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vsdx" ContentType="application/vnd.ms-visio.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charts/chart3.xml" ContentType="application/vnd.openxmlformats-officedocument.drawingml.chart+xml"/>
  <Override PartName="/xl/drawings/drawing5.xml" ContentType="application/vnd.openxmlformats-officedocument.drawing+xml"/>
  <Override PartName="/xl/comments3.xml" ContentType="application/vnd.openxmlformats-officedocument.spreadsheetml.comments+xml"/>
  <Override PartName="/xl/charts/chart4.xml" ContentType="application/vnd.openxmlformats-officedocument.drawingml.chart+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comments5.xml" ContentType="application/vnd.openxmlformats-officedocument.spreadsheetml.comments+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C:\Users\50104\50104_\製品フォルダ\産業市場\15_ファナック_\02_202507_検討\02_新部品\03_LM5122_\"/>
    </mc:Choice>
  </mc:AlternateContent>
  <xr:revisionPtr revIDLastSave="0" documentId="13_ncr:1_{1ED4B15C-BB13-4C44-B405-F11878D4CEA3}" xr6:coauthVersionLast="47" xr6:coauthVersionMax="47" xr10:uidLastSave="{00000000-0000-0000-0000-000000000000}"/>
  <workbookProtection workbookAlgorithmName="SHA-512" workbookHashValue="AxlkDxsJJU5i4rgoj/ab9IPP+QOGJiN6gtEzSgpkXrf0b1FCoCMeNXh9kaxYMJOCU2yuNl6dvMkL//ziTU8Qhg==" workbookSaltValue="Hs+tbZUZ8dK1Y+/Uf/mTWQ==" workbookSpinCount="100000" lockStructure="1"/>
  <bookViews>
    <workbookView xWindow="-120" yWindow="-120" windowWidth="29040" windowHeight="15720" xr2:uid="{00000000-000D-0000-FFFF-FFFF00000000}"/>
  </bookViews>
  <sheets>
    <sheet name="LM5122_Quickstart" sheetId="2" r:id="rId1"/>
    <sheet name="Licenses" sheetId="7" r:id="rId2"/>
    <sheet name="Eff_vs_IOUT" sheetId="6" state="hidden" r:id="rId3"/>
    <sheet name="Eff_vs_VIN" sheetId="8" state="hidden" r:id="rId4"/>
    <sheet name="Plot Management" sheetId="9" state="hidden" r:id="rId5"/>
    <sheet name="Calculations" sheetId="3" state="hidden" r:id="rId6"/>
    <sheet name="EC_Table" sheetId="1" state="hidden" r:id="rId7"/>
    <sheet name="Control_Loop_Tables" sheetId="5" state="hidden" r:id="rId8"/>
    <sheet name="Tables_VS_VIN" sheetId="4" state="hidden" r:id="rId9"/>
  </sheets>
  <externalReferences>
    <externalReference r:id="rId10"/>
  </externalReferences>
  <definedNames>
    <definedName name="ACS">Calculations!$B$84</definedName>
    <definedName name="adc">Control_Loop_Tables!$B$35</definedName>
    <definedName name="adc_ea">Control_Loop_Tables!$B$59</definedName>
    <definedName name="ADC_VINmin">Calculations!$B$136</definedName>
    <definedName name="arCss">Calculations!$B$183</definedName>
    <definedName name="aRUV_lower">Calculations!$B$191</definedName>
    <definedName name="aRUV_upper">Calculations!$B$190</definedName>
    <definedName name="aRUV_upper_SEL">Calculations!$B$192</definedName>
    <definedName name="aTSSmax">Calculations!$B$184</definedName>
    <definedName name="Ccomp">Calculations!$B$170</definedName>
    <definedName name="Ccomp_S">Calculations!$B$179</definedName>
    <definedName name="CHF">Calculations!$B$171</definedName>
    <definedName name="CHF_S">Calculations!$B$180</definedName>
    <definedName name="COUT">Calculations!$B$115</definedName>
    <definedName name="DC_VIN_var_DCM">Control_Loop_Tables!$B$65</definedName>
    <definedName name="EFF_est">Calculations!$B$8</definedName>
    <definedName name="EFF_IOUT">'Plot Management'!$B$3</definedName>
    <definedName name="Eff_Plot_image">INDIRECT('Plot Management'!$A$1)</definedName>
    <definedName name="EFF_VIN">'Plot Management'!$B$5</definedName>
    <definedName name="eta">Calculations!$B$7</definedName>
    <definedName name="Fco_calc">Calculations!$B$167</definedName>
    <definedName name="Fcross">Calculations!$B$168</definedName>
    <definedName name="fp_lf_VINmin">Calculations!$B$139</definedName>
    <definedName name="fsw">Calculations!$B$6</definedName>
    <definedName name="fz_esr_VINmin">Calculations!$B$142</definedName>
    <definedName name="fz_rhp_VINmin">Calculations!$B$145</definedName>
    <definedName name="Gcomp">Control_Loop_Tables!$B$28</definedName>
    <definedName name="gfs">Calculations!$B$209</definedName>
    <definedName name="Graph_Text">Calculations!$B$21</definedName>
    <definedName name="IHYS">Calculations!$G$184</definedName>
    <definedName name="IHYSmin">Calculations!$G$186</definedName>
    <definedName name="IOUT">Calculations!$B$10</definedName>
    <definedName name="IOUT_np">Calculations!$B$12</definedName>
    <definedName name="IOUT_vari">Control_Loop_Tables!$B$15</definedName>
    <definedName name="IQ">EC_Table!$D$6</definedName>
    <definedName name="Isl">Control_Loop_Tables!$B$26</definedName>
    <definedName name="ISS">Calculations!$G$183</definedName>
    <definedName name="k_slope_selected">Calculations!$B$98</definedName>
    <definedName name="Kd">Control_Loop_Tables!$B$33</definedName>
    <definedName name="Kd_VINmin">Calculations!$B$132</definedName>
    <definedName name="kex">Control_Loop_Tables!$B$31</definedName>
    <definedName name="Kex_VINmin">Calculations!$B$130</definedName>
    <definedName name="km">Control_Loop_Tables!$B$32</definedName>
    <definedName name="Km_VINmin">Calculations!$B$131</definedName>
    <definedName name="Lm">Calculations!$B$42</definedName>
    <definedName name="LO">Calculations!$B$187</definedName>
    <definedName name="M_LIMIT">Calculations!$B$82</definedName>
    <definedName name="np">Calculations!$B$11</definedName>
    <definedName name="pTSSmin">Calculations!$B$182</definedName>
    <definedName name="Q">Control_Loop_Tables!$B$49</definedName>
    <definedName name="Q_VINmin">Calculations!$B$153</definedName>
    <definedName name="Qg_tot">Calculations!$B$204</definedName>
    <definedName name="Qg_tot_HS">Calculations!$B$221</definedName>
    <definedName name="Qgd">Calculations!$B$205</definedName>
    <definedName name="Qgs">Calculations!$B$206</definedName>
    <definedName name="Qrr">Calculations!$B$229</definedName>
    <definedName name="R_RT">Calculations!$B$24</definedName>
    <definedName name="R_sl">Control_Loop_Tables!$B$24</definedName>
    <definedName name="Rcomp">Calculations!$B$169</definedName>
    <definedName name="Rcomp_S">Calculations!$B$178</definedName>
    <definedName name="Rcs">Calculations!$B$87</definedName>
    <definedName name="rCss">Calculations!$C$183</definedName>
    <definedName name="Rdcr">Calculations!$B$43</definedName>
    <definedName name="RDS_on">Calculations!$B$203</definedName>
    <definedName name="RDS_on_HS">Calculations!$B$220</definedName>
    <definedName name="RESR">Calculations!$B$117</definedName>
    <definedName name="RFB_BOT">Calculations!$B$161</definedName>
    <definedName name="RFB_BOT_S">Calculations!$B$162</definedName>
    <definedName name="RFB_TOP">Calculations!$B$160</definedName>
    <definedName name="RFBB">Control_Loop_Tables!$B$54</definedName>
    <definedName name="RFBT">Control_Loop_Tables!$B$53</definedName>
    <definedName name="Rgate">Calculations!$B$207</definedName>
    <definedName name="RHP_freq">Calculations!$B$122</definedName>
    <definedName name="RR">Calculations!$B$40</definedName>
    <definedName name="Rsl_int">Control_Loop_Tables!$B$25</definedName>
    <definedName name="Rslope">Calculations!$B$101</definedName>
    <definedName name="RUV_lower">Calculations!$C$191</definedName>
    <definedName name="RUV_upper">Calculations!$C$190</definedName>
    <definedName name="RUV_upper_SEL">Calculations!$C$192</definedName>
    <definedName name="Se">Control_Loop_Tables!$B$47</definedName>
    <definedName name="Se_VINmin">Calculations!$B$149</definedName>
    <definedName name="Sn">Control_Loop_Tables!$B$46</definedName>
    <definedName name="Sn_VINmin">Calculations!$B$150</definedName>
    <definedName name="t_dead">EC_Table!$D$114</definedName>
    <definedName name="tf_sw">Calculations!$B$216</definedName>
    <definedName name="tr_sw">Calculations!$B$215</definedName>
    <definedName name="TSSmax">Calculations!$C$184</definedName>
    <definedName name="TSSmin">Calculations!$C$182</definedName>
    <definedName name="UVLO_OFF">Calculations!$B$188</definedName>
    <definedName name="UVLO_ON">Calculations!$B$187</definedName>
    <definedName name="UVth">Calculations!$G$185</definedName>
    <definedName name="Uvthmin">Calculations!$G$187</definedName>
    <definedName name="VCC">Calculations!$B$14</definedName>
    <definedName name="VCL">Calculations!$B$85</definedName>
    <definedName name="Vd_rect">Calculations!$B$230</definedName>
    <definedName name="VHYS">Calculations!$B$189</definedName>
    <definedName name="VIN_MAX">Calculations!$B$5</definedName>
    <definedName name="VIN_MIN">Calculations!$B$3</definedName>
    <definedName name="VIN_TYP">Calculations!$B$4</definedName>
    <definedName name="Vin_vari">LM5122_Quickstart!$I$82</definedName>
    <definedName name="VINSHUTDOWN">Calculations!$B$194</definedName>
    <definedName name="VINSTARTUP">Calculations!$B$187</definedName>
    <definedName name="VOUT">Calculations!$B$9</definedName>
    <definedName name="VOUT_VAR">Control_Loop_Tables!$B$17</definedName>
    <definedName name="VREF">EC_Table!$D$32</definedName>
    <definedName name="Vsl">Control_Loop_Tables!$B$27</definedName>
    <definedName name="Vslo">Control_Loop_Tables!$B$27</definedName>
    <definedName name="vth">Calculations!$B$210</definedName>
    <definedName name="w_p_low">Calculations!$B$125</definedName>
    <definedName name="w_RHP">Calculations!$B$121</definedName>
    <definedName name="w_Z_ESR">Calculations!$B$123</definedName>
    <definedName name="wp_lf">Control_Loop_Tables!$B$36</definedName>
    <definedName name="wp_lf_DCM">Control_Loop_Tables!$B$68</definedName>
    <definedName name="wp_lf_VINmin">Calculations!$B$138</definedName>
    <definedName name="wp0_ea">Control_Loop_Tables!$B$61</definedName>
    <definedName name="wp1_ea">Control_Loop_Tables!$B$62</definedName>
    <definedName name="wsl">Control_Loop_Tables!$B$48</definedName>
    <definedName name="wsl_VINmin">Calculations!$B$152</definedName>
    <definedName name="wz_ea">Control_Loop_Tables!$B$60</definedName>
    <definedName name="wz_esr">Control_Loop_Tables!$B$42</definedName>
    <definedName name="wz_esr_VINmin">Calculations!$B$141</definedName>
    <definedName name="wz_rhp">Control_Loop_Tables!$B$39</definedName>
    <definedName name="wz_RHP_VINmin">Calculations!$B$144</definedName>
    <definedName name="wz1_dcm">Control_Loop_Tables!$B$70</definedName>
    <definedName name="wz2_dcm">Control_Loop_Tables!$B$72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9" l="1"/>
  <c r="C21" i="3"/>
  <c r="B162" i="3" l="1"/>
  <c r="B192" i="3" l="1"/>
  <c r="B188" i="3"/>
  <c r="B187" i="3"/>
  <c r="C115" i="1"/>
  <c r="C114" i="1"/>
  <c r="E115" i="1"/>
  <c r="E114" i="1"/>
  <c r="D115" i="1"/>
  <c r="D114" i="1"/>
  <c r="B230" i="3"/>
  <c r="B229" i="3"/>
  <c r="B227" i="3"/>
  <c r="B224" i="3"/>
  <c r="B223" i="3"/>
  <c r="B222" i="3"/>
  <c r="B221" i="3"/>
  <c r="B220" i="3"/>
  <c r="B203" i="3"/>
  <c r="B206" i="3"/>
  <c r="B205" i="3"/>
  <c r="B204" i="3"/>
  <c r="B207" i="3"/>
  <c r="B210" i="3"/>
  <c r="N19" i="5" l="1"/>
  <c r="N560" i="5"/>
  <c r="N559" i="5"/>
  <c r="N558" i="5"/>
  <c r="N557" i="5"/>
  <c r="N556" i="5"/>
  <c r="N555" i="5"/>
  <c r="N554" i="5"/>
  <c r="N553" i="5"/>
  <c r="N552" i="5"/>
  <c r="N551" i="5"/>
  <c r="N550" i="5"/>
  <c r="N549" i="5"/>
  <c r="N548" i="5"/>
  <c r="N547" i="5"/>
  <c r="N546" i="5"/>
  <c r="N545" i="5"/>
  <c r="N544" i="5"/>
  <c r="N543" i="5"/>
  <c r="N542" i="5"/>
  <c r="N541" i="5"/>
  <c r="N540" i="5"/>
  <c r="N539" i="5"/>
  <c r="N538" i="5"/>
  <c r="N537" i="5"/>
  <c r="N536" i="5"/>
  <c r="N535" i="5"/>
  <c r="N534" i="5"/>
  <c r="N533" i="5"/>
  <c r="N532" i="5"/>
  <c r="N531" i="5"/>
  <c r="N530" i="5"/>
  <c r="N529" i="5"/>
  <c r="N528" i="5"/>
  <c r="N527" i="5"/>
  <c r="N526" i="5"/>
  <c r="N525" i="5"/>
  <c r="N524" i="5"/>
  <c r="N523" i="5"/>
  <c r="N522" i="5"/>
  <c r="N521" i="5"/>
  <c r="N520" i="5"/>
  <c r="N519" i="5"/>
  <c r="N518" i="5"/>
  <c r="N517" i="5"/>
  <c r="N516" i="5"/>
  <c r="N515" i="5"/>
  <c r="N514" i="5"/>
  <c r="N513" i="5"/>
  <c r="N512" i="5"/>
  <c r="N511" i="5"/>
  <c r="N510" i="5"/>
  <c r="N509" i="5"/>
  <c r="N508" i="5"/>
  <c r="N507" i="5"/>
  <c r="N506" i="5"/>
  <c r="N505" i="5"/>
  <c r="N504" i="5"/>
  <c r="N503" i="5"/>
  <c r="N502" i="5"/>
  <c r="N501" i="5"/>
  <c r="N500" i="5"/>
  <c r="N499" i="5"/>
  <c r="N498" i="5"/>
  <c r="N497" i="5"/>
  <c r="N496" i="5"/>
  <c r="N495" i="5"/>
  <c r="N494" i="5"/>
  <c r="N493" i="5"/>
  <c r="N492" i="5"/>
  <c r="N491" i="5"/>
  <c r="N490" i="5"/>
  <c r="N489" i="5"/>
  <c r="N488" i="5"/>
  <c r="N487" i="5"/>
  <c r="N486" i="5"/>
  <c r="N485" i="5"/>
  <c r="N484" i="5"/>
  <c r="N483" i="5"/>
  <c r="N482" i="5"/>
  <c r="N481" i="5"/>
  <c r="N480" i="5"/>
  <c r="N479" i="5"/>
  <c r="N478" i="5"/>
  <c r="N477" i="5"/>
  <c r="N476" i="5"/>
  <c r="N475" i="5"/>
  <c r="N474" i="5"/>
  <c r="N473" i="5"/>
  <c r="N472" i="5"/>
  <c r="N471" i="5"/>
  <c r="N470" i="5"/>
  <c r="N469" i="5"/>
  <c r="N468" i="5"/>
  <c r="N467" i="5"/>
  <c r="N466" i="5"/>
  <c r="N465" i="5"/>
  <c r="N464" i="5"/>
  <c r="N463" i="5"/>
  <c r="N462" i="5"/>
  <c r="N461" i="5"/>
  <c r="N460" i="5"/>
  <c r="N459" i="5"/>
  <c r="N458" i="5"/>
  <c r="N457" i="5"/>
  <c r="N456" i="5"/>
  <c r="N455" i="5"/>
  <c r="N454" i="5"/>
  <c r="N453" i="5"/>
  <c r="N452" i="5"/>
  <c r="N451" i="5"/>
  <c r="N450" i="5"/>
  <c r="N449" i="5"/>
  <c r="N448" i="5"/>
  <c r="N447" i="5"/>
  <c r="N446" i="5"/>
  <c r="N445" i="5"/>
  <c r="N444" i="5"/>
  <c r="N443" i="5"/>
  <c r="N442" i="5"/>
  <c r="N441" i="5"/>
  <c r="N440" i="5"/>
  <c r="N439" i="5"/>
  <c r="N438" i="5"/>
  <c r="N437" i="5"/>
  <c r="N436" i="5"/>
  <c r="N435" i="5"/>
  <c r="N434" i="5"/>
  <c r="N433" i="5"/>
  <c r="N432" i="5"/>
  <c r="N431" i="5"/>
  <c r="N430" i="5"/>
  <c r="N429" i="5"/>
  <c r="N428" i="5"/>
  <c r="N427" i="5"/>
  <c r="N426" i="5"/>
  <c r="N425" i="5"/>
  <c r="N424" i="5"/>
  <c r="N423" i="5"/>
  <c r="N422" i="5"/>
  <c r="N421" i="5"/>
  <c r="N420" i="5"/>
  <c r="N419" i="5"/>
  <c r="N418" i="5"/>
  <c r="N417" i="5"/>
  <c r="N416" i="5"/>
  <c r="N415" i="5"/>
  <c r="N414" i="5"/>
  <c r="N413" i="5"/>
  <c r="N412" i="5"/>
  <c r="N411" i="5"/>
  <c r="N410" i="5"/>
  <c r="N409" i="5"/>
  <c r="N408" i="5"/>
  <c r="N407" i="5"/>
  <c r="N406" i="5"/>
  <c r="N405" i="5"/>
  <c r="N404" i="5"/>
  <c r="N403" i="5"/>
  <c r="N402" i="5"/>
  <c r="N401" i="5"/>
  <c r="N400" i="5"/>
  <c r="N399" i="5"/>
  <c r="N398" i="5"/>
  <c r="N397" i="5"/>
  <c r="N396" i="5"/>
  <c r="N395" i="5"/>
  <c r="N394" i="5"/>
  <c r="N393" i="5"/>
  <c r="N392" i="5"/>
  <c r="N391" i="5"/>
  <c r="N390" i="5"/>
  <c r="N389" i="5"/>
  <c r="N388" i="5"/>
  <c r="N387" i="5"/>
  <c r="N386" i="5"/>
  <c r="N385" i="5"/>
  <c r="N384" i="5"/>
  <c r="N383" i="5"/>
  <c r="N382" i="5"/>
  <c r="N381" i="5"/>
  <c r="N380" i="5"/>
  <c r="N379" i="5"/>
  <c r="N378" i="5"/>
  <c r="N377" i="5"/>
  <c r="N376" i="5"/>
  <c r="N375" i="5"/>
  <c r="N374" i="5"/>
  <c r="N373" i="5"/>
  <c r="N372" i="5"/>
  <c r="N371" i="5"/>
  <c r="N370" i="5"/>
  <c r="N369" i="5"/>
  <c r="N368" i="5"/>
  <c r="N367" i="5"/>
  <c r="N366" i="5"/>
  <c r="N365" i="5"/>
  <c r="N364" i="5"/>
  <c r="N363" i="5"/>
  <c r="N362" i="5"/>
  <c r="N361" i="5"/>
  <c r="N360" i="5"/>
  <c r="N359" i="5"/>
  <c r="N358" i="5"/>
  <c r="N357" i="5"/>
  <c r="N356" i="5"/>
  <c r="N355" i="5"/>
  <c r="N354" i="5"/>
  <c r="N353" i="5"/>
  <c r="N352" i="5"/>
  <c r="N351" i="5"/>
  <c r="N350" i="5"/>
  <c r="N349" i="5"/>
  <c r="N348" i="5"/>
  <c r="N347" i="5"/>
  <c r="N346" i="5"/>
  <c r="N345" i="5"/>
  <c r="N344" i="5"/>
  <c r="N343" i="5"/>
  <c r="N342" i="5"/>
  <c r="N341" i="5"/>
  <c r="N340" i="5"/>
  <c r="N339" i="5"/>
  <c r="N338" i="5"/>
  <c r="N337" i="5"/>
  <c r="N336" i="5"/>
  <c r="N335" i="5"/>
  <c r="N334" i="5"/>
  <c r="N333" i="5"/>
  <c r="N332" i="5"/>
  <c r="N331" i="5"/>
  <c r="N330" i="5"/>
  <c r="N329" i="5"/>
  <c r="N328" i="5"/>
  <c r="N327" i="5"/>
  <c r="N326" i="5"/>
  <c r="N325" i="5"/>
  <c r="N324" i="5"/>
  <c r="N323" i="5"/>
  <c r="N322" i="5"/>
  <c r="N321" i="5"/>
  <c r="N320" i="5"/>
  <c r="N319" i="5"/>
  <c r="N318" i="5"/>
  <c r="N317" i="5"/>
  <c r="N316" i="5"/>
  <c r="N315" i="5"/>
  <c r="N314" i="5"/>
  <c r="N313" i="5"/>
  <c r="N312" i="5"/>
  <c r="N311" i="5"/>
  <c r="N310" i="5"/>
  <c r="N309" i="5"/>
  <c r="N308" i="5"/>
  <c r="N307" i="5"/>
  <c r="N306" i="5"/>
  <c r="N305" i="5"/>
  <c r="N304" i="5"/>
  <c r="N303" i="5"/>
  <c r="N302" i="5"/>
  <c r="N301" i="5"/>
  <c r="N300" i="5"/>
  <c r="N299" i="5"/>
  <c r="N298" i="5"/>
  <c r="N297" i="5"/>
  <c r="N296" i="5"/>
  <c r="N295" i="5"/>
  <c r="N294" i="5"/>
  <c r="N293" i="5"/>
  <c r="N292" i="5"/>
  <c r="N291" i="5"/>
  <c r="N290" i="5"/>
  <c r="N289" i="5"/>
  <c r="N288" i="5"/>
  <c r="N287" i="5"/>
  <c r="N286" i="5"/>
  <c r="N285" i="5"/>
  <c r="N284" i="5"/>
  <c r="N283" i="5"/>
  <c r="N282" i="5"/>
  <c r="N281" i="5"/>
  <c r="N280" i="5"/>
  <c r="N279" i="5"/>
  <c r="N278" i="5"/>
  <c r="N277" i="5"/>
  <c r="N276" i="5"/>
  <c r="N275" i="5"/>
  <c r="N274" i="5"/>
  <c r="N273" i="5"/>
  <c r="N272" i="5"/>
  <c r="N271" i="5"/>
  <c r="N270" i="5"/>
  <c r="N269" i="5"/>
  <c r="N268" i="5"/>
  <c r="N267" i="5"/>
  <c r="N266" i="5"/>
  <c r="N265" i="5"/>
  <c r="N264" i="5"/>
  <c r="N263" i="5"/>
  <c r="N262" i="5"/>
  <c r="N261" i="5"/>
  <c r="N260" i="5"/>
  <c r="N259" i="5"/>
  <c r="N258" i="5"/>
  <c r="N257" i="5"/>
  <c r="N256" i="5"/>
  <c r="N255" i="5"/>
  <c r="N254" i="5"/>
  <c r="N253" i="5"/>
  <c r="N252" i="5"/>
  <c r="N251" i="5"/>
  <c r="N250" i="5"/>
  <c r="N249" i="5"/>
  <c r="N248" i="5"/>
  <c r="N247" i="5"/>
  <c r="N246" i="5"/>
  <c r="N245" i="5"/>
  <c r="N244" i="5"/>
  <c r="N243" i="5"/>
  <c r="N242" i="5"/>
  <c r="N241" i="5"/>
  <c r="N240" i="5"/>
  <c r="N239" i="5"/>
  <c r="N238" i="5"/>
  <c r="N237" i="5"/>
  <c r="N236" i="5"/>
  <c r="N235" i="5"/>
  <c r="N234" i="5"/>
  <c r="N233" i="5"/>
  <c r="N232" i="5"/>
  <c r="N231" i="5"/>
  <c r="N230" i="5"/>
  <c r="N229" i="5"/>
  <c r="N228" i="5"/>
  <c r="N227" i="5"/>
  <c r="N226" i="5"/>
  <c r="N225" i="5"/>
  <c r="N224" i="5"/>
  <c r="N223" i="5"/>
  <c r="N222" i="5"/>
  <c r="N221" i="5"/>
  <c r="N220" i="5"/>
  <c r="N219" i="5"/>
  <c r="N218" i="5"/>
  <c r="N217" i="5"/>
  <c r="N216" i="5"/>
  <c r="N215" i="5"/>
  <c r="N214" i="5"/>
  <c r="N213" i="5"/>
  <c r="N212" i="5"/>
  <c r="N211" i="5"/>
  <c r="N210" i="5"/>
  <c r="N209" i="5"/>
  <c r="N208" i="5"/>
  <c r="N207" i="5"/>
  <c r="N206" i="5"/>
  <c r="N205" i="5"/>
  <c r="N204" i="5"/>
  <c r="N203" i="5"/>
  <c r="N202" i="5"/>
  <c r="N201" i="5"/>
  <c r="N200" i="5"/>
  <c r="N199" i="5"/>
  <c r="N198" i="5"/>
  <c r="N197" i="5"/>
  <c r="N196" i="5"/>
  <c r="N195" i="5"/>
  <c r="N194" i="5"/>
  <c r="N193" i="5"/>
  <c r="N192" i="5"/>
  <c r="N191" i="5"/>
  <c r="N190" i="5"/>
  <c r="N189" i="5"/>
  <c r="N188" i="5"/>
  <c r="N187" i="5"/>
  <c r="N186" i="5"/>
  <c r="N185" i="5"/>
  <c r="N184" i="5"/>
  <c r="N183" i="5"/>
  <c r="N182" i="5"/>
  <c r="N181" i="5"/>
  <c r="N180" i="5"/>
  <c r="N179" i="5"/>
  <c r="N178" i="5"/>
  <c r="N177" i="5"/>
  <c r="N176" i="5"/>
  <c r="N175" i="5"/>
  <c r="N174" i="5"/>
  <c r="N173" i="5"/>
  <c r="N172" i="5"/>
  <c r="N171" i="5"/>
  <c r="N170" i="5"/>
  <c r="N169" i="5"/>
  <c r="N168" i="5"/>
  <c r="N167" i="5"/>
  <c r="N166" i="5"/>
  <c r="N165" i="5"/>
  <c r="N164" i="5"/>
  <c r="N163" i="5"/>
  <c r="N162" i="5"/>
  <c r="N161" i="5"/>
  <c r="N160" i="5"/>
  <c r="N159" i="5"/>
  <c r="N158" i="5"/>
  <c r="N157" i="5"/>
  <c r="N156" i="5"/>
  <c r="N155" i="5"/>
  <c r="N154" i="5"/>
  <c r="N153" i="5"/>
  <c r="N152" i="5"/>
  <c r="N151" i="5"/>
  <c r="N150" i="5"/>
  <c r="N149" i="5"/>
  <c r="N148" i="5"/>
  <c r="N147" i="5"/>
  <c r="N146" i="5"/>
  <c r="N145" i="5"/>
  <c r="N144" i="5"/>
  <c r="N143" i="5"/>
  <c r="N142" i="5"/>
  <c r="N141" i="5"/>
  <c r="N140" i="5"/>
  <c r="N139" i="5"/>
  <c r="N138" i="5"/>
  <c r="N137" i="5"/>
  <c r="N136" i="5"/>
  <c r="N135" i="5"/>
  <c r="N134" i="5"/>
  <c r="N133" i="5"/>
  <c r="N132" i="5"/>
  <c r="N131" i="5"/>
  <c r="N130" i="5"/>
  <c r="N129" i="5"/>
  <c r="N128" i="5"/>
  <c r="N127" i="5"/>
  <c r="N126" i="5"/>
  <c r="N125" i="5"/>
  <c r="N124" i="5"/>
  <c r="N123" i="5"/>
  <c r="N122" i="5"/>
  <c r="N121" i="5"/>
  <c r="N120" i="5"/>
  <c r="N119" i="5"/>
  <c r="N118" i="5"/>
  <c r="N117" i="5"/>
  <c r="N116" i="5"/>
  <c r="N115" i="5"/>
  <c r="N114" i="5"/>
  <c r="N113" i="5"/>
  <c r="N112" i="5"/>
  <c r="N111" i="5"/>
  <c r="N110" i="5"/>
  <c r="N109" i="5"/>
  <c r="N108" i="5"/>
  <c r="N107" i="5"/>
  <c r="N106" i="5"/>
  <c r="N105" i="5"/>
  <c r="N104" i="5"/>
  <c r="N103" i="5"/>
  <c r="N102" i="5"/>
  <c r="N101" i="5"/>
  <c r="N100" i="5"/>
  <c r="N99" i="5"/>
  <c r="N98" i="5"/>
  <c r="N97" i="5"/>
  <c r="N96" i="5"/>
  <c r="N95" i="5"/>
  <c r="N94" i="5"/>
  <c r="N93" i="5"/>
  <c r="N92" i="5"/>
  <c r="N91" i="5"/>
  <c r="N90" i="5"/>
  <c r="N89" i="5"/>
  <c r="N88" i="5"/>
  <c r="N87" i="5"/>
  <c r="N86" i="5"/>
  <c r="N85" i="5"/>
  <c r="N84" i="5"/>
  <c r="N83" i="5"/>
  <c r="N82" i="5"/>
  <c r="N81" i="5"/>
  <c r="N80" i="5"/>
  <c r="N79" i="5"/>
  <c r="N78" i="5"/>
  <c r="N77" i="5"/>
  <c r="N76" i="5"/>
  <c r="N75" i="5"/>
  <c r="N74" i="5"/>
  <c r="N73" i="5"/>
  <c r="N72" i="5"/>
  <c r="N71" i="5"/>
  <c r="N70" i="5"/>
  <c r="N69" i="5"/>
  <c r="N68" i="5"/>
  <c r="N67" i="5"/>
  <c r="N66" i="5"/>
  <c r="N65" i="5"/>
  <c r="N64" i="5"/>
  <c r="N63" i="5"/>
  <c r="N62" i="5"/>
  <c r="N61" i="5"/>
  <c r="N60" i="5"/>
  <c r="N59" i="5"/>
  <c r="N58" i="5"/>
  <c r="N57" i="5"/>
  <c r="N56" i="5"/>
  <c r="N55" i="5"/>
  <c r="N54" i="5"/>
  <c r="N53" i="5"/>
  <c r="N52" i="5"/>
  <c r="N51" i="5"/>
  <c r="N50" i="5"/>
  <c r="N49" i="5"/>
  <c r="N48" i="5"/>
  <c r="N47" i="5"/>
  <c r="N46" i="5"/>
  <c r="N45" i="5"/>
  <c r="N44" i="5"/>
  <c r="N43" i="5"/>
  <c r="N42" i="5"/>
  <c r="N41" i="5"/>
  <c r="N40" i="5"/>
  <c r="N39" i="5"/>
  <c r="N38" i="5"/>
  <c r="N37" i="5"/>
  <c r="N36" i="5"/>
  <c r="N35" i="5"/>
  <c r="N34" i="5"/>
  <c r="N33" i="5"/>
  <c r="N32" i="5"/>
  <c r="N31" i="5"/>
  <c r="N30" i="5"/>
  <c r="N29" i="5"/>
  <c r="N28" i="5"/>
  <c r="N27" i="5"/>
  <c r="N26" i="5"/>
  <c r="N25" i="5"/>
  <c r="N24" i="5"/>
  <c r="N23" i="5"/>
  <c r="N22" i="5"/>
  <c r="N21" i="5"/>
  <c r="N20" i="5"/>
  <c r="B17" i="3"/>
  <c r="K19" i="5" l="1"/>
  <c r="B182" i="3"/>
  <c r="C182" i="3" s="1"/>
  <c r="B111" i="3"/>
  <c r="B9" i="3"/>
  <c r="B10" i="3"/>
  <c r="S157" i="8" l="1"/>
  <c r="S149" i="8"/>
  <c r="S141" i="8"/>
  <c r="S133" i="8"/>
  <c r="S125" i="8"/>
  <c r="S117" i="8"/>
  <c r="S109" i="8"/>
  <c r="S101" i="8"/>
  <c r="S93" i="8"/>
  <c r="S85" i="8"/>
  <c r="S77" i="8"/>
  <c r="S69" i="8"/>
  <c r="S61" i="8"/>
  <c r="S53" i="8"/>
  <c r="S45" i="8"/>
  <c r="S37" i="8"/>
  <c r="S29" i="8"/>
  <c r="S21" i="8"/>
  <c r="S13" i="8"/>
  <c r="S152" i="8"/>
  <c r="S120" i="8"/>
  <c r="S96" i="8"/>
  <c r="S56" i="8"/>
  <c r="S156" i="8"/>
  <c r="S148" i="8"/>
  <c r="S140" i="8"/>
  <c r="S132" i="8"/>
  <c r="S124" i="8"/>
  <c r="S116" i="8"/>
  <c r="S108" i="8"/>
  <c r="S100" i="8"/>
  <c r="S92" i="8"/>
  <c r="S84" i="8"/>
  <c r="S76" i="8"/>
  <c r="S68" i="8"/>
  <c r="S60" i="8"/>
  <c r="S52" i="8"/>
  <c r="S44" i="8"/>
  <c r="S36" i="8"/>
  <c r="S28" i="8"/>
  <c r="S20" i="8"/>
  <c r="S12" i="8"/>
  <c r="S136" i="8"/>
  <c r="S80" i="8"/>
  <c r="S48" i="8"/>
  <c r="S155" i="8"/>
  <c r="S147" i="8"/>
  <c r="S139" i="8"/>
  <c r="S131" i="8"/>
  <c r="S123" i="8"/>
  <c r="S115" i="8"/>
  <c r="S107" i="8"/>
  <c r="S99" i="8"/>
  <c r="S91" i="8"/>
  <c r="S83" i="8"/>
  <c r="S75" i="8"/>
  <c r="S67" i="8"/>
  <c r="S59" i="8"/>
  <c r="S51" i="8"/>
  <c r="S43" i="8"/>
  <c r="S35" i="8"/>
  <c r="S27" i="8"/>
  <c r="S19" i="8"/>
  <c r="S11" i="8"/>
  <c r="S128" i="8"/>
  <c r="S72" i="8"/>
  <c r="S32" i="8"/>
  <c r="S154" i="8"/>
  <c r="S146" i="8"/>
  <c r="S138" i="8"/>
  <c r="S130" i="8"/>
  <c r="S122" i="8"/>
  <c r="S114" i="8"/>
  <c r="S106" i="8"/>
  <c r="S98" i="8"/>
  <c r="S90" i="8"/>
  <c r="S82" i="8"/>
  <c r="S74" i="8"/>
  <c r="S66" i="8"/>
  <c r="S58" i="8"/>
  <c r="S50" i="8"/>
  <c r="S42" i="8"/>
  <c r="S34" i="8"/>
  <c r="S26" i="8"/>
  <c r="S18" i="8"/>
  <c r="S10" i="8"/>
  <c r="S144" i="8"/>
  <c r="S112" i="8"/>
  <c r="S88" i="8"/>
  <c r="S64" i="8"/>
  <c r="S40" i="8"/>
  <c r="S153" i="8"/>
  <c r="S145" i="8"/>
  <c r="S137" i="8"/>
  <c r="S129" i="8"/>
  <c r="S121" i="8"/>
  <c r="S113" i="8"/>
  <c r="S105" i="8"/>
  <c r="S97" i="8"/>
  <c r="S89" i="8"/>
  <c r="S81" i="8"/>
  <c r="S73" i="8"/>
  <c r="S65" i="8"/>
  <c r="S57" i="8"/>
  <c r="S49" i="8"/>
  <c r="S41" i="8"/>
  <c r="S33" i="8"/>
  <c r="S25" i="8"/>
  <c r="S17" i="8"/>
  <c r="S9" i="8"/>
  <c r="S104" i="8"/>
  <c r="S151" i="8"/>
  <c r="S143" i="8"/>
  <c r="S135" i="8"/>
  <c r="S127" i="8"/>
  <c r="S119" i="8"/>
  <c r="S111" i="8"/>
  <c r="S103" i="8"/>
  <c r="S95" i="8"/>
  <c r="S87" i="8"/>
  <c r="S79" i="8"/>
  <c r="S71" i="8"/>
  <c r="S63" i="8"/>
  <c r="S55" i="8"/>
  <c r="S47" i="8"/>
  <c r="S39" i="8"/>
  <c r="S31" i="8"/>
  <c r="S23" i="8"/>
  <c r="S15" i="8"/>
  <c r="S118" i="8"/>
  <c r="S54" i="8"/>
  <c r="S8" i="8"/>
  <c r="S102" i="8"/>
  <c r="S16" i="8"/>
  <c r="S110" i="8"/>
  <c r="S46" i="8"/>
  <c r="S7" i="8"/>
  <c r="S30" i="8"/>
  <c r="S62" i="8"/>
  <c r="S38" i="8"/>
  <c r="S94" i="8"/>
  <c r="S70" i="8"/>
  <c r="S14" i="8"/>
  <c r="S150" i="8"/>
  <c r="S86" i="8"/>
  <c r="S24" i="8"/>
  <c r="S126" i="8"/>
  <c r="S142" i="8"/>
  <c r="S78" i="8"/>
  <c r="S22" i="8"/>
  <c r="S134" i="8"/>
  <c r="R14" i="8"/>
  <c r="R11" i="8"/>
  <c r="R157" i="8"/>
  <c r="R153" i="8"/>
  <c r="R149" i="8"/>
  <c r="R145" i="8"/>
  <c r="AV145" i="8" s="1"/>
  <c r="R141" i="8"/>
  <c r="R137" i="8"/>
  <c r="AV137" i="8" s="1"/>
  <c r="R133" i="8"/>
  <c r="R129" i="8"/>
  <c r="R125" i="8"/>
  <c r="R121" i="8"/>
  <c r="R117" i="8"/>
  <c r="R113" i="8"/>
  <c r="R109" i="8"/>
  <c r="R105" i="8"/>
  <c r="R101" i="8"/>
  <c r="AV101" i="8" s="1"/>
  <c r="R97" i="8"/>
  <c r="R93" i="8"/>
  <c r="R89" i="8"/>
  <c r="R85" i="8"/>
  <c r="R81" i="8"/>
  <c r="AV81" i="8" s="1"/>
  <c r="R77" i="8"/>
  <c r="R73" i="8"/>
  <c r="AV73" i="8" s="1"/>
  <c r="R69" i="8"/>
  <c r="R65" i="8"/>
  <c r="R61" i="8"/>
  <c r="R57" i="8"/>
  <c r="R53" i="8"/>
  <c r="R49" i="8"/>
  <c r="R45" i="8"/>
  <c r="R41" i="8"/>
  <c r="R37" i="8"/>
  <c r="AV37" i="8" s="1"/>
  <c r="R33" i="8"/>
  <c r="R29" i="8"/>
  <c r="R25" i="8"/>
  <c r="R21" i="8"/>
  <c r="R17" i="8"/>
  <c r="AV17" i="8" s="1"/>
  <c r="R13" i="8"/>
  <c r="R7" i="8"/>
  <c r="R156" i="8"/>
  <c r="AV156" i="8" s="1"/>
  <c r="R152" i="8"/>
  <c r="R148" i="8"/>
  <c r="R144" i="8"/>
  <c r="R140" i="8"/>
  <c r="R136" i="8"/>
  <c r="R132" i="8"/>
  <c r="R128" i="8"/>
  <c r="R124" i="8"/>
  <c r="R120" i="8"/>
  <c r="R116" i="8"/>
  <c r="R112" i="8"/>
  <c r="R108" i="8"/>
  <c r="R104" i="8"/>
  <c r="R100" i="8"/>
  <c r="R96" i="8"/>
  <c r="AV96" i="8" s="1"/>
  <c r="R92" i="8"/>
  <c r="AV92" i="8" s="1"/>
  <c r="R88" i="8"/>
  <c r="AV88" i="8" s="1"/>
  <c r="R84" i="8"/>
  <c r="R80" i="8"/>
  <c r="R76" i="8"/>
  <c r="R72" i="8"/>
  <c r="R68" i="8"/>
  <c r="R64" i="8"/>
  <c r="R60" i="8"/>
  <c r="R56" i="8"/>
  <c r="R52" i="8"/>
  <c r="R48" i="8"/>
  <c r="R44" i="8"/>
  <c r="AV44" i="8" s="1"/>
  <c r="R40" i="8"/>
  <c r="R36" i="8"/>
  <c r="R32" i="8"/>
  <c r="R28" i="8"/>
  <c r="AV28" i="8" s="1"/>
  <c r="R24" i="8"/>
  <c r="R20" i="8"/>
  <c r="R16" i="8"/>
  <c r="R10" i="8"/>
  <c r="R143" i="8"/>
  <c r="R127" i="8"/>
  <c r="R111" i="8"/>
  <c r="AV111" i="8" s="1"/>
  <c r="R95" i="8"/>
  <c r="R79" i="8"/>
  <c r="AV79" i="8" s="1"/>
  <c r="R63" i="8"/>
  <c r="R47" i="8"/>
  <c r="R31" i="8"/>
  <c r="R15" i="8"/>
  <c r="R126" i="8"/>
  <c r="R110" i="8"/>
  <c r="AV110" i="8" s="1"/>
  <c r="R94" i="8"/>
  <c r="AV94" i="8" s="1"/>
  <c r="R62" i="8"/>
  <c r="R46" i="8"/>
  <c r="R30" i="8"/>
  <c r="R155" i="8"/>
  <c r="AV155" i="8" s="1"/>
  <c r="R139" i="8"/>
  <c r="R123" i="8"/>
  <c r="R91" i="8"/>
  <c r="AV91" i="8" s="1"/>
  <c r="R75" i="8"/>
  <c r="AV75" i="8" s="1"/>
  <c r="R59" i="8"/>
  <c r="R27" i="8"/>
  <c r="AV27" i="8" s="1"/>
  <c r="R154" i="8"/>
  <c r="R106" i="8"/>
  <c r="R42" i="8"/>
  <c r="R23" i="8"/>
  <c r="R134" i="8"/>
  <c r="AV134" i="8" s="1"/>
  <c r="R38" i="8"/>
  <c r="R147" i="8"/>
  <c r="R83" i="8"/>
  <c r="R19" i="8"/>
  <c r="R146" i="8"/>
  <c r="R34" i="8"/>
  <c r="R142" i="8"/>
  <c r="R78" i="8"/>
  <c r="AV78" i="8" s="1"/>
  <c r="R12" i="8"/>
  <c r="R138" i="8"/>
  <c r="AV138" i="8" s="1"/>
  <c r="R122" i="8"/>
  <c r="R74" i="8"/>
  <c r="AV74" i="8" s="1"/>
  <c r="R58" i="8"/>
  <c r="R9" i="8"/>
  <c r="R86" i="8"/>
  <c r="R8" i="8"/>
  <c r="R67" i="8"/>
  <c r="AV67" i="8" s="1"/>
  <c r="R130" i="8"/>
  <c r="R66" i="8"/>
  <c r="R107" i="8"/>
  <c r="R43" i="8"/>
  <c r="AV43" i="8" s="1"/>
  <c r="R90" i="8"/>
  <c r="R26" i="8"/>
  <c r="R39" i="8"/>
  <c r="AV39" i="8" s="1"/>
  <c r="R102" i="8"/>
  <c r="AV102" i="8" s="1"/>
  <c r="R22" i="8"/>
  <c r="AV22" i="8" s="1"/>
  <c r="R115" i="8"/>
  <c r="R35" i="8"/>
  <c r="R98" i="8"/>
  <c r="R50" i="8"/>
  <c r="R151" i="8"/>
  <c r="R135" i="8"/>
  <c r="R119" i="8"/>
  <c r="R103" i="8"/>
  <c r="AV103" i="8" s="1"/>
  <c r="R87" i="8"/>
  <c r="R71" i="8"/>
  <c r="R55" i="8"/>
  <c r="AV55" i="8" s="1"/>
  <c r="R118" i="8"/>
  <c r="R54" i="8"/>
  <c r="R99" i="8"/>
  <c r="AV99" i="8" s="1"/>
  <c r="R114" i="8"/>
  <c r="AV114" i="8" s="1"/>
  <c r="R18" i="8"/>
  <c r="R150" i="8"/>
  <c r="R70" i="8"/>
  <c r="AV70" i="8" s="1"/>
  <c r="R131" i="8"/>
  <c r="R51" i="8"/>
  <c r="R82" i="8"/>
  <c r="R156" i="6"/>
  <c r="R134" i="6"/>
  <c r="R131" i="6"/>
  <c r="R123" i="6"/>
  <c r="R120" i="6"/>
  <c r="R153" i="6"/>
  <c r="R148" i="6"/>
  <c r="R142" i="6"/>
  <c r="R137" i="6"/>
  <c r="R128" i="6"/>
  <c r="R125" i="6"/>
  <c r="R111" i="6"/>
  <c r="R101" i="6"/>
  <c r="R84" i="6"/>
  <c r="R76" i="6"/>
  <c r="R56" i="6"/>
  <c r="R50" i="6"/>
  <c r="R45" i="6"/>
  <c r="R39" i="6"/>
  <c r="R34" i="6"/>
  <c r="R31" i="6"/>
  <c r="R15" i="6"/>
  <c r="R12" i="6"/>
  <c r="R136" i="6"/>
  <c r="R150" i="6"/>
  <c r="R145" i="6"/>
  <c r="R139" i="6"/>
  <c r="R119" i="6"/>
  <c r="R114" i="6"/>
  <c r="R109" i="6"/>
  <c r="R103" i="6"/>
  <c r="R98" i="6"/>
  <c r="R95" i="6"/>
  <c r="R92" i="6"/>
  <c r="R87" i="6"/>
  <c r="R67" i="6"/>
  <c r="R61" i="6"/>
  <c r="R53" i="6"/>
  <c r="R47" i="6"/>
  <c r="R28" i="6"/>
  <c r="R25" i="6"/>
  <c r="R20" i="6"/>
  <c r="R9" i="6"/>
  <c r="R155" i="6"/>
  <c r="R133" i="6"/>
  <c r="R127" i="6"/>
  <c r="R152" i="6"/>
  <c r="R143" i="6"/>
  <c r="R132" i="6"/>
  <c r="R118" i="6"/>
  <c r="R108" i="6"/>
  <c r="R97" i="6"/>
  <c r="R79" i="6"/>
  <c r="R75" i="6"/>
  <c r="R64" i="6"/>
  <c r="R57" i="6"/>
  <c r="R49" i="6"/>
  <c r="R42" i="6"/>
  <c r="R38" i="6"/>
  <c r="R35" i="6"/>
  <c r="R27" i="6"/>
  <c r="R24" i="6"/>
  <c r="R17" i="6"/>
  <c r="R46" i="6"/>
  <c r="R147" i="6"/>
  <c r="R141" i="6"/>
  <c r="R122" i="6"/>
  <c r="R104" i="6"/>
  <c r="R93" i="6"/>
  <c r="R89" i="6"/>
  <c r="R82" i="6"/>
  <c r="R78" i="6"/>
  <c r="R60" i="6"/>
  <c r="R41" i="6"/>
  <c r="R13" i="6"/>
  <c r="R40" i="6"/>
  <c r="R33" i="6"/>
  <c r="R22" i="6"/>
  <c r="R88" i="6"/>
  <c r="R62" i="6"/>
  <c r="R51" i="6"/>
  <c r="R151" i="6"/>
  <c r="R126" i="6"/>
  <c r="R117" i="6"/>
  <c r="R107" i="6"/>
  <c r="R100" i="6"/>
  <c r="R85" i="6"/>
  <c r="R74" i="6"/>
  <c r="R70" i="6"/>
  <c r="R63" i="6"/>
  <c r="R52" i="6"/>
  <c r="R23" i="6"/>
  <c r="R19" i="6"/>
  <c r="R37" i="6"/>
  <c r="R80" i="6"/>
  <c r="R29" i="6"/>
  <c r="R54" i="6"/>
  <c r="R14" i="6"/>
  <c r="R116" i="6"/>
  <c r="R110" i="6"/>
  <c r="R96" i="6"/>
  <c r="R81" i="6"/>
  <c r="R77" i="6"/>
  <c r="R69" i="6"/>
  <c r="R59" i="6"/>
  <c r="R55" i="6"/>
  <c r="R48" i="6"/>
  <c r="R44" i="6"/>
  <c r="R30" i="6"/>
  <c r="R26" i="6"/>
  <c r="R16" i="6"/>
  <c r="R11" i="6"/>
  <c r="R8" i="6"/>
  <c r="R154" i="6"/>
  <c r="R36" i="6"/>
  <c r="R68" i="6"/>
  <c r="R7" i="6"/>
  <c r="R146" i="6"/>
  <c r="R140" i="6"/>
  <c r="R135" i="6"/>
  <c r="R130" i="6"/>
  <c r="R121" i="6"/>
  <c r="R113" i="6"/>
  <c r="R106" i="6"/>
  <c r="R102" i="6"/>
  <c r="R99" i="6"/>
  <c r="R91" i="6"/>
  <c r="R73" i="6"/>
  <c r="R66" i="6"/>
  <c r="R124" i="6"/>
  <c r="R72" i="6"/>
  <c r="R58" i="6"/>
  <c r="R86" i="6"/>
  <c r="R149" i="6"/>
  <c r="R144" i="6"/>
  <c r="R115" i="6"/>
  <c r="R112" i="6"/>
  <c r="R105" i="6"/>
  <c r="R94" i="6"/>
  <c r="R83" i="6"/>
  <c r="R65" i="6"/>
  <c r="R43" i="6"/>
  <c r="R21" i="6"/>
  <c r="R18" i="6"/>
  <c r="R157" i="6"/>
  <c r="R138" i="6"/>
  <c r="R129" i="6"/>
  <c r="R90" i="6"/>
  <c r="R71" i="6"/>
  <c r="R32" i="6"/>
  <c r="R10" i="6"/>
  <c r="O12" i="6"/>
  <c r="B160" i="3"/>
  <c r="B168" i="3"/>
  <c r="N8" i="5" s="1"/>
  <c r="B177" i="3"/>
  <c r="B178" i="3"/>
  <c r="B179" i="3"/>
  <c r="B180" i="3"/>
  <c r="B84" i="3"/>
  <c r="AV12" i="8" l="1"/>
  <c r="AV95" i="8"/>
  <c r="AV14" i="8"/>
  <c r="AV9" i="8"/>
  <c r="AV10" i="8"/>
  <c r="AV108" i="8"/>
  <c r="AV53" i="8"/>
  <c r="AV117" i="8"/>
  <c r="AV106" i="8"/>
  <c r="AV76" i="8"/>
  <c r="AV140" i="8"/>
  <c r="AV21" i="8"/>
  <c r="AV85" i="8"/>
  <c r="AV149" i="8"/>
  <c r="AV82" i="8"/>
  <c r="AV146" i="8"/>
  <c r="AV35" i="8"/>
  <c r="AV47" i="8"/>
  <c r="AV48" i="8"/>
  <c r="AV52" i="8"/>
  <c r="AV116" i="8"/>
  <c r="AV61" i="8"/>
  <c r="AV125" i="8"/>
  <c r="AV18" i="8"/>
  <c r="AV120" i="8"/>
  <c r="K61" i="5"/>
  <c r="B62" i="5"/>
  <c r="B61" i="5"/>
  <c r="K59" i="5"/>
  <c r="AV135" i="8"/>
  <c r="AV64" i="8"/>
  <c r="AV41" i="8"/>
  <c r="AV105" i="8"/>
  <c r="AV123" i="8"/>
  <c r="AV118" i="8"/>
  <c r="AV42" i="8"/>
  <c r="AV72" i="8"/>
  <c r="AV71" i="8"/>
  <c r="AV30" i="8"/>
  <c r="AV59" i="8"/>
  <c r="AV24" i="8"/>
  <c r="AV16" i="8"/>
  <c r="AV32" i="8"/>
  <c r="AV128" i="8"/>
  <c r="AV7" i="8"/>
  <c r="AV50" i="8"/>
  <c r="AV131" i="8"/>
  <c r="AV98" i="8"/>
  <c r="AV20" i="8"/>
  <c r="AV84" i="8"/>
  <c r="AV148" i="8"/>
  <c r="AV29" i="8"/>
  <c r="AV93" i="8"/>
  <c r="AV86" i="8"/>
  <c r="AV15" i="8"/>
  <c r="AV143" i="8"/>
  <c r="AV49" i="8"/>
  <c r="AV113" i="8"/>
  <c r="AV157" i="8"/>
  <c r="AV69" i="8"/>
  <c r="AV54" i="8"/>
  <c r="AV26" i="8"/>
  <c r="AV142" i="8"/>
  <c r="AV126" i="8"/>
  <c r="AV127" i="8"/>
  <c r="AV68" i="8"/>
  <c r="AV132" i="8"/>
  <c r="AV13" i="8"/>
  <c r="AV77" i="8"/>
  <c r="AV141" i="8"/>
  <c r="AV119" i="8"/>
  <c r="AV38" i="8"/>
  <c r="AV60" i="8"/>
  <c r="AV124" i="8"/>
  <c r="AV133" i="8"/>
  <c r="AV8" i="8"/>
  <c r="AV51" i="8"/>
  <c r="AV90" i="8"/>
  <c r="AV34" i="8"/>
  <c r="AV40" i="8"/>
  <c r="AV136" i="8"/>
  <c r="AV63" i="8"/>
  <c r="AV107" i="8"/>
  <c r="AV154" i="8"/>
  <c r="AV80" i="8"/>
  <c r="AV25" i="8"/>
  <c r="AV89" i="8"/>
  <c r="AV153" i="8"/>
  <c r="AV115" i="8"/>
  <c r="AV62" i="8"/>
  <c r="AV152" i="8"/>
  <c r="AV33" i="8"/>
  <c r="AV97" i="8"/>
  <c r="AV36" i="8"/>
  <c r="AV100" i="8"/>
  <c r="AV45" i="8"/>
  <c r="AV109" i="8"/>
  <c r="AV104" i="8"/>
  <c r="AV31" i="8"/>
  <c r="AV19" i="8"/>
  <c r="AV144" i="8"/>
  <c r="AV66" i="8"/>
  <c r="AV83" i="8"/>
  <c r="AV130" i="8"/>
  <c r="AV147" i="8"/>
  <c r="AV56" i="8"/>
  <c r="AV65" i="8"/>
  <c r="AV151" i="8"/>
  <c r="AV23" i="8"/>
  <c r="AV139" i="8"/>
  <c r="AV58" i="8"/>
  <c r="AV112" i="8"/>
  <c r="AV57" i="8"/>
  <c r="AV121" i="8"/>
  <c r="AV150" i="8"/>
  <c r="AV87" i="8"/>
  <c r="AV122" i="8"/>
  <c r="AV46" i="8"/>
  <c r="AV129" i="8"/>
  <c r="AV11" i="8"/>
  <c r="N7" i="5"/>
  <c r="S32" i="6"/>
  <c r="S28" i="6"/>
  <c r="S20" i="6"/>
  <c r="S12" i="6"/>
  <c r="S10" i="6"/>
  <c r="S51" i="6"/>
  <c r="S11" i="6"/>
  <c r="S8" i="6"/>
  <c r="S151" i="6"/>
  <c r="S148" i="6"/>
  <c r="S140" i="6"/>
  <c r="S123" i="6"/>
  <c r="S108" i="6"/>
  <c r="S102" i="6"/>
  <c r="S116" i="6"/>
  <c r="S88" i="6"/>
  <c r="S92" i="6"/>
  <c r="S83" i="6"/>
  <c r="S85" i="6"/>
  <c r="S72" i="6"/>
  <c r="S37" i="6"/>
  <c r="S62" i="6"/>
  <c r="S50" i="6"/>
  <c r="S33" i="6"/>
  <c r="S29" i="6"/>
  <c r="S64" i="6"/>
  <c r="S9" i="6"/>
  <c r="S19" i="6"/>
  <c r="S150" i="6"/>
  <c r="S134" i="6"/>
  <c r="S133" i="6"/>
  <c r="S115" i="6"/>
  <c r="S100" i="6"/>
  <c r="S119" i="6"/>
  <c r="S112" i="6"/>
  <c r="S89" i="6"/>
  <c r="S84" i="6"/>
  <c r="S75" i="6"/>
  <c r="S81" i="6"/>
  <c r="S52" i="6"/>
  <c r="S60" i="6"/>
  <c r="S56" i="6"/>
  <c r="S42" i="6"/>
  <c r="S23" i="6"/>
  <c r="S26" i="6"/>
  <c r="S24" i="6"/>
  <c r="S146" i="6"/>
  <c r="S143" i="6"/>
  <c r="S110" i="6"/>
  <c r="S87" i="6"/>
  <c r="S66" i="6"/>
  <c r="S39" i="6"/>
  <c r="S154" i="6"/>
  <c r="S149" i="6"/>
  <c r="S130" i="6"/>
  <c r="S129" i="6"/>
  <c r="S125" i="6"/>
  <c r="S109" i="6"/>
  <c r="S111" i="6"/>
  <c r="S105" i="6"/>
  <c r="S97" i="6"/>
  <c r="S113" i="6"/>
  <c r="S67" i="6"/>
  <c r="S80" i="6"/>
  <c r="S44" i="6"/>
  <c r="S54" i="6"/>
  <c r="S48" i="6"/>
  <c r="S14" i="6"/>
  <c r="S144" i="6"/>
  <c r="S61" i="6"/>
  <c r="S18" i="6"/>
  <c r="S34" i="6"/>
  <c r="S155" i="6"/>
  <c r="S141" i="6"/>
  <c r="S145" i="6"/>
  <c r="S121" i="6"/>
  <c r="S117" i="6"/>
  <c r="S101" i="6"/>
  <c r="S103" i="6"/>
  <c r="S94" i="6"/>
  <c r="S90" i="6"/>
  <c r="S98" i="6"/>
  <c r="S76" i="6"/>
  <c r="S70" i="6"/>
  <c r="S36" i="6"/>
  <c r="S46" i="6"/>
  <c r="S40" i="6"/>
  <c r="S35" i="6"/>
  <c r="S31" i="6"/>
  <c r="S43" i="6"/>
  <c r="S25" i="6"/>
  <c r="S147" i="6"/>
  <c r="S137" i="6"/>
  <c r="S138" i="6"/>
  <c r="S135" i="6"/>
  <c r="S126" i="6"/>
  <c r="S131" i="6"/>
  <c r="S128" i="6"/>
  <c r="S86" i="6"/>
  <c r="S82" i="6"/>
  <c r="S73" i="6"/>
  <c r="S68" i="6"/>
  <c r="S79" i="6"/>
  <c r="S59" i="6"/>
  <c r="S38" i="6"/>
  <c r="S57" i="6"/>
  <c r="S15" i="6"/>
  <c r="S13" i="6"/>
  <c r="S7" i="6"/>
  <c r="S142" i="6"/>
  <c r="S91" i="6"/>
  <c r="S16" i="6"/>
  <c r="S139" i="6"/>
  <c r="S153" i="6"/>
  <c r="S132" i="6"/>
  <c r="S122" i="6"/>
  <c r="S136" i="6"/>
  <c r="S127" i="6"/>
  <c r="S104" i="6"/>
  <c r="S78" i="6"/>
  <c r="S106" i="6"/>
  <c r="S65" i="6"/>
  <c r="S93" i="6"/>
  <c r="S77" i="6"/>
  <c r="S58" i="6"/>
  <c r="S55" i="6"/>
  <c r="S49" i="6"/>
  <c r="S22" i="6"/>
  <c r="S120" i="6"/>
  <c r="S63" i="6"/>
  <c r="S30" i="6"/>
  <c r="S27" i="6"/>
  <c r="S17" i="6"/>
  <c r="S156" i="6"/>
  <c r="S152" i="6"/>
  <c r="S157" i="6"/>
  <c r="S114" i="6"/>
  <c r="S107" i="6"/>
  <c r="S118" i="6"/>
  <c r="S124" i="6"/>
  <c r="S96" i="6"/>
  <c r="S95" i="6"/>
  <c r="S74" i="6"/>
  <c r="S69" i="6"/>
  <c r="S71" i="6"/>
  <c r="S53" i="6"/>
  <c r="S47" i="6"/>
  <c r="S41" i="6"/>
  <c r="S21" i="6"/>
  <c r="S99" i="6"/>
  <c r="S45" i="6"/>
  <c r="B53" i="5"/>
  <c r="B59" i="5" s="1"/>
  <c r="B163" i="3"/>
  <c r="B164" i="3" s="1"/>
  <c r="AS25" i="5" l="1"/>
  <c r="AS33" i="5"/>
  <c r="AS41" i="5"/>
  <c r="AS49" i="5"/>
  <c r="AS57" i="5"/>
  <c r="AS65" i="5"/>
  <c r="AS26" i="5"/>
  <c r="AS34" i="5"/>
  <c r="AS42" i="5"/>
  <c r="AS50" i="5"/>
  <c r="AS58" i="5"/>
  <c r="AS66" i="5"/>
  <c r="AS27" i="5"/>
  <c r="AS35" i="5"/>
  <c r="AS43" i="5"/>
  <c r="AS51" i="5"/>
  <c r="AS59" i="5"/>
  <c r="AS67" i="5"/>
  <c r="AS75" i="5"/>
  <c r="AS20" i="5"/>
  <c r="AS28" i="5"/>
  <c r="AS36" i="5"/>
  <c r="AS44" i="5"/>
  <c r="AS52" i="5"/>
  <c r="AS60" i="5"/>
  <c r="AS68" i="5"/>
  <c r="AS21" i="5"/>
  <c r="AS29" i="5"/>
  <c r="AS37" i="5"/>
  <c r="AS45" i="5"/>
  <c r="AS53" i="5"/>
  <c r="AS61" i="5"/>
  <c r="AS69" i="5"/>
  <c r="AS22" i="5"/>
  <c r="AS30" i="5"/>
  <c r="AS38" i="5"/>
  <c r="AS46" i="5"/>
  <c r="AS54" i="5"/>
  <c r="AS62" i="5"/>
  <c r="AS70" i="5"/>
  <c r="AS40" i="5"/>
  <c r="AS72" i="5"/>
  <c r="AS81" i="5"/>
  <c r="AS89" i="5"/>
  <c r="AS97" i="5"/>
  <c r="AS105" i="5"/>
  <c r="AS113" i="5"/>
  <c r="AS121" i="5"/>
  <c r="AS129" i="5"/>
  <c r="AS137" i="5"/>
  <c r="AS145" i="5"/>
  <c r="AS153" i="5"/>
  <c r="AS161" i="5"/>
  <c r="AS169" i="5"/>
  <c r="AS177" i="5"/>
  <c r="AS185" i="5"/>
  <c r="AS193" i="5"/>
  <c r="AS201" i="5"/>
  <c r="AS209" i="5"/>
  <c r="AS217" i="5"/>
  <c r="AS225" i="5"/>
  <c r="AS233" i="5"/>
  <c r="AS241" i="5"/>
  <c r="AS249" i="5"/>
  <c r="AS257" i="5"/>
  <c r="AS265" i="5"/>
  <c r="AS273" i="5"/>
  <c r="AS281" i="5"/>
  <c r="AS289" i="5"/>
  <c r="AS297" i="5"/>
  <c r="AS305" i="5"/>
  <c r="AS313" i="5"/>
  <c r="AS321" i="5"/>
  <c r="AS329" i="5"/>
  <c r="AS337" i="5"/>
  <c r="AS345" i="5"/>
  <c r="AS353" i="5"/>
  <c r="AS361" i="5"/>
  <c r="AS369" i="5"/>
  <c r="AS377" i="5"/>
  <c r="AS385" i="5"/>
  <c r="AS393" i="5"/>
  <c r="AS401" i="5"/>
  <c r="AS409" i="5"/>
  <c r="AS417" i="5"/>
  <c r="AS425" i="5"/>
  <c r="AS433" i="5"/>
  <c r="AS441" i="5"/>
  <c r="AS449" i="5"/>
  <c r="AS457" i="5"/>
  <c r="AS465" i="5"/>
  <c r="AS473" i="5"/>
  <c r="AS481" i="5"/>
  <c r="AS489" i="5"/>
  <c r="AS497" i="5"/>
  <c r="AS513" i="5"/>
  <c r="AS553" i="5"/>
  <c r="AS530" i="5"/>
  <c r="AS531" i="5"/>
  <c r="AS47" i="5"/>
  <c r="AS73" i="5"/>
  <c r="AS82" i="5"/>
  <c r="AS90" i="5"/>
  <c r="AS98" i="5"/>
  <c r="AS106" i="5"/>
  <c r="AS114" i="5"/>
  <c r="AS122" i="5"/>
  <c r="AS130" i="5"/>
  <c r="AS138" i="5"/>
  <c r="AS146" i="5"/>
  <c r="AS154" i="5"/>
  <c r="AS162" i="5"/>
  <c r="AS170" i="5"/>
  <c r="AS178" i="5"/>
  <c r="AS186" i="5"/>
  <c r="AS194" i="5"/>
  <c r="AS202" i="5"/>
  <c r="AS210" i="5"/>
  <c r="AS218" i="5"/>
  <c r="AS226" i="5"/>
  <c r="AS234" i="5"/>
  <c r="AS242" i="5"/>
  <c r="AS250" i="5"/>
  <c r="AS258" i="5"/>
  <c r="AS266" i="5"/>
  <c r="AS274" i="5"/>
  <c r="AS282" i="5"/>
  <c r="AS290" i="5"/>
  <c r="AS298" i="5"/>
  <c r="AS306" i="5"/>
  <c r="AS314" i="5"/>
  <c r="AS322" i="5"/>
  <c r="AS330" i="5"/>
  <c r="AS338" i="5"/>
  <c r="AS346" i="5"/>
  <c r="AS354" i="5"/>
  <c r="AS362" i="5"/>
  <c r="AS370" i="5"/>
  <c r="AS378" i="5"/>
  <c r="AS386" i="5"/>
  <c r="AS394" i="5"/>
  <c r="AS402" i="5"/>
  <c r="AS410" i="5"/>
  <c r="AS418" i="5"/>
  <c r="AS426" i="5"/>
  <c r="AS434" i="5"/>
  <c r="AS442" i="5"/>
  <c r="AS450" i="5"/>
  <c r="AS458" i="5"/>
  <c r="AS466" i="5"/>
  <c r="AS474" i="5"/>
  <c r="AS482" i="5"/>
  <c r="AS490" i="5"/>
  <c r="AS498" i="5"/>
  <c r="AS506" i="5"/>
  <c r="AS514" i="5"/>
  <c r="AS546" i="5"/>
  <c r="AS539" i="5"/>
  <c r="AS48" i="5"/>
  <c r="AS74" i="5"/>
  <c r="AS83" i="5"/>
  <c r="AS91" i="5"/>
  <c r="AS99" i="5"/>
  <c r="AS107" i="5"/>
  <c r="AS115" i="5"/>
  <c r="AS123" i="5"/>
  <c r="AS131" i="5"/>
  <c r="AS139" i="5"/>
  <c r="AS147" i="5"/>
  <c r="AS155" i="5"/>
  <c r="AS163" i="5"/>
  <c r="AS171" i="5"/>
  <c r="AS179" i="5"/>
  <c r="AS187" i="5"/>
  <c r="AS195" i="5"/>
  <c r="AS203" i="5"/>
  <c r="AS211" i="5"/>
  <c r="AS219" i="5"/>
  <c r="AS227" i="5"/>
  <c r="AS235" i="5"/>
  <c r="AS243" i="5"/>
  <c r="AS251" i="5"/>
  <c r="AS259" i="5"/>
  <c r="AS267" i="5"/>
  <c r="AS275" i="5"/>
  <c r="AS283" i="5"/>
  <c r="AS291" i="5"/>
  <c r="AS299" i="5"/>
  <c r="AS307" i="5"/>
  <c r="AS315" i="5"/>
  <c r="AS323" i="5"/>
  <c r="AS331" i="5"/>
  <c r="AS339" i="5"/>
  <c r="AS347" i="5"/>
  <c r="AS355" i="5"/>
  <c r="AS363" i="5"/>
  <c r="AS371" i="5"/>
  <c r="AS379" i="5"/>
  <c r="AS387" i="5"/>
  <c r="AS395" i="5"/>
  <c r="AS403" i="5"/>
  <c r="AS411" i="5"/>
  <c r="AS419" i="5"/>
  <c r="AS427" i="5"/>
  <c r="AS435" i="5"/>
  <c r="AS443" i="5"/>
  <c r="AS451" i="5"/>
  <c r="AS459" i="5"/>
  <c r="AS467" i="5"/>
  <c r="AS475" i="5"/>
  <c r="AS483" i="5"/>
  <c r="AS491" i="5"/>
  <c r="AS499" i="5"/>
  <c r="AS507" i="5"/>
  <c r="AS515" i="5"/>
  <c r="AS547" i="5"/>
  <c r="AS23" i="5"/>
  <c r="AS55" i="5"/>
  <c r="AS76" i="5"/>
  <c r="AS84" i="5"/>
  <c r="AS92" i="5"/>
  <c r="AS100" i="5"/>
  <c r="AS108" i="5"/>
  <c r="AS116" i="5"/>
  <c r="AS124" i="5"/>
  <c r="AS132" i="5"/>
  <c r="AS140" i="5"/>
  <c r="AS148" i="5"/>
  <c r="AS156" i="5"/>
  <c r="AS164" i="5"/>
  <c r="AS172" i="5"/>
  <c r="AS180" i="5"/>
  <c r="AS188" i="5"/>
  <c r="AS196" i="5"/>
  <c r="AS204" i="5"/>
  <c r="AS212" i="5"/>
  <c r="AS220" i="5"/>
  <c r="AS228" i="5"/>
  <c r="AS236" i="5"/>
  <c r="AS244" i="5"/>
  <c r="AS252" i="5"/>
  <c r="AS260" i="5"/>
  <c r="AS268" i="5"/>
  <c r="AS276" i="5"/>
  <c r="AS284" i="5"/>
  <c r="AS292" i="5"/>
  <c r="AS300" i="5"/>
  <c r="AS308" i="5"/>
  <c r="AS316" i="5"/>
  <c r="AS324" i="5"/>
  <c r="AS332" i="5"/>
  <c r="AS340" i="5"/>
  <c r="AS348" i="5"/>
  <c r="AS356" i="5"/>
  <c r="AS364" i="5"/>
  <c r="AS372" i="5"/>
  <c r="AS380" i="5"/>
  <c r="AS388" i="5"/>
  <c r="AS396" i="5"/>
  <c r="AS404" i="5"/>
  <c r="AS412" i="5"/>
  <c r="AS420" i="5"/>
  <c r="AS428" i="5"/>
  <c r="AS436" i="5"/>
  <c r="AS444" i="5"/>
  <c r="AS452" i="5"/>
  <c r="AS460" i="5"/>
  <c r="AS468" i="5"/>
  <c r="AS476" i="5"/>
  <c r="AS484" i="5"/>
  <c r="AS492" i="5"/>
  <c r="AS500" i="5"/>
  <c r="AS508" i="5"/>
  <c r="AS516" i="5"/>
  <c r="AS524" i="5"/>
  <c r="AS24" i="5"/>
  <c r="AS56" i="5"/>
  <c r="AS77" i="5"/>
  <c r="AS85" i="5"/>
  <c r="AS93" i="5"/>
  <c r="AS101" i="5"/>
  <c r="AS109" i="5"/>
  <c r="AS117" i="5"/>
  <c r="AS125" i="5"/>
  <c r="AS133" i="5"/>
  <c r="AS141" i="5"/>
  <c r="AS149" i="5"/>
  <c r="AS157" i="5"/>
  <c r="AS165" i="5"/>
  <c r="AS173" i="5"/>
  <c r="AS181" i="5"/>
  <c r="AS189" i="5"/>
  <c r="AS197" i="5"/>
  <c r="AS205" i="5"/>
  <c r="AS213" i="5"/>
  <c r="AS221" i="5"/>
  <c r="AS229" i="5"/>
  <c r="AS237" i="5"/>
  <c r="AS245" i="5"/>
  <c r="AS253" i="5"/>
  <c r="AS261" i="5"/>
  <c r="AS269" i="5"/>
  <c r="AS277" i="5"/>
  <c r="AS285" i="5"/>
  <c r="AS293" i="5"/>
  <c r="AS301" i="5"/>
  <c r="AS309" i="5"/>
  <c r="AS317" i="5"/>
  <c r="AS325" i="5"/>
  <c r="AS333" i="5"/>
  <c r="AS341" i="5"/>
  <c r="AS349" i="5"/>
  <c r="AS357" i="5"/>
  <c r="AS365" i="5"/>
  <c r="AS373" i="5"/>
  <c r="AS381" i="5"/>
  <c r="AS389" i="5"/>
  <c r="AS397" i="5"/>
  <c r="AS405" i="5"/>
  <c r="AS413" i="5"/>
  <c r="AS421" i="5"/>
  <c r="AS429" i="5"/>
  <c r="AS437" i="5"/>
  <c r="AS445" i="5"/>
  <c r="AS453" i="5"/>
  <c r="AS461" i="5"/>
  <c r="AS469" i="5"/>
  <c r="AS477" i="5"/>
  <c r="AS485" i="5"/>
  <c r="AS493" i="5"/>
  <c r="AS501" i="5"/>
  <c r="AS509" i="5"/>
  <c r="AS517" i="5"/>
  <c r="AS525" i="5"/>
  <c r="AS32" i="5"/>
  <c r="AS64" i="5"/>
  <c r="AS79" i="5"/>
  <c r="AS87" i="5"/>
  <c r="AS95" i="5"/>
  <c r="AS103" i="5"/>
  <c r="AS111" i="5"/>
  <c r="AS119" i="5"/>
  <c r="AS127" i="5"/>
  <c r="AS135" i="5"/>
  <c r="AS143" i="5"/>
  <c r="AS151" i="5"/>
  <c r="AS159" i="5"/>
  <c r="AS167" i="5"/>
  <c r="AS175" i="5"/>
  <c r="AS183" i="5"/>
  <c r="AS191" i="5"/>
  <c r="AS199" i="5"/>
  <c r="AS207" i="5"/>
  <c r="AS215" i="5"/>
  <c r="AS223" i="5"/>
  <c r="AS231" i="5"/>
  <c r="AS239" i="5"/>
  <c r="AS247" i="5"/>
  <c r="AS255" i="5"/>
  <c r="AS263" i="5"/>
  <c r="AS271" i="5"/>
  <c r="AS279" i="5"/>
  <c r="AS287" i="5"/>
  <c r="AS295" i="5"/>
  <c r="AS303" i="5"/>
  <c r="AS311" i="5"/>
  <c r="AS319" i="5"/>
  <c r="AS327" i="5"/>
  <c r="AS335" i="5"/>
  <c r="AS343" i="5"/>
  <c r="AS351" i="5"/>
  <c r="AS359" i="5"/>
  <c r="AS367" i="5"/>
  <c r="AS375" i="5"/>
  <c r="AS383" i="5"/>
  <c r="AS391" i="5"/>
  <c r="AS399" i="5"/>
  <c r="AS407" i="5"/>
  <c r="AS415" i="5"/>
  <c r="AS423" i="5"/>
  <c r="AS431" i="5"/>
  <c r="AS439" i="5"/>
  <c r="AS447" i="5"/>
  <c r="AS455" i="5"/>
  <c r="AS463" i="5"/>
  <c r="AS471" i="5"/>
  <c r="AS479" i="5"/>
  <c r="AS487" i="5"/>
  <c r="AS495" i="5"/>
  <c r="AS503" i="5"/>
  <c r="AS511" i="5"/>
  <c r="AS519" i="5"/>
  <c r="AS527" i="5"/>
  <c r="AS535" i="5"/>
  <c r="AS543" i="5"/>
  <c r="AS551" i="5"/>
  <c r="AS559" i="5"/>
  <c r="AS560" i="5"/>
  <c r="AS521" i="5"/>
  <c r="AS545" i="5"/>
  <c r="AS538" i="5"/>
  <c r="AS39" i="5"/>
  <c r="AS71" i="5"/>
  <c r="AS80" i="5"/>
  <c r="AS88" i="5"/>
  <c r="AS96" i="5"/>
  <c r="AS104" i="5"/>
  <c r="AS112" i="5"/>
  <c r="AS120" i="5"/>
  <c r="AS128" i="5"/>
  <c r="AS136" i="5"/>
  <c r="AS144" i="5"/>
  <c r="AS152" i="5"/>
  <c r="AS160" i="5"/>
  <c r="AS168" i="5"/>
  <c r="AS176" i="5"/>
  <c r="AS184" i="5"/>
  <c r="AS192" i="5"/>
  <c r="AS200" i="5"/>
  <c r="AS208" i="5"/>
  <c r="AS216" i="5"/>
  <c r="AS224" i="5"/>
  <c r="AS232" i="5"/>
  <c r="AS240" i="5"/>
  <c r="AS248" i="5"/>
  <c r="AS256" i="5"/>
  <c r="AS264" i="5"/>
  <c r="AS272" i="5"/>
  <c r="AS280" i="5"/>
  <c r="AS288" i="5"/>
  <c r="AS296" i="5"/>
  <c r="AS304" i="5"/>
  <c r="AS312" i="5"/>
  <c r="AS320" i="5"/>
  <c r="AS328" i="5"/>
  <c r="AS336" i="5"/>
  <c r="AS344" i="5"/>
  <c r="AS352" i="5"/>
  <c r="AS360" i="5"/>
  <c r="AS368" i="5"/>
  <c r="AS376" i="5"/>
  <c r="AS384" i="5"/>
  <c r="AS392" i="5"/>
  <c r="AS400" i="5"/>
  <c r="AS408" i="5"/>
  <c r="AS416" i="5"/>
  <c r="AS424" i="5"/>
  <c r="AS432" i="5"/>
  <c r="AS440" i="5"/>
  <c r="AS448" i="5"/>
  <c r="AS456" i="5"/>
  <c r="AS464" i="5"/>
  <c r="AS472" i="5"/>
  <c r="AS480" i="5"/>
  <c r="AS488" i="5"/>
  <c r="AS496" i="5"/>
  <c r="AS504" i="5"/>
  <c r="AS512" i="5"/>
  <c r="AS520" i="5"/>
  <c r="AS528" i="5"/>
  <c r="AS536" i="5"/>
  <c r="AS544" i="5"/>
  <c r="AS552" i="5"/>
  <c r="AS505" i="5"/>
  <c r="AS529" i="5"/>
  <c r="AS537" i="5"/>
  <c r="AS522" i="5"/>
  <c r="AS554" i="5"/>
  <c r="AS523" i="5"/>
  <c r="AS102" i="5"/>
  <c r="AS166" i="5"/>
  <c r="AS230" i="5"/>
  <c r="AS294" i="5"/>
  <c r="AS358" i="5"/>
  <c r="AS422" i="5"/>
  <c r="AS486" i="5"/>
  <c r="AS534" i="5"/>
  <c r="AS556" i="5"/>
  <c r="AS374" i="5"/>
  <c r="AS541" i="5"/>
  <c r="AS446" i="5"/>
  <c r="AS548" i="5"/>
  <c r="AS142" i="5"/>
  <c r="AS398" i="5"/>
  <c r="AS550" i="5"/>
  <c r="AS110" i="5"/>
  <c r="AS174" i="5"/>
  <c r="AS238" i="5"/>
  <c r="AS302" i="5"/>
  <c r="AS366" i="5"/>
  <c r="AS430" i="5"/>
  <c r="AS494" i="5"/>
  <c r="AS540" i="5"/>
  <c r="AS557" i="5"/>
  <c r="AS8" i="5"/>
  <c r="AS502" i="5"/>
  <c r="AS558" i="5"/>
  <c r="AS510" i="5"/>
  <c r="AS78" i="5"/>
  <c r="AS462" i="5"/>
  <c r="AS555" i="5"/>
  <c r="AS118" i="5"/>
  <c r="AS182" i="5"/>
  <c r="AS246" i="5"/>
  <c r="AS310" i="5"/>
  <c r="AS438" i="5"/>
  <c r="AS518" i="5"/>
  <c r="AS270" i="5"/>
  <c r="AS549" i="5"/>
  <c r="AS31" i="5"/>
  <c r="AS126" i="5"/>
  <c r="AS190" i="5"/>
  <c r="AS254" i="5"/>
  <c r="AS318" i="5"/>
  <c r="AS382" i="5"/>
  <c r="AS542" i="5"/>
  <c r="AS206" i="5"/>
  <c r="AS19" i="5"/>
  <c r="AS63" i="5"/>
  <c r="AS134" i="5"/>
  <c r="AS198" i="5"/>
  <c r="AS262" i="5"/>
  <c r="AS326" i="5"/>
  <c r="AS390" i="5"/>
  <c r="AS454" i="5"/>
  <c r="AS334" i="5"/>
  <c r="AS526" i="5"/>
  <c r="AS533" i="5"/>
  <c r="AS86" i="5"/>
  <c r="AS150" i="5"/>
  <c r="AS214" i="5"/>
  <c r="AS278" i="5"/>
  <c r="AS342" i="5"/>
  <c r="AS406" i="5"/>
  <c r="AS470" i="5"/>
  <c r="AS532" i="5"/>
  <c r="AS7" i="5"/>
  <c r="AS94" i="5"/>
  <c r="AS158" i="5"/>
  <c r="AS222" i="5"/>
  <c r="AS286" i="5"/>
  <c r="AS350" i="5"/>
  <c r="AS414" i="5"/>
  <c r="AS478" i="5"/>
  <c r="AV99" i="6"/>
  <c r="AV68" i="6"/>
  <c r="AV24" i="6"/>
  <c r="AV102" i="6"/>
  <c r="AV96" i="6"/>
  <c r="AV17" i="6"/>
  <c r="AV58" i="6"/>
  <c r="AV136" i="6"/>
  <c r="AV7" i="6"/>
  <c r="AV73" i="6"/>
  <c r="AV137" i="6"/>
  <c r="AV36" i="6"/>
  <c r="AV117" i="6"/>
  <c r="AV144" i="6"/>
  <c r="AV97" i="6"/>
  <c r="AV154" i="6"/>
  <c r="AV26" i="6"/>
  <c r="AV84" i="6"/>
  <c r="AV150" i="6"/>
  <c r="AV37" i="6"/>
  <c r="AV108" i="6"/>
  <c r="AV10" i="6"/>
  <c r="AV156" i="6"/>
  <c r="AV138" i="6"/>
  <c r="AV62" i="6"/>
  <c r="AV27" i="6"/>
  <c r="AV77" i="6"/>
  <c r="AV122" i="6"/>
  <c r="AV13" i="6"/>
  <c r="AV82" i="6"/>
  <c r="AV147" i="6"/>
  <c r="AV70" i="6"/>
  <c r="AV121" i="6"/>
  <c r="AV14" i="6"/>
  <c r="AV105" i="6"/>
  <c r="AV39" i="6"/>
  <c r="AV23" i="6"/>
  <c r="AV89" i="6"/>
  <c r="AV19" i="6"/>
  <c r="AV72" i="6"/>
  <c r="AV123" i="6"/>
  <c r="AV12" i="6"/>
  <c r="AV95" i="6"/>
  <c r="AV142" i="6"/>
  <c r="AV149" i="6"/>
  <c r="AV134" i="6"/>
  <c r="AV47" i="6"/>
  <c r="AV93" i="6"/>
  <c r="AV86" i="6"/>
  <c r="AV76" i="6"/>
  <c r="AV48" i="6"/>
  <c r="AV111" i="6"/>
  <c r="AV66" i="6"/>
  <c r="AV42" i="6"/>
  <c r="AV112" i="6"/>
  <c r="AV9" i="6"/>
  <c r="AV85" i="6"/>
  <c r="AV140" i="6"/>
  <c r="AV20" i="6"/>
  <c r="AV127" i="6"/>
  <c r="AV113" i="6"/>
  <c r="AV51" i="6"/>
  <c r="AV21" i="6"/>
  <c r="AV41" i="6"/>
  <c r="AV124" i="6"/>
  <c r="AV118" i="6"/>
  <c r="AV30" i="6"/>
  <c r="AV132" i="6"/>
  <c r="AV15" i="6"/>
  <c r="AV25" i="6"/>
  <c r="AV145" i="6"/>
  <c r="AV53" i="6"/>
  <c r="AV107" i="6"/>
  <c r="AV63" i="6"/>
  <c r="AV65" i="6"/>
  <c r="AV153" i="6"/>
  <c r="AV57" i="6"/>
  <c r="AV128" i="6"/>
  <c r="AV43" i="6"/>
  <c r="AV98" i="6"/>
  <c r="AV141" i="6"/>
  <c r="AV54" i="6"/>
  <c r="AV109" i="6"/>
  <c r="AV87" i="6"/>
  <c r="AV56" i="6"/>
  <c r="AV119" i="6"/>
  <c r="AV64" i="6"/>
  <c r="AV83" i="6"/>
  <c r="AV148" i="6"/>
  <c r="AV28" i="6"/>
  <c r="AV61" i="6"/>
  <c r="AV71" i="6"/>
  <c r="AV114" i="6"/>
  <c r="AV120" i="6"/>
  <c r="AV106" i="6"/>
  <c r="AV139" i="6"/>
  <c r="AV38" i="6"/>
  <c r="AV131" i="6"/>
  <c r="AV31" i="6"/>
  <c r="AV90" i="6"/>
  <c r="AV155" i="6"/>
  <c r="AV44" i="6"/>
  <c r="AV125" i="6"/>
  <c r="AV110" i="6"/>
  <c r="AV60" i="6"/>
  <c r="AV100" i="6"/>
  <c r="AV29" i="6"/>
  <c r="AV92" i="6"/>
  <c r="AV151" i="6"/>
  <c r="AV32" i="6"/>
  <c r="AV101" i="6"/>
  <c r="AV69" i="6"/>
  <c r="AV157" i="6"/>
  <c r="AV22" i="6"/>
  <c r="AV78" i="6"/>
  <c r="AV16" i="6"/>
  <c r="AV59" i="6"/>
  <c r="AV126" i="6"/>
  <c r="AV35" i="6"/>
  <c r="AV94" i="6"/>
  <c r="AV34" i="6"/>
  <c r="AV80" i="6"/>
  <c r="AV129" i="6"/>
  <c r="AV143" i="6"/>
  <c r="AV52" i="6"/>
  <c r="AV115" i="6"/>
  <c r="AV33" i="6"/>
  <c r="AV88" i="6"/>
  <c r="AV8" i="6"/>
  <c r="AV55" i="6"/>
  <c r="AV46" i="6"/>
  <c r="AV75" i="6"/>
  <c r="AV45" i="6"/>
  <c r="AV74" i="6"/>
  <c r="AV152" i="6"/>
  <c r="AV49" i="6"/>
  <c r="AV104" i="6"/>
  <c r="AV91" i="6"/>
  <c r="AV79" i="6"/>
  <c r="AV135" i="6"/>
  <c r="AV40" i="6"/>
  <c r="AV103" i="6"/>
  <c r="AV18" i="6"/>
  <c r="AV67" i="6"/>
  <c r="AV130" i="6"/>
  <c r="AV146" i="6"/>
  <c r="AV81" i="6"/>
  <c r="AV133" i="6"/>
  <c r="AV50" i="6"/>
  <c r="AV116" i="6"/>
  <c r="AV11" i="6"/>
  <c r="AR19" i="5"/>
  <c r="AR550" i="5"/>
  <c r="AR548" i="5"/>
  <c r="AR540" i="5"/>
  <c r="AR529" i="5"/>
  <c r="AR520" i="5"/>
  <c r="AR513" i="5"/>
  <c r="AR511" i="5"/>
  <c r="AR510" i="5"/>
  <c r="AR504" i="5"/>
  <c r="AR501" i="5"/>
  <c r="AR484" i="5"/>
  <c r="AR483" i="5"/>
  <c r="AR473" i="5"/>
  <c r="AR459" i="5"/>
  <c r="AR448" i="5"/>
  <c r="AR441" i="5"/>
  <c r="AR440" i="5"/>
  <c r="AR430" i="5"/>
  <c r="AR425" i="5"/>
  <c r="AR423" i="5"/>
  <c r="AR422" i="5"/>
  <c r="AR409" i="5"/>
  <c r="AR407" i="5"/>
  <c r="AR375" i="5"/>
  <c r="AR361" i="5"/>
  <c r="AR357" i="5"/>
  <c r="AR356" i="5"/>
  <c r="AR353" i="5"/>
  <c r="AR346" i="5"/>
  <c r="AR321" i="5"/>
  <c r="AR319" i="5"/>
  <c r="AR301" i="5"/>
  <c r="AR299" i="5"/>
  <c r="AR297" i="5"/>
  <c r="AR295" i="5"/>
  <c r="AR290" i="5"/>
  <c r="AR265" i="5"/>
  <c r="AR262" i="5"/>
  <c r="AR249" i="5"/>
  <c r="AR246" i="5"/>
  <c r="AR245" i="5"/>
  <c r="AR240" i="5"/>
  <c r="AR229" i="5"/>
  <c r="AR213" i="5"/>
  <c r="AR178" i="5"/>
  <c r="AR175" i="5"/>
  <c r="AR170" i="5"/>
  <c r="AR157" i="5"/>
  <c r="AR155" i="5"/>
  <c r="AR149" i="5"/>
  <c r="AR140" i="5"/>
  <c r="AR136" i="5"/>
  <c r="AR128" i="5"/>
  <c r="AR118" i="5"/>
  <c r="AR114" i="5"/>
  <c r="AR113" i="5"/>
  <c r="AR109" i="5"/>
  <c r="AR104" i="5"/>
  <c r="AR100" i="5"/>
  <c r="AR87" i="5"/>
  <c r="AR85" i="5"/>
  <c r="AR67" i="5"/>
  <c r="AR64" i="5"/>
  <c r="AR54" i="5"/>
  <c r="AR49" i="5"/>
  <c r="AR44" i="5"/>
  <c r="AR42" i="5"/>
  <c r="AR36" i="5"/>
  <c r="AR34" i="5"/>
  <c r="AR27" i="5"/>
  <c r="AR25" i="5"/>
  <c r="AR26" i="5"/>
  <c r="AR22" i="5"/>
  <c r="AR534" i="5"/>
  <c r="AR532" i="5"/>
  <c r="AR530" i="5"/>
  <c r="AR525" i="5"/>
  <c r="AR515" i="5"/>
  <c r="AR514" i="5"/>
  <c r="AR490" i="5"/>
  <c r="AR481" i="5"/>
  <c r="AR476" i="5"/>
  <c r="AR472" i="5"/>
  <c r="AR467" i="5"/>
  <c r="AR466" i="5"/>
  <c r="AR462" i="5"/>
  <c r="AR456" i="5"/>
  <c r="AR451" i="5"/>
  <c r="AR449" i="5"/>
  <c r="AR447" i="5"/>
  <c r="AR445" i="5"/>
  <c r="AR438" i="5"/>
  <c r="AR435" i="5"/>
  <c r="AR420" i="5"/>
  <c r="AR418" i="5"/>
  <c r="AR412" i="5"/>
  <c r="AR410" i="5"/>
  <c r="AR392" i="5"/>
  <c r="AR387" i="5"/>
  <c r="AR381" i="5"/>
  <c r="AR377" i="5"/>
  <c r="AR369" i="5"/>
  <c r="AR351" i="5"/>
  <c r="AR342" i="5"/>
  <c r="AR338" i="5"/>
  <c r="AR323" i="5"/>
  <c r="AR313" i="5"/>
  <c r="AR307" i="5"/>
  <c r="AR285" i="5"/>
  <c r="AR275" i="5"/>
  <c r="AR259" i="5"/>
  <c r="AR258" i="5"/>
  <c r="AR255" i="5"/>
  <c r="AR254" i="5"/>
  <c r="AR252" i="5"/>
  <c r="AR234" i="5"/>
  <c r="AR226" i="5"/>
  <c r="AR223" i="5"/>
  <c r="AR222" i="5"/>
  <c r="AR207" i="5"/>
  <c r="AR206" i="5"/>
  <c r="AR202" i="5"/>
  <c r="AR198" i="5"/>
  <c r="AR196" i="5"/>
  <c r="AR187" i="5"/>
  <c r="AR184" i="5"/>
  <c r="AR172" i="5"/>
  <c r="AR171" i="5"/>
  <c r="AR158" i="5"/>
  <c r="AR148" i="5"/>
  <c r="AR144" i="5"/>
  <c r="AR122" i="5"/>
  <c r="AR112" i="5"/>
  <c r="AR108" i="5"/>
  <c r="AR107" i="5"/>
  <c r="AR93" i="5"/>
  <c r="AR92" i="5"/>
  <c r="AR82" i="5"/>
  <c r="AR79" i="5"/>
  <c r="AR76" i="5"/>
  <c r="AR72" i="5"/>
  <c r="AR71" i="5"/>
  <c r="AR70" i="5"/>
  <c r="AR61" i="5"/>
  <c r="AR48" i="5"/>
  <c r="AR558" i="5"/>
  <c r="AR535" i="5"/>
  <c r="AR491" i="5"/>
  <c r="AR546" i="5"/>
  <c r="AR522" i="5"/>
  <c r="AR517" i="5"/>
  <c r="AR516" i="5"/>
  <c r="AR512" i="5"/>
  <c r="AR503" i="5"/>
  <c r="AR485" i="5"/>
  <c r="AR457" i="5"/>
  <c r="AR437" i="5"/>
  <c r="AR411" i="5"/>
  <c r="AR395" i="5"/>
  <c r="AR393" i="5"/>
  <c r="AR388" i="5"/>
  <c r="AR386" i="5"/>
  <c r="AR379" i="5"/>
  <c r="AR370" i="5"/>
  <c r="AR368" i="5"/>
  <c r="AR362" i="5"/>
  <c r="AR360" i="5"/>
  <c r="AR359" i="5"/>
  <c r="AR358" i="5"/>
  <c r="AR339" i="5"/>
  <c r="AR333" i="5"/>
  <c r="AR314" i="5"/>
  <c r="AR305" i="5"/>
  <c r="AR288" i="5"/>
  <c r="AR287" i="5"/>
  <c r="AR286" i="5"/>
  <c r="AR272" i="5"/>
  <c r="AR271" i="5"/>
  <c r="AR270" i="5"/>
  <c r="AR269" i="5"/>
  <c r="AR233" i="5"/>
  <c r="AR218" i="5"/>
  <c r="AR199" i="5"/>
  <c r="AR195" i="5"/>
  <c r="AR188" i="5"/>
  <c r="AR182" i="5"/>
  <c r="AR179" i="5"/>
  <c r="AR167" i="5"/>
  <c r="AR163" i="5"/>
  <c r="AR146" i="5"/>
  <c r="AR142" i="5"/>
  <c r="AR141" i="5"/>
  <c r="AR129" i="5"/>
  <c r="AR102" i="5"/>
  <c r="AR98" i="5"/>
  <c r="AR84" i="5"/>
  <c r="AR68" i="5"/>
  <c r="AR51" i="5"/>
  <c r="AR45" i="5"/>
  <c r="AR39" i="5"/>
  <c r="AR37" i="5"/>
  <c r="AR33" i="5"/>
  <c r="AR28" i="5"/>
  <c r="AR24" i="5"/>
  <c r="AR523" i="5"/>
  <c r="AR552" i="5"/>
  <c r="AR539" i="5"/>
  <c r="AR528" i="5"/>
  <c r="AR521" i="5"/>
  <c r="AR497" i="5"/>
  <c r="AR494" i="5"/>
  <c r="AR478" i="5"/>
  <c r="AR468" i="5"/>
  <c r="AR461" i="5"/>
  <c r="AR434" i="5"/>
  <c r="AR424" i="5"/>
  <c r="AR415" i="5"/>
  <c r="AR414" i="5"/>
  <c r="AR413" i="5"/>
  <c r="AR405" i="5"/>
  <c r="AR401" i="5"/>
  <c r="AR398" i="5"/>
  <c r="AR363" i="5"/>
  <c r="AR355" i="5"/>
  <c r="AR350" i="5"/>
  <c r="AR344" i="5"/>
  <c r="AR336" i="5"/>
  <c r="AR312" i="5"/>
  <c r="AR298" i="5"/>
  <c r="AR294" i="5"/>
  <c r="AR281" i="5"/>
  <c r="AR280" i="5"/>
  <c r="AR278" i="5"/>
  <c r="AR276" i="5"/>
  <c r="AR267" i="5"/>
  <c r="AR261" i="5"/>
  <c r="AR253" i="5"/>
  <c r="AR250" i="5"/>
  <c r="AR224" i="5"/>
  <c r="AR216" i="5"/>
  <c r="AR212" i="5"/>
  <c r="AR204" i="5"/>
  <c r="AR191" i="5"/>
  <c r="AR185" i="5"/>
  <c r="AR174" i="5"/>
  <c r="AR173" i="5"/>
  <c r="AR153" i="5"/>
  <c r="AR139" i="5"/>
  <c r="AR125" i="5"/>
  <c r="AR117" i="5"/>
  <c r="AR105" i="5"/>
  <c r="AR90" i="5"/>
  <c r="AR77" i="5"/>
  <c r="AR74" i="5"/>
  <c r="AR66" i="5"/>
  <c r="AR63" i="5"/>
  <c r="AR57" i="5"/>
  <c r="AR40" i="5"/>
  <c r="AR31" i="5"/>
  <c r="AR29" i="5"/>
  <c r="AR509" i="5"/>
  <c r="AR557" i="5"/>
  <c r="AR556" i="5"/>
  <c r="AR554" i="5"/>
  <c r="AR553" i="5"/>
  <c r="AR551" i="5"/>
  <c r="AR545" i="5"/>
  <c r="AR544" i="5"/>
  <c r="AR543" i="5"/>
  <c r="AR527" i="5"/>
  <c r="AR519" i="5"/>
  <c r="AR502" i="5"/>
  <c r="AR486" i="5"/>
  <c r="AR477" i="5"/>
  <c r="AR474" i="5"/>
  <c r="AR469" i="5"/>
  <c r="AR465" i="5"/>
  <c r="AR460" i="5"/>
  <c r="AR443" i="5"/>
  <c r="AR439" i="5"/>
  <c r="AR436" i="5"/>
  <c r="AR428" i="5"/>
  <c r="AR417" i="5"/>
  <c r="AR404" i="5"/>
  <c r="AR399" i="5"/>
  <c r="AR373" i="5"/>
  <c r="AR367" i="5"/>
  <c r="AR349" i="5"/>
  <c r="AR347" i="5"/>
  <c r="AR343" i="5"/>
  <c r="AR341" i="5"/>
  <c r="AR335" i="5"/>
  <c r="AR327" i="5"/>
  <c r="AR326" i="5"/>
  <c r="AR322" i="5"/>
  <c r="AR318" i="5"/>
  <c r="AR310" i="5"/>
  <c r="AR303" i="5"/>
  <c r="AR296" i="5"/>
  <c r="AR284" i="5"/>
  <c r="AR282" i="5"/>
  <c r="AR277" i="5"/>
  <c r="AR251" i="5"/>
  <c r="AR244" i="5"/>
  <c r="AR243" i="5"/>
  <c r="AR239" i="5"/>
  <c r="AR236" i="5"/>
  <c r="AR225" i="5"/>
  <c r="AR211" i="5"/>
  <c r="AR201" i="5"/>
  <c r="AR194" i="5"/>
  <c r="AR193" i="5"/>
  <c r="AR192" i="5"/>
  <c r="AR190" i="5"/>
  <c r="AR189" i="5"/>
  <c r="AR186" i="5"/>
  <c r="AR180" i="5"/>
  <c r="AR176" i="5"/>
  <c r="AR168" i="5"/>
  <c r="AR164" i="5"/>
  <c r="AR160" i="5"/>
  <c r="AR159" i="5"/>
  <c r="AR156" i="5"/>
  <c r="AR143" i="5"/>
  <c r="AR137" i="5"/>
  <c r="AR126" i="5"/>
  <c r="AR123" i="5"/>
  <c r="AR116" i="5"/>
  <c r="AR115" i="5"/>
  <c r="AR97" i="5"/>
  <c r="AR96" i="5"/>
  <c r="AR94" i="5"/>
  <c r="AR86" i="5"/>
  <c r="AR83" i="5"/>
  <c r="AR81" i="5"/>
  <c r="AR80" i="5"/>
  <c r="AR62" i="5"/>
  <c r="AR56" i="5"/>
  <c r="AR52" i="5"/>
  <c r="AR50" i="5"/>
  <c r="AR47" i="5"/>
  <c r="AR41" i="5"/>
  <c r="AR20" i="5"/>
  <c r="AR547" i="5"/>
  <c r="AR498" i="5"/>
  <c r="AR542" i="5"/>
  <c r="AR541" i="5"/>
  <c r="AR536" i="5"/>
  <c r="AR526" i="5"/>
  <c r="AR524" i="5"/>
  <c r="AR518" i="5"/>
  <c r="AR508" i="5"/>
  <c r="AR479" i="5"/>
  <c r="AR475" i="5"/>
  <c r="AR463" i="5"/>
  <c r="AR458" i="5"/>
  <c r="AR452" i="5"/>
  <c r="AR444" i="5"/>
  <c r="AR442" i="5"/>
  <c r="AR431" i="5"/>
  <c r="AR429" i="5"/>
  <c r="AR419" i="5"/>
  <c r="AR397" i="5"/>
  <c r="AR391" i="5"/>
  <c r="AR390" i="5"/>
  <c r="AR389" i="5"/>
  <c r="AR374" i="5"/>
  <c r="AR371" i="5"/>
  <c r="AR352" i="5"/>
  <c r="AR329" i="5"/>
  <c r="AR325" i="5"/>
  <c r="AR320" i="5"/>
  <c r="AR317" i="5"/>
  <c r="AR316" i="5"/>
  <c r="AR311" i="5"/>
  <c r="AR309" i="5"/>
  <c r="AR308" i="5"/>
  <c r="AR292" i="5"/>
  <c r="AR268" i="5"/>
  <c r="AR263" i="5"/>
  <c r="AR260" i="5"/>
  <c r="AR256" i="5"/>
  <c r="AR241" i="5"/>
  <c r="AR237" i="5"/>
  <c r="AR235" i="5"/>
  <c r="AR232" i="5"/>
  <c r="AR227" i="5"/>
  <c r="AR220" i="5"/>
  <c r="AR219" i="5"/>
  <c r="AR214" i="5"/>
  <c r="AR210" i="5"/>
  <c r="AR205" i="5"/>
  <c r="AR183" i="5"/>
  <c r="AR181" i="5"/>
  <c r="AR154" i="5"/>
  <c r="AR152" i="5"/>
  <c r="AR145" i="5"/>
  <c r="AR131" i="5"/>
  <c r="AR124" i="5"/>
  <c r="AR119" i="5"/>
  <c r="AR91" i="5"/>
  <c r="AR89" i="5"/>
  <c r="AR59" i="5"/>
  <c r="AR53" i="5"/>
  <c r="AR46" i="5"/>
  <c r="AR38" i="5"/>
  <c r="AR489" i="5"/>
  <c r="AR560" i="5"/>
  <c r="AR555" i="5"/>
  <c r="AR549" i="5"/>
  <c r="AR538" i="5"/>
  <c r="AR537" i="5"/>
  <c r="AR533" i="5"/>
  <c r="AR531" i="5"/>
  <c r="AR507" i="5"/>
  <c r="AR505" i="5"/>
  <c r="AR500" i="5"/>
  <c r="AR499" i="5"/>
  <c r="AR496" i="5"/>
  <c r="AR493" i="5"/>
  <c r="AR492" i="5"/>
  <c r="AR488" i="5"/>
  <c r="AR487" i="5"/>
  <c r="AR482" i="5"/>
  <c r="AR455" i="5"/>
  <c r="AR453" i="5"/>
  <c r="AR450" i="5"/>
  <c r="AR446" i="5"/>
  <c r="AR433" i="5"/>
  <c r="AR427" i="5"/>
  <c r="AR421" i="5"/>
  <c r="AR408" i="5"/>
  <c r="AR402" i="5"/>
  <c r="AR383" i="5"/>
  <c r="AR382" i="5"/>
  <c r="AR380" i="5"/>
  <c r="AR365" i="5"/>
  <c r="AR354" i="5"/>
  <c r="AR348" i="5"/>
  <c r="AR345" i="5"/>
  <c r="AR340" i="5"/>
  <c r="AR337" i="5"/>
  <c r="AR331" i="5"/>
  <c r="AR315" i="5"/>
  <c r="AR304" i="5"/>
  <c r="AR302" i="5"/>
  <c r="AR289" i="5"/>
  <c r="AR273" i="5"/>
  <c r="AR257" i="5"/>
  <c r="AR248" i="5"/>
  <c r="AR247" i="5"/>
  <c r="AR231" i="5"/>
  <c r="AR215" i="5"/>
  <c r="AR209" i="5"/>
  <c r="AR177" i="5"/>
  <c r="AR169" i="5"/>
  <c r="AR165" i="5"/>
  <c r="AR161" i="5"/>
  <c r="AR151" i="5"/>
  <c r="AR150" i="5"/>
  <c r="AR147" i="5"/>
  <c r="AR133" i="5"/>
  <c r="AR127" i="5"/>
  <c r="AR121" i="5"/>
  <c r="AR120" i="5"/>
  <c r="AR110" i="5"/>
  <c r="AR106" i="5"/>
  <c r="AR101" i="5"/>
  <c r="AR88" i="5"/>
  <c r="AR78" i="5"/>
  <c r="AR75" i="5"/>
  <c r="AR73" i="5"/>
  <c r="AR69" i="5"/>
  <c r="AR43" i="5"/>
  <c r="AR35" i="5"/>
  <c r="AR32" i="5"/>
  <c r="AR30" i="5"/>
  <c r="AR21" i="5"/>
  <c r="AR506" i="5"/>
  <c r="AR495" i="5"/>
  <c r="AR454" i="5"/>
  <c r="AR400" i="5"/>
  <c r="AR334" i="5"/>
  <c r="AR266" i="5"/>
  <c r="AR230" i="5"/>
  <c r="AR200" i="5"/>
  <c r="AR166" i="5"/>
  <c r="AR111" i="5"/>
  <c r="AR23" i="5"/>
  <c r="AR464" i="5"/>
  <c r="AR306" i="5"/>
  <c r="AR221" i="5"/>
  <c r="AR103" i="5"/>
  <c r="AR58" i="5"/>
  <c r="AR432" i="5"/>
  <c r="AR238" i="5"/>
  <c r="AR403" i="5"/>
  <c r="AR324" i="5"/>
  <c r="AR242" i="5"/>
  <c r="AR203" i="5"/>
  <c r="AR130" i="5"/>
  <c r="AR60" i="5"/>
  <c r="AR372" i="5"/>
  <c r="AR279" i="5"/>
  <c r="AR132" i="5"/>
  <c r="AR95" i="5"/>
  <c r="AR332" i="5"/>
  <c r="AR406" i="5"/>
  <c r="AR394" i="5"/>
  <c r="AR385" i="5"/>
  <c r="AR384" i="5"/>
  <c r="AR300" i="5"/>
  <c r="AR135" i="5"/>
  <c r="AR134" i="5"/>
  <c r="AR480" i="5"/>
  <c r="AR471" i="5"/>
  <c r="AR470" i="5"/>
  <c r="AR426" i="5"/>
  <c r="AR376" i="5"/>
  <c r="AR366" i="5"/>
  <c r="AR330" i="5"/>
  <c r="AR293" i="5"/>
  <c r="AR283" i="5"/>
  <c r="AR208" i="5"/>
  <c r="AR197" i="5"/>
  <c r="AR138" i="5"/>
  <c r="AR99" i="5"/>
  <c r="AR65" i="5"/>
  <c r="AR378" i="5"/>
  <c r="AR274" i="5"/>
  <c r="AR264" i="5"/>
  <c r="AR228" i="5"/>
  <c r="AR55" i="5"/>
  <c r="AR416" i="5"/>
  <c r="AR396" i="5"/>
  <c r="AR364" i="5"/>
  <c r="AR328" i="5"/>
  <c r="AR291" i="5"/>
  <c r="AR162" i="5"/>
  <c r="AR217" i="5"/>
  <c r="AR559" i="5"/>
  <c r="B57" i="5"/>
  <c r="B56" i="5"/>
  <c r="B60" i="5"/>
  <c r="B6" i="3"/>
  <c r="AY23" i="5" l="1"/>
  <c r="BB23" i="5" s="1"/>
  <c r="AY31" i="5"/>
  <c r="BB31" i="5" s="1"/>
  <c r="AY39" i="5"/>
  <c r="BB39" i="5" s="1"/>
  <c r="AY47" i="5"/>
  <c r="BB47" i="5" s="1"/>
  <c r="AY55" i="5"/>
  <c r="BB55" i="5" s="1"/>
  <c r="AY63" i="5"/>
  <c r="BB63" i="5" s="1"/>
  <c r="AY71" i="5"/>
  <c r="BB71" i="5" s="1"/>
  <c r="AY79" i="5"/>
  <c r="BB79" i="5" s="1"/>
  <c r="AY87" i="5"/>
  <c r="BB87" i="5" s="1"/>
  <c r="AY95" i="5"/>
  <c r="BB95" i="5" s="1"/>
  <c r="AY24" i="5"/>
  <c r="BB24" i="5" s="1"/>
  <c r="AY32" i="5"/>
  <c r="BB32" i="5" s="1"/>
  <c r="AY40" i="5"/>
  <c r="BB40" i="5" s="1"/>
  <c r="AY48" i="5"/>
  <c r="BB48" i="5" s="1"/>
  <c r="AY56" i="5"/>
  <c r="BB56" i="5" s="1"/>
  <c r="AY64" i="5"/>
  <c r="BB64" i="5" s="1"/>
  <c r="AY72" i="5"/>
  <c r="BB72" i="5" s="1"/>
  <c r="AY80" i="5"/>
  <c r="BB80" i="5" s="1"/>
  <c r="AY88" i="5"/>
  <c r="BB88" i="5" s="1"/>
  <c r="AY96" i="5"/>
  <c r="BB96" i="5" s="1"/>
  <c r="AY104" i="5"/>
  <c r="BB104" i="5" s="1"/>
  <c r="AY112" i="5"/>
  <c r="BB112" i="5" s="1"/>
  <c r="AY120" i="5"/>
  <c r="BB120" i="5" s="1"/>
  <c r="AY128" i="5"/>
  <c r="BB128" i="5" s="1"/>
  <c r="AY136" i="5"/>
  <c r="BB136" i="5" s="1"/>
  <c r="AY144" i="5"/>
  <c r="BB144" i="5" s="1"/>
  <c r="AY152" i="5"/>
  <c r="BB152" i="5" s="1"/>
  <c r="AY25" i="5"/>
  <c r="AY33" i="5"/>
  <c r="BB33" i="5" s="1"/>
  <c r="AY41" i="5"/>
  <c r="BB41" i="5" s="1"/>
  <c r="AY49" i="5"/>
  <c r="BB49" i="5" s="1"/>
  <c r="AY57" i="5"/>
  <c r="BB57" i="5" s="1"/>
  <c r="AY65" i="5"/>
  <c r="BB65" i="5" s="1"/>
  <c r="AY73" i="5"/>
  <c r="BB73" i="5" s="1"/>
  <c r="AY81" i="5"/>
  <c r="AY89" i="5"/>
  <c r="BB89" i="5" s="1"/>
  <c r="AY97" i="5"/>
  <c r="BB97" i="5" s="1"/>
  <c r="AY105" i="5"/>
  <c r="BB105" i="5" s="1"/>
  <c r="AY113" i="5"/>
  <c r="BB113" i="5" s="1"/>
  <c r="AY121" i="5"/>
  <c r="BB121" i="5" s="1"/>
  <c r="AY129" i="5"/>
  <c r="BB129" i="5" s="1"/>
  <c r="AY137" i="5"/>
  <c r="BB137" i="5" s="1"/>
  <c r="AY145" i="5"/>
  <c r="BB145" i="5" s="1"/>
  <c r="AY153" i="5"/>
  <c r="BB153" i="5" s="1"/>
  <c r="AY26" i="5"/>
  <c r="BB26" i="5" s="1"/>
  <c r="AY34" i="5"/>
  <c r="BB34" i="5" s="1"/>
  <c r="AY42" i="5"/>
  <c r="BB42" i="5" s="1"/>
  <c r="AY50" i="5"/>
  <c r="BB50" i="5" s="1"/>
  <c r="AY58" i="5"/>
  <c r="BB58" i="5" s="1"/>
  <c r="AY66" i="5"/>
  <c r="BB66" i="5" s="1"/>
  <c r="AY74" i="5"/>
  <c r="AY82" i="5"/>
  <c r="BB82" i="5" s="1"/>
  <c r="AY90" i="5"/>
  <c r="BB90" i="5" s="1"/>
  <c r="AY98" i="5"/>
  <c r="BB98" i="5" s="1"/>
  <c r="AY106" i="5"/>
  <c r="BB106" i="5" s="1"/>
  <c r="AY114" i="5"/>
  <c r="BB114" i="5" s="1"/>
  <c r="AY122" i="5"/>
  <c r="BB122" i="5" s="1"/>
  <c r="AY130" i="5"/>
  <c r="BB130" i="5" s="1"/>
  <c r="AY138" i="5"/>
  <c r="AY146" i="5"/>
  <c r="BB146" i="5" s="1"/>
  <c r="AY154" i="5"/>
  <c r="BB154" i="5" s="1"/>
  <c r="AY27" i="5"/>
  <c r="BB27" i="5" s="1"/>
  <c r="AY35" i="5"/>
  <c r="BB35" i="5" s="1"/>
  <c r="AY43" i="5"/>
  <c r="BB43" i="5" s="1"/>
  <c r="AY51" i="5"/>
  <c r="BB51" i="5" s="1"/>
  <c r="AY59" i="5"/>
  <c r="BB59" i="5" s="1"/>
  <c r="AY67" i="5"/>
  <c r="BB67" i="5" s="1"/>
  <c r="AY75" i="5"/>
  <c r="BB75" i="5" s="1"/>
  <c r="AY83" i="5"/>
  <c r="BB83" i="5" s="1"/>
  <c r="AY91" i="5"/>
  <c r="BB91" i="5" s="1"/>
  <c r="AY99" i="5"/>
  <c r="BB99" i="5" s="1"/>
  <c r="AY107" i="5"/>
  <c r="BB107" i="5" s="1"/>
  <c r="AY115" i="5"/>
  <c r="BB115" i="5" s="1"/>
  <c r="AY123" i="5"/>
  <c r="BB123" i="5" s="1"/>
  <c r="AY131" i="5"/>
  <c r="BB131" i="5" s="1"/>
  <c r="AY139" i="5"/>
  <c r="BB139" i="5" s="1"/>
  <c r="AY147" i="5"/>
  <c r="BB147" i="5" s="1"/>
  <c r="AY155" i="5"/>
  <c r="BB155" i="5" s="1"/>
  <c r="AY29" i="5"/>
  <c r="BB29" i="5" s="1"/>
  <c r="AY52" i="5"/>
  <c r="BB52" i="5" s="1"/>
  <c r="AY70" i="5"/>
  <c r="BB70" i="5" s="1"/>
  <c r="AY93" i="5"/>
  <c r="BB93" i="5" s="1"/>
  <c r="AY110" i="5"/>
  <c r="AY126" i="5"/>
  <c r="BB126" i="5" s="1"/>
  <c r="AY142" i="5"/>
  <c r="BB142" i="5" s="1"/>
  <c r="AY158" i="5"/>
  <c r="BB158" i="5" s="1"/>
  <c r="AY166" i="5"/>
  <c r="BB166" i="5" s="1"/>
  <c r="AY174" i="5"/>
  <c r="BB174" i="5" s="1"/>
  <c r="AY182" i="5"/>
  <c r="BB182" i="5" s="1"/>
  <c r="AY190" i="5"/>
  <c r="BB190" i="5" s="1"/>
  <c r="AY198" i="5"/>
  <c r="BB198" i="5" s="1"/>
  <c r="AY206" i="5"/>
  <c r="BB206" i="5" s="1"/>
  <c r="AY214" i="5"/>
  <c r="BB214" i="5" s="1"/>
  <c r="AY222" i="5"/>
  <c r="BB222" i="5" s="1"/>
  <c r="AY230" i="5"/>
  <c r="BB230" i="5" s="1"/>
  <c r="AY238" i="5"/>
  <c r="BB238" i="5" s="1"/>
  <c r="AY246" i="5"/>
  <c r="AY254" i="5"/>
  <c r="BB254" i="5" s="1"/>
  <c r="AY262" i="5"/>
  <c r="BB262" i="5" s="1"/>
  <c r="AY270" i="5"/>
  <c r="BB270" i="5" s="1"/>
  <c r="AY278" i="5"/>
  <c r="BB278" i="5" s="1"/>
  <c r="AY286" i="5"/>
  <c r="BB286" i="5" s="1"/>
  <c r="AY294" i="5"/>
  <c r="BB294" i="5" s="1"/>
  <c r="AY302" i="5"/>
  <c r="BB302" i="5" s="1"/>
  <c r="AY310" i="5"/>
  <c r="BB310" i="5" s="1"/>
  <c r="AY318" i="5"/>
  <c r="BB318" i="5" s="1"/>
  <c r="AY326" i="5"/>
  <c r="BB326" i="5" s="1"/>
  <c r="AY334" i="5"/>
  <c r="BB334" i="5" s="1"/>
  <c r="AY342" i="5"/>
  <c r="BB342" i="5" s="1"/>
  <c r="AY350" i="5"/>
  <c r="BB350" i="5" s="1"/>
  <c r="AY358" i="5"/>
  <c r="BB358" i="5" s="1"/>
  <c r="AY366" i="5"/>
  <c r="BB366" i="5" s="1"/>
  <c r="AY374" i="5"/>
  <c r="BB374" i="5" s="1"/>
  <c r="AY382" i="5"/>
  <c r="BB382" i="5" s="1"/>
  <c r="AY390" i="5"/>
  <c r="BB390" i="5" s="1"/>
  <c r="AY398" i="5"/>
  <c r="BB398" i="5" s="1"/>
  <c r="AY406" i="5"/>
  <c r="BB406" i="5" s="1"/>
  <c r="AY414" i="5"/>
  <c r="BB414" i="5" s="1"/>
  <c r="AY422" i="5"/>
  <c r="BB422" i="5" s="1"/>
  <c r="AY430" i="5"/>
  <c r="BB430" i="5" s="1"/>
  <c r="AY438" i="5"/>
  <c r="BB438" i="5" s="1"/>
  <c r="AY446" i="5"/>
  <c r="BB446" i="5" s="1"/>
  <c r="AY454" i="5"/>
  <c r="BB454" i="5" s="1"/>
  <c r="AY462" i="5"/>
  <c r="BB462" i="5" s="1"/>
  <c r="AY470" i="5"/>
  <c r="BB470" i="5" s="1"/>
  <c r="AY478" i="5"/>
  <c r="BB478" i="5" s="1"/>
  <c r="AY486" i="5"/>
  <c r="BB486" i="5" s="1"/>
  <c r="AY494" i="5"/>
  <c r="BB494" i="5" s="1"/>
  <c r="AY502" i="5"/>
  <c r="AY510" i="5"/>
  <c r="BB510" i="5" s="1"/>
  <c r="AY518" i="5"/>
  <c r="BB518" i="5" s="1"/>
  <c r="AY526" i="5"/>
  <c r="BB526" i="5" s="1"/>
  <c r="AY534" i="5"/>
  <c r="BB534" i="5" s="1"/>
  <c r="AY542" i="5"/>
  <c r="BB542" i="5" s="1"/>
  <c r="AY550" i="5"/>
  <c r="BB550" i="5" s="1"/>
  <c r="AY558" i="5"/>
  <c r="BB558" i="5" s="1"/>
  <c r="AY30" i="5"/>
  <c r="BB30" i="5" s="1"/>
  <c r="AY53" i="5"/>
  <c r="BB53" i="5" s="1"/>
  <c r="AY76" i="5"/>
  <c r="BB76" i="5" s="1"/>
  <c r="AY94" i="5"/>
  <c r="BB94" i="5" s="1"/>
  <c r="AY111" i="5"/>
  <c r="BB111" i="5" s="1"/>
  <c r="AY127" i="5"/>
  <c r="BB127" i="5" s="1"/>
  <c r="AY143" i="5"/>
  <c r="BB143" i="5" s="1"/>
  <c r="AY159" i="5"/>
  <c r="BB159" i="5" s="1"/>
  <c r="AY167" i="5"/>
  <c r="BB167" i="5" s="1"/>
  <c r="AY175" i="5"/>
  <c r="BB175" i="5" s="1"/>
  <c r="AY183" i="5"/>
  <c r="BB183" i="5" s="1"/>
  <c r="AY191" i="5"/>
  <c r="BB191" i="5" s="1"/>
  <c r="AY199" i="5"/>
  <c r="BB199" i="5" s="1"/>
  <c r="AY207" i="5"/>
  <c r="BB207" i="5" s="1"/>
  <c r="AY215" i="5"/>
  <c r="BB215" i="5" s="1"/>
  <c r="AY223" i="5"/>
  <c r="BB223" i="5" s="1"/>
  <c r="AY231" i="5"/>
  <c r="BB231" i="5" s="1"/>
  <c r="AY239" i="5"/>
  <c r="BB239" i="5" s="1"/>
  <c r="AY247" i="5"/>
  <c r="BB247" i="5" s="1"/>
  <c r="AY255" i="5"/>
  <c r="BB255" i="5" s="1"/>
  <c r="AY263" i="5"/>
  <c r="BB263" i="5" s="1"/>
  <c r="AY271" i="5"/>
  <c r="BB271" i="5" s="1"/>
  <c r="AY279" i="5"/>
  <c r="BB279" i="5" s="1"/>
  <c r="AY287" i="5"/>
  <c r="BB287" i="5" s="1"/>
  <c r="AY295" i="5"/>
  <c r="BB295" i="5" s="1"/>
  <c r="AY303" i="5"/>
  <c r="BB303" i="5" s="1"/>
  <c r="AY311" i="5"/>
  <c r="BB311" i="5" s="1"/>
  <c r="AY319" i="5"/>
  <c r="BB319" i="5" s="1"/>
  <c r="AY327" i="5"/>
  <c r="BB327" i="5" s="1"/>
  <c r="AY335" i="5"/>
  <c r="BB335" i="5" s="1"/>
  <c r="AY343" i="5"/>
  <c r="BB343" i="5" s="1"/>
  <c r="AY351" i="5"/>
  <c r="BB351" i="5" s="1"/>
  <c r="AY359" i="5"/>
  <c r="BB359" i="5" s="1"/>
  <c r="AY367" i="5"/>
  <c r="BB367" i="5" s="1"/>
  <c r="AY375" i="5"/>
  <c r="BB375" i="5" s="1"/>
  <c r="AY383" i="5"/>
  <c r="BB383" i="5" s="1"/>
  <c r="AY391" i="5"/>
  <c r="BB391" i="5" s="1"/>
  <c r="AY399" i="5"/>
  <c r="BB399" i="5" s="1"/>
  <c r="AY407" i="5"/>
  <c r="BB407" i="5" s="1"/>
  <c r="AY415" i="5"/>
  <c r="BB415" i="5" s="1"/>
  <c r="AY423" i="5"/>
  <c r="BB423" i="5" s="1"/>
  <c r="AY431" i="5"/>
  <c r="BB431" i="5" s="1"/>
  <c r="AY439" i="5"/>
  <c r="BB439" i="5" s="1"/>
  <c r="AY447" i="5"/>
  <c r="BB447" i="5" s="1"/>
  <c r="AY455" i="5"/>
  <c r="BB455" i="5" s="1"/>
  <c r="AY463" i="5"/>
  <c r="BB463" i="5" s="1"/>
  <c r="AY471" i="5"/>
  <c r="BB471" i="5" s="1"/>
  <c r="AY479" i="5"/>
  <c r="BB479" i="5" s="1"/>
  <c r="AY487" i="5"/>
  <c r="BB487" i="5" s="1"/>
  <c r="AY495" i="5"/>
  <c r="BB495" i="5" s="1"/>
  <c r="AY503" i="5"/>
  <c r="BB503" i="5" s="1"/>
  <c r="AY511" i="5"/>
  <c r="BB511" i="5" s="1"/>
  <c r="AY519" i="5"/>
  <c r="BB519" i="5" s="1"/>
  <c r="AY527" i="5"/>
  <c r="BB527" i="5" s="1"/>
  <c r="AY535" i="5"/>
  <c r="BB535" i="5" s="1"/>
  <c r="AY543" i="5"/>
  <c r="BB543" i="5" s="1"/>
  <c r="AY551" i="5"/>
  <c r="BB551" i="5" s="1"/>
  <c r="AY559" i="5"/>
  <c r="BB559" i="5" s="1"/>
  <c r="AY36" i="5"/>
  <c r="BB36" i="5" s="1"/>
  <c r="AY54" i="5"/>
  <c r="BB54" i="5" s="1"/>
  <c r="AY77" i="5"/>
  <c r="BB77" i="5" s="1"/>
  <c r="AY100" i="5"/>
  <c r="BB100" i="5" s="1"/>
  <c r="AY116" i="5"/>
  <c r="BB116" i="5" s="1"/>
  <c r="AY132" i="5"/>
  <c r="BB132" i="5" s="1"/>
  <c r="AY148" i="5"/>
  <c r="BB148" i="5" s="1"/>
  <c r="AY160" i="5"/>
  <c r="BB160" i="5" s="1"/>
  <c r="AY168" i="5"/>
  <c r="BB168" i="5" s="1"/>
  <c r="AY176" i="5"/>
  <c r="BB176" i="5" s="1"/>
  <c r="AY184" i="5"/>
  <c r="BB184" i="5" s="1"/>
  <c r="AY192" i="5"/>
  <c r="BB192" i="5" s="1"/>
  <c r="AY200" i="5"/>
  <c r="BB200" i="5" s="1"/>
  <c r="AY208" i="5"/>
  <c r="BB208" i="5" s="1"/>
  <c r="AY216" i="5"/>
  <c r="BB216" i="5" s="1"/>
  <c r="AY224" i="5"/>
  <c r="BB224" i="5" s="1"/>
  <c r="AY232" i="5"/>
  <c r="BB232" i="5" s="1"/>
  <c r="AY240" i="5"/>
  <c r="BB240" i="5" s="1"/>
  <c r="AY248" i="5"/>
  <c r="BB248" i="5" s="1"/>
  <c r="AY256" i="5"/>
  <c r="BB256" i="5" s="1"/>
  <c r="AY264" i="5"/>
  <c r="BB264" i="5" s="1"/>
  <c r="AY272" i="5"/>
  <c r="BB272" i="5" s="1"/>
  <c r="AY280" i="5"/>
  <c r="BB280" i="5" s="1"/>
  <c r="AY288" i="5"/>
  <c r="BB288" i="5" s="1"/>
  <c r="AY296" i="5"/>
  <c r="BB296" i="5" s="1"/>
  <c r="AY304" i="5"/>
  <c r="BB304" i="5" s="1"/>
  <c r="AY312" i="5"/>
  <c r="BB312" i="5" s="1"/>
  <c r="AY320" i="5"/>
  <c r="BB320" i="5" s="1"/>
  <c r="AY328" i="5"/>
  <c r="BB328" i="5" s="1"/>
  <c r="AY336" i="5"/>
  <c r="BB336" i="5" s="1"/>
  <c r="AY344" i="5"/>
  <c r="BB344" i="5" s="1"/>
  <c r="AY352" i="5"/>
  <c r="BB352" i="5" s="1"/>
  <c r="AY360" i="5"/>
  <c r="BB360" i="5" s="1"/>
  <c r="AY368" i="5"/>
  <c r="BB368" i="5" s="1"/>
  <c r="AY376" i="5"/>
  <c r="BB376" i="5" s="1"/>
  <c r="AY384" i="5"/>
  <c r="BB384" i="5" s="1"/>
  <c r="AY392" i="5"/>
  <c r="BB392" i="5" s="1"/>
  <c r="AY400" i="5"/>
  <c r="BB400" i="5" s="1"/>
  <c r="AY408" i="5"/>
  <c r="BB408" i="5" s="1"/>
  <c r="AY416" i="5"/>
  <c r="BB416" i="5" s="1"/>
  <c r="AY424" i="5"/>
  <c r="BB424" i="5" s="1"/>
  <c r="AY432" i="5"/>
  <c r="BB432" i="5" s="1"/>
  <c r="AY440" i="5"/>
  <c r="BB440" i="5" s="1"/>
  <c r="AY448" i="5"/>
  <c r="BB448" i="5" s="1"/>
  <c r="AY456" i="5"/>
  <c r="BB456" i="5" s="1"/>
  <c r="AY464" i="5"/>
  <c r="BB464" i="5" s="1"/>
  <c r="AY472" i="5"/>
  <c r="BB472" i="5" s="1"/>
  <c r="AY480" i="5"/>
  <c r="BB480" i="5" s="1"/>
  <c r="AY488" i="5"/>
  <c r="BB488" i="5" s="1"/>
  <c r="AY496" i="5"/>
  <c r="BB496" i="5" s="1"/>
  <c r="AY504" i="5"/>
  <c r="BB504" i="5" s="1"/>
  <c r="AY512" i="5"/>
  <c r="BB512" i="5" s="1"/>
  <c r="AY520" i="5"/>
  <c r="BB520" i="5" s="1"/>
  <c r="AY528" i="5"/>
  <c r="BB528" i="5" s="1"/>
  <c r="AY536" i="5"/>
  <c r="BB536" i="5" s="1"/>
  <c r="AY544" i="5"/>
  <c r="BB544" i="5" s="1"/>
  <c r="AY552" i="5"/>
  <c r="BB552" i="5" s="1"/>
  <c r="AY560" i="5"/>
  <c r="BB560" i="5" s="1"/>
  <c r="AY37" i="5"/>
  <c r="BB37" i="5" s="1"/>
  <c r="AY60" i="5"/>
  <c r="BB60" i="5" s="1"/>
  <c r="AY78" i="5"/>
  <c r="BB78" i="5" s="1"/>
  <c r="AY101" i="5"/>
  <c r="BB101" i="5" s="1"/>
  <c r="AY117" i="5"/>
  <c r="BB117" i="5" s="1"/>
  <c r="AY133" i="5"/>
  <c r="BB133" i="5" s="1"/>
  <c r="AY149" i="5"/>
  <c r="BB149" i="5" s="1"/>
  <c r="AY161" i="5"/>
  <c r="BB161" i="5" s="1"/>
  <c r="AY169" i="5"/>
  <c r="BB169" i="5" s="1"/>
  <c r="AY177" i="5"/>
  <c r="BB177" i="5" s="1"/>
  <c r="AY185" i="5"/>
  <c r="BB185" i="5" s="1"/>
  <c r="AY193" i="5"/>
  <c r="BB193" i="5" s="1"/>
  <c r="AY201" i="5"/>
  <c r="BB201" i="5" s="1"/>
  <c r="AY209" i="5"/>
  <c r="BB209" i="5" s="1"/>
  <c r="AY217" i="5"/>
  <c r="BB217" i="5" s="1"/>
  <c r="AY225" i="5"/>
  <c r="BB225" i="5" s="1"/>
  <c r="AY233" i="5"/>
  <c r="BB233" i="5" s="1"/>
  <c r="AY241" i="5"/>
  <c r="BB241" i="5" s="1"/>
  <c r="AY249" i="5"/>
  <c r="BB249" i="5" s="1"/>
  <c r="AY257" i="5"/>
  <c r="BB257" i="5" s="1"/>
  <c r="AY265" i="5"/>
  <c r="BB265" i="5" s="1"/>
  <c r="AY273" i="5"/>
  <c r="BB273" i="5" s="1"/>
  <c r="AY281" i="5"/>
  <c r="BB281" i="5" s="1"/>
  <c r="AY289" i="5"/>
  <c r="BB289" i="5" s="1"/>
  <c r="AY297" i="5"/>
  <c r="BB297" i="5" s="1"/>
  <c r="AY305" i="5"/>
  <c r="BB305" i="5" s="1"/>
  <c r="AY313" i="5"/>
  <c r="BB313" i="5" s="1"/>
  <c r="AY321" i="5"/>
  <c r="BB321" i="5" s="1"/>
  <c r="AY329" i="5"/>
  <c r="BB329" i="5" s="1"/>
  <c r="AY337" i="5"/>
  <c r="BB337" i="5" s="1"/>
  <c r="AY345" i="5"/>
  <c r="BB345" i="5" s="1"/>
  <c r="AY353" i="5"/>
  <c r="BB353" i="5" s="1"/>
  <c r="AY361" i="5"/>
  <c r="BB361" i="5" s="1"/>
  <c r="AY369" i="5"/>
  <c r="BB369" i="5" s="1"/>
  <c r="AY377" i="5"/>
  <c r="BB377" i="5" s="1"/>
  <c r="AY385" i="5"/>
  <c r="BB385" i="5" s="1"/>
  <c r="AY393" i="5"/>
  <c r="BB393" i="5" s="1"/>
  <c r="AY401" i="5"/>
  <c r="BB401" i="5" s="1"/>
  <c r="AY409" i="5"/>
  <c r="BB409" i="5" s="1"/>
  <c r="AY417" i="5"/>
  <c r="BB417" i="5" s="1"/>
  <c r="AY425" i="5"/>
  <c r="BB425" i="5" s="1"/>
  <c r="AY433" i="5"/>
  <c r="BB433" i="5" s="1"/>
  <c r="AY441" i="5"/>
  <c r="BB441" i="5" s="1"/>
  <c r="AY449" i="5"/>
  <c r="BB449" i="5" s="1"/>
  <c r="AY457" i="5"/>
  <c r="BB457" i="5" s="1"/>
  <c r="AY465" i="5"/>
  <c r="BB465" i="5" s="1"/>
  <c r="AY473" i="5"/>
  <c r="BB473" i="5" s="1"/>
  <c r="AY481" i="5"/>
  <c r="BB481" i="5" s="1"/>
  <c r="AY489" i="5"/>
  <c r="BB489" i="5" s="1"/>
  <c r="AY497" i="5"/>
  <c r="BB497" i="5" s="1"/>
  <c r="AY505" i="5"/>
  <c r="BB505" i="5" s="1"/>
  <c r="AY513" i="5"/>
  <c r="BB513" i="5" s="1"/>
  <c r="AY521" i="5"/>
  <c r="BB521" i="5" s="1"/>
  <c r="AY529" i="5"/>
  <c r="BB529" i="5" s="1"/>
  <c r="AY537" i="5"/>
  <c r="BB537" i="5" s="1"/>
  <c r="AY545" i="5"/>
  <c r="BB545" i="5" s="1"/>
  <c r="AY553" i="5"/>
  <c r="BB553" i="5" s="1"/>
  <c r="AY20" i="5"/>
  <c r="BB20" i="5" s="1"/>
  <c r="AY38" i="5"/>
  <c r="BB38" i="5" s="1"/>
  <c r="AY61" i="5"/>
  <c r="BB61" i="5" s="1"/>
  <c r="AY84" i="5"/>
  <c r="BB84" i="5" s="1"/>
  <c r="AY102" i="5"/>
  <c r="BB102" i="5" s="1"/>
  <c r="AY118" i="5"/>
  <c r="BB118" i="5" s="1"/>
  <c r="AY134" i="5"/>
  <c r="BB134" i="5" s="1"/>
  <c r="AY150" i="5"/>
  <c r="BB150" i="5" s="1"/>
  <c r="AY162" i="5"/>
  <c r="BB162" i="5" s="1"/>
  <c r="AY170" i="5"/>
  <c r="BB170" i="5" s="1"/>
  <c r="AY178" i="5"/>
  <c r="BB178" i="5" s="1"/>
  <c r="AY186" i="5"/>
  <c r="BB186" i="5" s="1"/>
  <c r="AY194" i="5"/>
  <c r="BB194" i="5" s="1"/>
  <c r="AY202" i="5"/>
  <c r="BB202" i="5" s="1"/>
  <c r="AY210" i="5"/>
  <c r="BB210" i="5" s="1"/>
  <c r="AY218" i="5"/>
  <c r="BB218" i="5" s="1"/>
  <c r="AY226" i="5"/>
  <c r="BB226" i="5" s="1"/>
  <c r="AY234" i="5"/>
  <c r="BB234" i="5" s="1"/>
  <c r="AY242" i="5"/>
  <c r="BB242" i="5" s="1"/>
  <c r="AY250" i="5"/>
  <c r="BB250" i="5" s="1"/>
  <c r="AY258" i="5"/>
  <c r="BB258" i="5" s="1"/>
  <c r="AY266" i="5"/>
  <c r="BB266" i="5" s="1"/>
  <c r="AY274" i="5"/>
  <c r="BB274" i="5" s="1"/>
  <c r="AY282" i="5"/>
  <c r="BB282" i="5" s="1"/>
  <c r="AY290" i="5"/>
  <c r="BB290" i="5" s="1"/>
  <c r="AY298" i="5"/>
  <c r="BB298" i="5" s="1"/>
  <c r="AY306" i="5"/>
  <c r="BB306" i="5" s="1"/>
  <c r="AY314" i="5"/>
  <c r="BB314" i="5" s="1"/>
  <c r="AY322" i="5"/>
  <c r="BB322" i="5" s="1"/>
  <c r="AY330" i="5"/>
  <c r="BB330" i="5" s="1"/>
  <c r="AY338" i="5"/>
  <c r="BB338" i="5" s="1"/>
  <c r="AY346" i="5"/>
  <c r="BB346" i="5" s="1"/>
  <c r="AY354" i="5"/>
  <c r="BB354" i="5" s="1"/>
  <c r="AY362" i="5"/>
  <c r="BB362" i="5" s="1"/>
  <c r="AY370" i="5"/>
  <c r="BB370" i="5" s="1"/>
  <c r="AY378" i="5"/>
  <c r="BB378" i="5" s="1"/>
  <c r="AY386" i="5"/>
  <c r="BB386" i="5" s="1"/>
  <c r="AY394" i="5"/>
  <c r="BB394" i="5" s="1"/>
  <c r="AY402" i="5"/>
  <c r="BB402" i="5" s="1"/>
  <c r="AY410" i="5"/>
  <c r="BB410" i="5" s="1"/>
  <c r="AY418" i="5"/>
  <c r="BB418" i="5" s="1"/>
  <c r="AY426" i="5"/>
  <c r="BB426" i="5" s="1"/>
  <c r="AY434" i="5"/>
  <c r="BB434" i="5" s="1"/>
  <c r="AY442" i="5"/>
  <c r="BB442" i="5" s="1"/>
  <c r="AY450" i="5"/>
  <c r="BB450" i="5" s="1"/>
  <c r="AY458" i="5"/>
  <c r="BB458" i="5" s="1"/>
  <c r="AY466" i="5"/>
  <c r="BB466" i="5" s="1"/>
  <c r="AY474" i="5"/>
  <c r="BB474" i="5" s="1"/>
  <c r="AY482" i="5"/>
  <c r="BB482" i="5" s="1"/>
  <c r="AY490" i="5"/>
  <c r="BB490" i="5" s="1"/>
  <c r="AY498" i="5"/>
  <c r="BB498" i="5" s="1"/>
  <c r="AY506" i="5"/>
  <c r="BB506" i="5" s="1"/>
  <c r="AY514" i="5"/>
  <c r="BB514" i="5" s="1"/>
  <c r="AY522" i="5"/>
  <c r="BB522" i="5" s="1"/>
  <c r="AY530" i="5"/>
  <c r="BB530" i="5" s="1"/>
  <c r="AY538" i="5"/>
  <c r="BB538" i="5" s="1"/>
  <c r="AY546" i="5"/>
  <c r="BB546" i="5" s="1"/>
  <c r="AY554" i="5"/>
  <c r="BB554" i="5" s="1"/>
  <c r="AY21" i="5"/>
  <c r="BB21" i="5" s="1"/>
  <c r="AY44" i="5"/>
  <c r="BB44" i="5" s="1"/>
  <c r="AY62" i="5"/>
  <c r="BB62" i="5" s="1"/>
  <c r="AY85" i="5"/>
  <c r="BB85" i="5" s="1"/>
  <c r="AY103" i="5"/>
  <c r="BB103" i="5" s="1"/>
  <c r="AY119" i="5"/>
  <c r="BB119" i="5" s="1"/>
  <c r="AY135" i="5"/>
  <c r="BB135" i="5" s="1"/>
  <c r="AY151" i="5"/>
  <c r="BB151" i="5" s="1"/>
  <c r="AY163" i="5"/>
  <c r="BB163" i="5" s="1"/>
  <c r="AY171" i="5"/>
  <c r="BB171" i="5" s="1"/>
  <c r="AY179" i="5"/>
  <c r="BB179" i="5" s="1"/>
  <c r="AY187" i="5"/>
  <c r="BB187" i="5" s="1"/>
  <c r="AY195" i="5"/>
  <c r="BB195" i="5" s="1"/>
  <c r="AY203" i="5"/>
  <c r="BB203" i="5" s="1"/>
  <c r="AY211" i="5"/>
  <c r="BB211" i="5" s="1"/>
  <c r="AY219" i="5"/>
  <c r="BB219" i="5" s="1"/>
  <c r="AY227" i="5"/>
  <c r="BB227" i="5" s="1"/>
  <c r="AY235" i="5"/>
  <c r="BB235" i="5" s="1"/>
  <c r="AY243" i="5"/>
  <c r="BB243" i="5" s="1"/>
  <c r="AY251" i="5"/>
  <c r="BB251" i="5" s="1"/>
  <c r="AY259" i="5"/>
  <c r="BB259" i="5" s="1"/>
  <c r="AY267" i="5"/>
  <c r="BB267" i="5" s="1"/>
  <c r="AY275" i="5"/>
  <c r="BB275" i="5" s="1"/>
  <c r="AY283" i="5"/>
  <c r="BB283" i="5" s="1"/>
  <c r="AY291" i="5"/>
  <c r="BB291" i="5" s="1"/>
  <c r="AY299" i="5"/>
  <c r="BB299" i="5" s="1"/>
  <c r="AY307" i="5"/>
  <c r="BB307" i="5" s="1"/>
  <c r="AY315" i="5"/>
  <c r="BB315" i="5" s="1"/>
  <c r="AY323" i="5"/>
  <c r="BB323" i="5" s="1"/>
  <c r="AY331" i="5"/>
  <c r="BB331" i="5" s="1"/>
  <c r="AY339" i="5"/>
  <c r="BB339" i="5" s="1"/>
  <c r="AY347" i="5"/>
  <c r="BB347" i="5" s="1"/>
  <c r="AY355" i="5"/>
  <c r="BB355" i="5" s="1"/>
  <c r="AY363" i="5"/>
  <c r="BB363" i="5" s="1"/>
  <c r="AY371" i="5"/>
  <c r="BB371" i="5" s="1"/>
  <c r="AY379" i="5"/>
  <c r="BB379" i="5" s="1"/>
  <c r="AY387" i="5"/>
  <c r="BB387" i="5" s="1"/>
  <c r="AY395" i="5"/>
  <c r="BB395" i="5" s="1"/>
  <c r="AY403" i="5"/>
  <c r="BB403" i="5" s="1"/>
  <c r="AY411" i="5"/>
  <c r="BB411" i="5" s="1"/>
  <c r="AY419" i="5"/>
  <c r="BB419" i="5" s="1"/>
  <c r="AY427" i="5"/>
  <c r="BB427" i="5" s="1"/>
  <c r="AY435" i="5"/>
  <c r="BB435" i="5" s="1"/>
  <c r="AY443" i="5"/>
  <c r="BB443" i="5" s="1"/>
  <c r="AY451" i="5"/>
  <c r="BB451" i="5" s="1"/>
  <c r="AY459" i="5"/>
  <c r="BB459" i="5" s="1"/>
  <c r="AY467" i="5"/>
  <c r="BB467" i="5" s="1"/>
  <c r="AY475" i="5"/>
  <c r="BB475" i="5" s="1"/>
  <c r="AY483" i="5"/>
  <c r="BB483" i="5" s="1"/>
  <c r="AY491" i="5"/>
  <c r="BB491" i="5" s="1"/>
  <c r="AY499" i="5"/>
  <c r="BB499" i="5" s="1"/>
  <c r="AY507" i="5"/>
  <c r="BB507" i="5" s="1"/>
  <c r="AY515" i="5"/>
  <c r="BB515" i="5" s="1"/>
  <c r="AY523" i="5"/>
  <c r="BB523" i="5" s="1"/>
  <c r="AY531" i="5"/>
  <c r="BB531" i="5" s="1"/>
  <c r="AY539" i="5"/>
  <c r="BB539" i="5" s="1"/>
  <c r="AY547" i="5"/>
  <c r="BB547" i="5" s="1"/>
  <c r="AY555" i="5"/>
  <c r="BB555" i="5" s="1"/>
  <c r="AY22" i="5"/>
  <c r="BB22" i="5" s="1"/>
  <c r="AY45" i="5"/>
  <c r="BB45" i="5" s="1"/>
  <c r="AY68" i="5"/>
  <c r="BB68" i="5" s="1"/>
  <c r="AY86" i="5"/>
  <c r="BB86" i="5" s="1"/>
  <c r="AY108" i="5"/>
  <c r="BB108" i="5" s="1"/>
  <c r="AY124" i="5"/>
  <c r="BB124" i="5" s="1"/>
  <c r="AY140" i="5"/>
  <c r="BB140" i="5" s="1"/>
  <c r="AY156" i="5"/>
  <c r="BB156" i="5" s="1"/>
  <c r="AY164" i="5"/>
  <c r="BB164" i="5" s="1"/>
  <c r="AY172" i="5"/>
  <c r="BB172" i="5" s="1"/>
  <c r="AY180" i="5"/>
  <c r="BB180" i="5" s="1"/>
  <c r="AY188" i="5"/>
  <c r="BB188" i="5" s="1"/>
  <c r="AY196" i="5"/>
  <c r="BB196" i="5" s="1"/>
  <c r="AY204" i="5"/>
  <c r="BB204" i="5" s="1"/>
  <c r="AY212" i="5"/>
  <c r="BB212" i="5" s="1"/>
  <c r="AY220" i="5"/>
  <c r="BB220" i="5" s="1"/>
  <c r="AY228" i="5"/>
  <c r="BB228" i="5" s="1"/>
  <c r="AY236" i="5"/>
  <c r="BB236" i="5" s="1"/>
  <c r="AY244" i="5"/>
  <c r="BB244" i="5" s="1"/>
  <c r="AY252" i="5"/>
  <c r="BB252" i="5" s="1"/>
  <c r="AY260" i="5"/>
  <c r="BB260" i="5" s="1"/>
  <c r="AY268" i="5"/>
  <c r="BB268" i="5" s="1"/>
  <c r="AY276" i="5"/>
  <c r="BB276" i="5" s="1"/>
  <c r="AY284" i="5"/>
  <c r="BB284" i="5" s="1"/>
  <c r="AY292" i="5"/>
  <c r="BB292" i="5" s="1"/>
  <c r="AY300" i="5"/>
  <c r="BB300" i="5" s="1"/>
  <c r="AY308" i="5"/>
  <c r="BB308" i="5" s="1"/>
  <c r="AY316" i="5"/>
  <c r="BB316" i="5" s="1"/>
  <c r="AY324" i="5"/>
  <c r="BB324" i="5" s="1"/>
  <c r="AY332" i="5"/>
  <c r="BB332" i="5" s="1"/>
  <c r="AY340" i="5"/>
  <c r="BB340" i="5" s="1"/>
  <c r="AY348" i="5"/>
  <c r="BB348" i="5" s="1"/>
  <c r="AY356" i="5"/>
  <c r="BB356" i="5" s="1"/>
  <c r="AY364" i="5"/>
  <c r="BB364" i="5" s="1"/>
  <c r="AY372" i="5"/>
  <c r="BB372" i="5" s="1"/>
  <c r="AY380" i="5"/>
  <c r="BB380" i="5" s="1"/>
  <c r="AY388" i="5"/>
  <c r="BB388" i="5" s="1"/>
  <c r="AY396" i="5"/>
  <c r="BB396" i="5" s="1"/>
  <c r="AY404" i="5"/>
  <c r="BB404" i="5" s="1"/>
  <c r="AY412" i="5"/>
  <c r="BB412" i="5" s="1"/>
  <c r="AY420" i="5"/>
  <c r="BB420" i="5" s="1"/>
  <c r="AY428" i="5"/>
  <c r="BB428" i="5" s="1"/>
  <c r="AY436" i="5"/>
  <c r="BB436" i="5" s="1"/>
  <c r="AY444" i="5"/>
  <c r="BB444" i="5" s="1"/>
  <c r="AY452" i="5"/>
  <c r="BB452" i="5" s="1"/>
  <c r="AY109" i="5"/>
  <c r="BB109" i="5" s="1"/>
  <c r="AY197" i="5"/>
  <c r="BB197" i="5" s="1"/>
  <c r="AY261" i="5"/>
  <c r="BB261" i="5" s="1"/>
  <c r="AY325" i="5"/>
  <c r="BB325" i="5" s="1"/>
  <c r="AY389" i="5"/>
  <c r="BB389" i="5" s="1"/>
  <c r="AY453" i="5"/>
  <c r="BB453" i="5" s="1"/>
  <c r="AY485" i="5"/>
  <c r="BB485" i="5" s="1"/>
  <c r="AY517" i="5"/>
  <c r="BB517" i="5" s="1"/>
  <c r="AY549" i="5"/>
  <c r="BB549" i="5" s="1"/>
  <c r="AY125" i="5"/>
  <c r="BB125" i="5" s="1"/>
  <c r="AY205" i="5"/>
  <c r="BB205" i="5" s="1"/>
  <c r="AY269" i="5"/>
  <c r="BB269" i="5" s="1"/>
  <c r="AY333" i="5"/>
  <c r="BB333" i="5" s="1"/>
  <c r="AY397" i="5"/>
  <c r="BB397" i="5" s="1"/>
  <c r="AY460" i="5"/>
  <c r="BB460" i="5" s="1"/>
  <c r="AY492" i="5"/>
  <c r="BB492" i="5" s="1"/>
  <c r="AY524" i="5"/>
  <c r="BB524" i="5" s="1"/>
  <c r="AY556" i="5"/>
  <c r="BB556" i="5" s="1"/>
  <c r="AY141" i="5"/>
  <c r="BB141" i="5" s="1"/>
  <c r="AY213" i="5"/>
  <c r="BB213" i="5" s="1"/>
  <c r="AY277" i="5"/>
  <c r="BB277" i="5" s="1"/>
  <c r="AY341" i="5"/>
  <c r="BB341" i="5" s="1"/>
  <c r="AY405" i="5"/>
  <c r="BB405" i="5" s="1"/>
  <c r="AY461" i="5"/>
  <c r="BB461" i="5" s="1"/>
  <c r="AY493" i="5"/>
  <c r="BB493" i="5" s="1"/>
  <c r="AY525" i="5"/>
  <c r="BB525" i="5" s="1"/>
  <c r="AY557" i="5"/>
  <c r="BB557" i="5" s="1"/>
  <c r="AY157" i="5"/>
  <c r="BB157" i="5" s="1"/>
  <c r="AY221" i="5"/>
  <c r="BB221" i="5" s="1"/>
  <c r="AY285" i="5"/>
  <c r="BB285" i="5" s="1"/>
  <c r="AY349" i="5"/>
  <c r="BB349" i="5" s="1"/>
  <c r="AY413" i="5"/>
  <c r="BB413" i="5" s="1"/>
  <c r="AY468" i="5"/>
  <c r="BB468" i="5" s="1"/>
  <c r="AY500" i="5"/>
  <c r="BB500" i="5" s="1"/>
  <c r="AY532" i="5"/>
  <c r="BB532" i="5" s="1"/>
  <c r="AY28" i="5"/>
  <c r="BB28" i="5" s="1"/>
  <c r="AY165" i="5"/>
  <c r="BB165" i="5" s="1"/>
  <c r="AY229" i="5"/>
  <c r="BB229" i="5" s="1"/>
  <c r="AY293" i="5"/>
  <c r="BB293" i="5" s="1"/>
  <c r="AY357" i="5"/>
  <c r="BB357" i="5" s="1"/>
  <c r="AY421" i="5"/>
  <c r="BB421" i="5" s="1"/>
  <c r="AY469" i="5"/>
  <c r="BB469" i="5" s="1"/>
  <c r="AY501" i="5"/>
  <c r="BB501" i="5" s="1"/>
  <c r="AY533" i="5"/>
  <c r="BB533" i="5" s="1"/>
  <c r="AY69" i="5"/>
  <c r="BB69" i="5" s="1"/>
  <c r="AY181" i="5"/>
  <c r="BB181" i="5" s="1"/>
  <c r="AY245" i="5"/>
  <c r="BB245" i="5" s="1"/>
  <c r="AY309" i="5"/>
  <c r="BB309" i="5" s="1"/>
  <c r="AY373" i="5"/>
  <c r="BB373" i="5" s="1"/>
  <c r="AY437" i="5"/>
  <c r="BB437" i="5" s="1"/>
  <c r="AY477" i="5"/>
  <c r="BB477" i="5" s="1"/>
  <c r="AY509" i="5"/>
  <c r="BB509" i="5" s="1"/>
  <c r="AY541" i="5"/>
  <c r="BB541" i="5" s="1"/>
  <c r="AY8" i="5"/>
  <c r="AY92" i="5"/>
  <c r="BB92" i="5" s="1"/>
  <c r="AY189" i="5"/>
  <c r="BB189" i="5" s="1"/>
  <c r="AY253" i="5"/>
  <c r="BB253" i="5" s="1"/>
  <c r="AY317" i="5"/>
  <c r="BB317" i="5" s="1"/>
  <c r="AY381" i="5"/>
  <c r="BB381" i="5" s="1"/>
  <c r="AY445" i="5"/>
  <c r="BB445" i="5" s="1"/>
  <c r="AY484" i="5"/>
  <c r="BB484" i="5" s="1"/>
  <c r="AY516" i="5"/>
  <c r="BB516" i="5" s="1"/>
  <c r="AY548" i="5"/>
  <c r="BB548" i="5" s="1"/>
  <c r="AY476" i="5"/>
  <c r="BB476" i="5" s="1"/>
  <c r="AY7" i="5"/>
  <c r="AY508" i="5"/>
  <c r="BB508" i="5" s="1"/>
  <c r="AY19" i="5"/>
  <c r="BB19" i="5" s="1"/>
  <c r="AY46" i="5"/>
  <c r="BB46" i="5" s="1"/>
  <c r="AY540" i="5"/>
  <c r="BB540" i="5" s="1"/>
  <c r="AY173" i="5"/>
  <c r="BB173" i="5" s="1"/>
  <c r="AY237" i="5"/>
  <c r="BB237" i="5" s="1"/>
  <c r="AY301" i="5"/>
  <c r="BB301" i="5" s="1"/>
  <c r="AY365" i="5"/>
  <c r="BB365" i="5" s="1"/>
  <c r="AY429" i="5"/>
  <c r="BB429" i="5" s="1"/>
  <c r="BB502" i="5"/>
  <c r="BB246" i="5"/>
  <c r="BB81" i="5"/>
  <c r="BB25" i="5"/>
  <c r="BB110" i="5"/>
  <c r="BB138" i="5"/>
  <c r="BB74" i="5"/>
  <c r="M8" i="8"/>
  <c r="B152" i="3"/>
  <c r="M8" i="6"/>
  <c r="N12" i="5"/>
  <c r="AS12" i="5" s="1"/>
  <c r="B48" i="5"/>
  <c r="B146" i="3"/>
  <c r="B55" i="5"/>
  <c r="B12" i="5"/>
  <c r="AY12" i="5" l="1"/>
  <c r="BA421" i="5"/>
  <c r="AZ421" i="5"/>
  <c r="BA446" i="5"/>
  <c r="AZ446" i="5"/>
  <c r="BA29" i="5"/>
  <c r="AZ29" i="5"/>
  <c r="AZ352" i="5"/>
  <c r="BA352" i="5"/>
  <c r="AZ497" i="5"/>
  <c r="BA497" i="5"/>
  <c r="BA170" i="5"/>
  <c r="AZ170" i="5"/>
  <c r="BA411" i="5"/>
  <c r="AZ411" i="5"/>
  <c r="AZ319" i="5"/>
  <c r="BA319" i="5"/>
  <c r="AZ367" i="5"/>
  <c r="BA367" i="5"/>
  <c r="AZ203" i="5"/>
  <c r="BA203" i="5"/>
  <c r="AZ494" i="5"/>
  <c r="BA494" i="5"/>
  <c r="AZ137" i="5"/>
  <c r="BA137" i="5"/>
  <c r="BA90" i="5"/>
  <c r="AZ90" i="5"/>
  <c r="BA168" i="5"/>
  <c r="AZ168" i="5"/>
  <c r="AZ44" i="5"/>
  <c r="BA44" i="5"/>
  <c r="BA144" i="5"/>
  <c r="AZ144" i="5"/>
  <c r="BA66" i="5"/>
  <c r="AZ66" i="5"/>
  <c r="BA65" i="5"/>
  <c r="AZ65" i="5"/>
  <c r="BA140" i="5"/>
  <c r="AZ140" i="5"/>
  <c r="AZ416" i="5"/>
  <c r="BA416" i="5"/>
  <c r="AZ504" i="5"/>
  <c r="BA504" i="5"/>
  <c r="BA516" i="5"/>
  <c r="AZ516" i="5"/>
  <c r="AZ51" i="5"/>
  <c r="BA51" i="5"/>
  <c r="BA249" i="5"/>
  <c r="AZ249" i="5"/>
  <c r="BA401" i="5"/>
  <c r="AZ401" i="5"/>
  <c r="BA148" i="5"/>
  <c r="AZ148" i="5"/>
  <c r="AZ355" i="5"/>
  <c r="BA355" i="5"/>
  <c r="BA534" i="5"/>
  <c r="AZ534" i="5"/>
  <c r="BA306" i="5"/>
  <c r="AZ306" i="5"/>
  <c r="BA188" i="5"/>
  <c r="AZ188" i="5"/>
  <c r="BA207" i="5"/>
  <c r="AZ207" i="5"/>
  <c r="BA281" i="5"/>
  <c r="AZ281" i="5"/>
  <c r="AZ508" i="5"/>
  <c r="BA508" i="5"/>
  <c r="BA328" i="5"/>
  <c r="AZ328" i="5"/>
  <c r="AZ435" i="5"/>
  <c r="BA435" i="5"/>
  <c r="BA379" i="5"/>
  <c r="AZ379" i="5"/>
  <c r="BA80" i="5"/>
  <c r="AZ80" i="5"/>
  <c r="AZ177" i="5"/>
  <c r="BA177" i="5"/>
  <c r="BA68" i="5"/>
  <c r="AZ68" i="5"/>
  <c r="BA533" i="5"/>
  <c r="AZ533" i="5"/>
  <c r="BA287" i="5"/>
  <c r="AZ287" i="5"/>
  <c r="AZ204" i="5"/>
  <c r="BA204" i="5"/>
  <c r="BA161" i="5"/>
  <c r="AZ161" i="5"/>
  <c r="BA297" i="5"/>
  <c r="AZ297" i="5"/>
  <c r="BA112" i="5"/>
  <c r="AZ112" i="5"/>
  <c r="AV524" i="5"/>
  <c r="AV505" i="5"/>
  <c r="AV502" i="5"/>
  <c r="AV496" i="5"/>
  <c r="AV475" i="5"/>
  <c r="AV468" i="5"/>
  <c r="AV435" i="5"/>
  <c r="AV432" i="5"/>
  <c r="AV428" i="5"/>
  <c r="AV418" i="5"/>
  <c r="AV414" i="5"/>
  <c r="AV398" i="5"/>
  <c r="AV389" i="5"/>
  <c r="AV375" i="5"/>
  <c r="AV371" i="5"/>
  <c r="AV350" i="5"/>
  <c r="AV306" i="5"/>
  <c r="AV294" i="5"/>
  <c r="AV286" i="5"/>
  <c r="AV251" i="5"/>
  <c r="AV229" i="5"/>
  <c r="AV227" i="5"/>
  <c r="AV225" i="5"/>
  <c r="AV528" i="5"/>
  <c r="AV518" i="5"/>
  <c r="AV480" i="5"/>
  <c r="AV469" i="5"/>
  <c r="AV445" i="5"/>
  <c r="AV430" i="5"/>
  <c r="AV406" i="5"/>
  <c r="AV382" i="5"/>
  <c r="AV367" i="5"/>
  <c r="AV322" i="5"/>
  <c r="AV317" i="5"/>
  <c r="AV309" i="5"/>
  <c r="AV303" i="5"/>
  <c r="AV279" i="5"/>
  <c r="AV276" i="5"/>
  <c r="AV261" i="5"/>
  <c r="AV254" i="5"/>
  <c r="AV246" i="5"/>
  <c r="AV237" i="5"/>
  <c r="AV233" i="5"/>
  <c r="AV218" i="5"/>
  <c r="AV214" i="5"/>
  <c r="AV206" i="5"/>
  <c r="AV557" i="5"/>
  <c r="AV546" i="5"/>
  <c r="AV535" i="5"/>
  <c r="AV504" i="5"/>
  <c r="AV487" i="5"/>
  <c r="AV394" i="5"/>
  <c r="AV384" i="5"/>
  <c r="AV365" i="5"/>
  <c r="AV356" i="5"/>
  <c r="AV348" i="5"/>
  <c r="AV346" i="5"/>
  <c r="AV338" i="5"/>
  <c r="AV320" i="5"/>
  <c r="AV299" i="5"/>
  <c r="AV273" i="5"/>
  <c r="AV267" i="5"/>
  <c r="AV257" i="5"/>
  <c r="AV230" i="5"/>
  <c r="AV197" i="5"/>
  <c r="AV194" i="5"/>
  <c r="AV538" i="5"/>
  <c r="AV529" i="5"/>
  <c r="AV498" i="5"/>
  <c r="AV484" i="5"/>
  <c r="AV458" i="5"/>
  <c r="AV457" i="5"/>
  <c r="AV454" i="5"/>
  <c r="AV440" i="5"/>
  <c r="AV433" i="5"/>
  <c r="AV425" i="5"/>
  <c r="AV385" i="5"/>
  <c r="AV358" i="5"/>
  <c r="AV344" i="5"/>
  <c r="AV341" i="5"/>
  <c r="AV329" i="5"/>
  <c r="AV262" i="5"/>
  <c r="AV187" i="5"/>
  <c r="AV532" i="5"/>
  <c r="AV482" i="5"/>
  <c r="AV474" i="5"/>
  <c r="AV463" i="5"/>
  <c r="AV449" i="5"/>
  <c r="AV442" i="5"/>
  <c r="AV401" i="5"/>
  <c r="AV390" i="5"/>
  <c r="AV372" i="5"/>
  <c r="AV353" i="5"/>
  <c r="AV336" i="5"/>
  <c r="AV333" i="5"/>
  <c r="AV313" i="5"/>
  <c r="AV305" i="5"/>
  <c r="AV295" i="5"/>
  <c r="AV277" i="5"/>
  <c r="AV238" i="5"/>
  <c r="AV235" i="5"/>
  <c r="AV219" i="5"/>
  <c r="AV195" i="5"/>
  <c r="AV547" i="5"/>
  <c r="AV542" i="5"/>
  <c r="AV525" i="5"/>
  <c r="AV515" i="5"/>
  <c r="AV510" i="5"/>
  <c r="AV509" i="5"/>
  <c r="AV479" i="5"/>
  <c r="AV471" i="5"/>
  <c r="AV466" i="5"/>
  <c r="AV446" i="5"/>
  <c r="AV434" i="5"/>
  <c r="AV422" i="5"/>
  <c r="AV420" i="5"/>
  <c r="AV412" i="5"/>
  <c r="AV407" i="5"/>
  <c r="AV404" i="5"/>
  <c r="AV376" i="5"/>
  <c r="AV361" i="5"/>
  <c r="AV349" i="5"/>
  <c r="AV316" i="5"/>
  <c r="AV310" i="5"/>
  <c r="AV300" i="5"/>
  <c r="AV275" i="5"/>
  <c r="AV270" i="5"/>
  <c r="AV268" i="5"/>
  <c r="AV243" i="5"/>
  <c r="AV226" i="5"/>
  <c r="AV221" i="5"/>
  <c r="AV198" i="5"/>
  <c r="AV193" i="5"/>
  <c r="AV556" i="5"/>
  <c r="AV539" i="5"/>
  <c r="AV536" i="5"/>
  <c r="AV533" i="5"/>
  <c r="AV523" i="5"/>
  <c r="AV497" i="5"/>
  <c r="AV417" i="5"/>
  <c r="AV368" i="5"/>
  <c r="AV366" i="5"/>
  <c r="AV357" i="5"/>
  <c r="AV330" i="5"/>
  <c r="AV321" i="5"/>
  <c r="AV266" i="5"/>
  <c r="AV263" i="5"/>
  <c r="AV250" i="5"/>
  <c r="AV245" i="5"/>
  <c r="AV222" i="5"/>
  <c r="AV213" i="5"/>
  <c r="AV205" i="5"/>
  <c r="AV202" i="5"/>
  <c r="AV184" i="5"/>
  <c r="AV537" i="5"/>
  <c r="AV325" i="5"/>
  <c r="AV157" i="5"/>
  <c r="AV153" i="5"/>
  <c r="AV127" i="5"/>
  <c r="AV120" i="5"/>
  <c r="AV89" i="5"/>
  <c r="AV73" i="5"/>
  <c r="AV63" i="5"/>
  <c r="AV55" i="5"/>
  <c r="AV47" i="5"/>
  <c r="AV26" i="5"/>
  <c r="AV172" i="5"/>
  <c r="AV110" i="5"/>
  <c r="AV517" i="5"/>
  <c r="AV512" i="5"/>
  <c r="AV180" i="5"/>
  <c r="AV168" i="5"/>
  <c r="AV151" i="5"/>
  <c r="AV149" i="5"/>
  <c r="AV132" i="5"/>
  <c r="AV111" i="5"/>
  <c r="AV103" i="5"/>
  <c r="AV101" i="5"/>
  <c r="AV95" i="5"/>
  <c r="AV81" i="5"/>
  <c r="AV74" i="5"/>
  <c r="AV23" i="5"/>
  <c r="AV486" i="5"/>
  <c r="AV337" i="5"/>
  <c r="AV185" i="5"/>
  <c r="AV182" i="5"/>
  <c r="AV173" i="5"/>
  <c r="AV169" i="5"/>
  <c r="AV160" i="5"/>
  <c r="AV87" i="5"/>
  <c r="AV85" i="5"/>
  <c r="AV40" i="5"/>
  <c r="AV31" i="5"/>
  <c r="AV176" i="5"/>
  <c r="AV437" i="5"/>
  <c r="AV423" i="5"/>
  <c r="AV165" i="5"/>
  <c r="AV161" i="5"/>
  <c r="AV158" i="5"/>
  <c r="AV143" i="5"/>
  <c r="AV135" i="5"/>
  <c r="AV128" i="5"/>
  <c r="AV123" i="5"/>
  <c r="AV112" i="5"/>
  <c r="AV108" i="5"/>
  <c r="AV104" i="5"/>
  <c r="AV88" i="5"/>
  <c r="AV373" i="5"/>
  <c r="AV258" i="5"/>
  <c r="AV152" i="5"/>
  <c r="AV115" i="5"/>
  <c r="AV34" i="5"/>
  <c r="AV551" i="5"/>
  <c r="AV405" i="5"/>
  <c r="AV387" i="5"/>
  <c r="AV345" i="5"/>
  <c r="AV302" i="5"/>
  <c r="AV278" i="5"/>
  <c r="AV189" i="5"/>
  <c r="AV174" i="5"/>
  <c r="AV98" i="5"/>
  <c r="AV64" i="5"/>
  <c r="AV56" i="5"/>
  <c r="AV48" i="5"/>
  <c r="AV33" i="5"/>
  <c r="AV80" i="5"/>
  <c r="AV541" i="5"/>
  <c r="AV289" i="5"/>
  <c r="AV210" i="5"/>
  <c r="AV192" i="5"/>
  <c r="AV181" i="5"/>
  <c r="AV148" i="5"/>
  <c r="AV134" i="5"/>
  <c r="AV119" i="5"/>
  <c r="AV100" i="5"/>
  <c r="AV84" i="5"/>
  <c r="AV39" i="5"/>
  <c r="AV25" i="5"/>
  <c r="AV553" i="5"/>
  <c r="AV483" i="5"/>
  <c r="AV450" i="5"/>
  <c r="AV177" i="5"/>
  <c r="AV144" i="5"/>
  <c r="AV139" i="5"/>
  <c r="AV131" i="5"/>
  <c r="AV86" i="5"/>
  <c r="AV66" i="5"/>
  <c r="AV65" i="5"/>
  <c r="AV58" i="5"/>
  <c r="AV57" i="5"/>
  <c r="AV50" i="5"/>
  <c r="AV49" i="5"/>
  <c r="AV42" i="5"/>
  <c r="AV41" i="5"/>
  <c r="AV409" i="5"/>
  <c r="AV136" i="5"/>
  <c r="AV36" i="5"/>
  <c r="AV118" i="5"/>
  <c r="AV52" i="5"/>
  <c r="AV560" i="5"/>
  <c r="AV492" i="5"/>
  <c r="AV77" i="5"/>
  <c r="AV99" i="5"/>
  <c r="AV69" i="5"/>
  <c r="AV97" i="5"/>
  <c r="AV204" i="5"/>
  <c r="AV271" i="5"/>
  <c r="AV285" i="5"/>
  <c r="AV282" i="5"/>
  <c r="AV297" i="5"/>
  <c r="AV304" i="5"/>
  <c r="AV124" i="5"/>
  <c r="AV126" i="5"/>
  <c r="AV78" i="5"/>
  <c r="AV60" i="5"/>
  <c r="AV426" i="5"/>
  <c r="AV217" i="5"/>
  <c r="AV326" i="5"/>
  <c r="AV342" i="5"/>
  <c r="AV75" i="5"/>
  <c r="AV96" i="5"/>
  <c r="AV35" i="5"/>
  <c r="AV59" i="5"/>
  <c r="AV91" i="5"/>
  <c r="AV29" i="5"/>
  <c r="AV140" i="5"/>
  <c r="AV130" i="5"/>
  <c r="AV175" i="5"/>
  <c r="AV154" i="5"/>
  <c r="AV142" i="5"/>
  <c r="AV150" i="5"/>
  <c r="AV207" i="5"/>
  <c r="AV191" i="5"/>
  <c r="AV236" i="5"/>
  <c r="AV231" i="5"/>
  <c r="AV252" i="5"/>
  <c r="AV287" i="5"/>
  <c r="AV292" i="5"/>
  <c r="AV293" i="5"/>
  <c r="AV323" i="5"/>
  <c r="AV311" i="5"/>
  <c r="AV116" i="5"/>
  <c r="AV415" i="5"/>
  <c r="AV443" i="5"/>
  <c r="AV76" i="5"/>
  <c r="AV102" i="5"/>
  <c r="AV70" i="5"/>
  <c r="AV90" i="5"/>
  <c r="AV133" i="5"/>
  <c r="AV129" i="5"/>
  <c r="AV183" i="5"/>
  <c r="AV220" i="5"/>
  <c r="AV211" i="5"/>
  <c r="AV224" i="5"/>
  <c r="AV249" i="5"/>
  <c r="AV291" i="5"/>
  <c r="AV234" i="5"/>
  <c r="AV506" i="5"/>
  <c r="AV431" i="5"/>
  <c r="AV478" i="5"/>
  <c r="AV462" i="5"/>
  <c r="AV493" i="5"/>
  <c r="AV32" i="5"/>
  <c r="AV51" i="5"/>
  <c r="AV92" i="5"/>
  <c r="AV22" i="5"/>
  <c r="AV38" i="5"/>
  <c r="AV54" i="5"/>
  <c r="AV105" i="5"/>
  <c r="AV113" i="5"/>
  <c r="AV137" i="5"/>
  <c r="AV141" i="5"/>
  <c r="AV146" i="5"/>
  <c r="AV147" i="5"/>
  <c r="AV162" i="5"/>
  <c r="AV178" i="5"/>
  <c r="AV209" i="5"/>
  <c r="AV208" i="5"/>
  <c r="AV215" i="5"/>
  <c r="AV239" i="5"/>
  <c r="AV244" i="5"/>
  <c r="AV255" i="5"/>
  <c r="AV256" i="5"/>
  <c r="AV298" i="5"/>
  <c r="AV272" i="5"/>
  <c r="AV343" i="5"/>
  <c r="AV489" i="5"/>
  <c r="AV544" i="5"/>
  <c r="AV109" i="5"/>
  <c r="AV19" i="5"/>
  <c r="AV82" i="5"/>
  <c r="AV159" i="5"/>
  <c r="AV156" i="5"/>
  <c r="AV164" i="5"/>
  <c r="AV212" i="5"/>
  <c r="AV223" i="5"/>
  <c r="AV269" i="5"/>
  <c r="AV264" i="5"/>
  <c r="AV283" i="5"/>
  <c r="AV359" i="5"/>
  <c r="AV301" i="5"/>
  <c r="AV20" i="5"/>
  <c r="AV190" i="5"/>
  <c r="AV280" i="5"/>
  <c r="AV93" i="5"/>
  <c r="AV83" i="5"/>
  <c r="AV43" i="5"/>
  <c r="AV67" i="5"/>
  <c r="AV94" i="5"/>
  <c r="AV45" i="5"/>
  <c r="AV121" i="5"/>
  <c r="AV122" i="5"/>
  <c r="AV125" i="5"/>
  <c r="AV138" i="5"/>
  <c r="AV166" i="5"/>
  <c r="AV186" i="5"/>
  <c r="AV155" i="5"/>
  <c r="AV167" i="5"/>
  <c r="AV163" i="5"/>
  <c r="AV201" i="5"/>
  <c r="AV253" i="5"/>
  <c r="AV260" i="5"/>
  <c r="AV259" i="5"/>
  <c r="AV334" i="5"/>
  <c r="AV324" i="5"/>
  <c r="AV179" i="5"/>
  <c r="AV265" i="5"/>
  <c r="AV72" i="5"/>
  <c r="AV53" i="5"/>
  <c r="AV21" i="5"/>
  <c r="AV79" i="5"/>
  <c r="AV106" i="5"/>
  <c r="AV24" i="5"/>
  <c r="AV107" i="5"/>
  <c r="AV203" i="5"/>
  <c r="AV196" i="5"/>
  <c r="AV216" i="5"/>
  <c r="AV232" i="5"/>
  <c r="AV247" i="5"/>
  <c r="AV242" i="5"/>
  <c r="AV241" i="5"/>
  <c r="AV284" i="5"/>
  <c r="AV328" i="5"/>
  <c r="AV308" i="5"/>
  <c r="AV28" i="5"/>
  <c r="AV37" i="5"/>
  <c r="AV240" i="5"/>
  <c r="AV248" i="5"/>
  <c r="AV335" i="5"/>
  <c r="AV374" i="5"/>
  <c r="AV381" i="5"/>
  <c r="AV410" i="5"/>
  <c r="AV447" i="5"/>
  <c r="AV452" i="5"/>
  <c r="AV444" i="5"/>
  <c r="AV485" i="5"/>
  <c r="AV522" i="5"/>
  <c r="AV526" i="5"/>
  <c r="AV534" i="5"/>
  <c r="AV545" i="5"/>
  <c r="AV362" i="5"/>
  <c r="AV550" i="5"/>
  <c r="AV27" i="5"/>
  <c r="AV46" i="5"/>
  <c r="AV228" i="5"/>
  <c r="AV307" i="5"/>
  <c r="AV360" i="5"/>
  <c r="AV380" i="5"/>
  <c r="AV386" i="5"/>
  <c r="AV378" i="5"/>
  <c r="AV490" i="5"/>
  <c r="AV476" i="5"/>
  <c r="AV516" i="5"/>
  <c r="AV491" i="5"/>
  <c r="AV531" i="5"/>
  <c r="AV527" i="5"/>
  <c r="AV44" i="5"/>
  <c r="AV171" i="5"/>
  <c r="AV290" i="5"/>
  <c r="AV314" i="5"/>
  <c r="AV354" i="5"/>
  <c r="AV315" i="5"/>
  <c r="AV363" i="5"/>
  <c r="AV393" i="5"/>
  <c r="AV408" i="5"/>
  <c r="AV436" i="5"/>
  <c r="AV448" i="5"/>
  <c r="AV460" i="5"/>
  <c r="AV481" i="5"/>
  <c r="AV473" i="5"/>
  <c r="AV488" i="5"/>
  <c r="AV508" i="5"/>
  <c r="AV554" i="5"/>
  <c r="AV558" i="5"/>
  <c r="AV555" i="5"/>
  <c r="AV429" i="5"/>
  <c r="AV494" i="5"/>
  <c r="AV540" i="5"/>
  <c r="AV68" i="5"/>
  <c r="AV71" i="5"/>
  <c r="AV188" i="5"/>
  <c r="AV312" i="5"/>
  <c r="AV327" i="5"/>
  <c r="AV383" i="5"/>
  <c r="AV391" i="5"/>
  <c r="AV392" i="5"/>
  <c r="AV413" i="5"/>
  <c r="AV439" i="5"/>
  <c r="AV451" i="5"/>
  <c r="AV453" i="5"/>
  <c r="AV470" i="5"/>
  <c r="AV495" i="5"/>
  <c r="AV520" i="5"/>
  <c r="AV548" i="5"/>
  <c r="AV199" i="5"/>
  <c r="AV464" i="5"/>
  <c r="AV552" i="5"/>
  <c r="AV30" i="5"/>
  <c r="AV114" i="5"/>
  <c r="AV117" i="5"/>
  <c r="AV281" i="5"/>
  <c r="AV355" i="5"/>
  <c r="AV318" i="5"/>
  <c r="AV347" i="5"/>
  <c r="AV369" i="5"/>
  <c r="AV370" i="5"/>
  <c r="AV379" i="5"/>
  <c r="AV419" i="5"/>
  <c r="AV399" i="5"/>
  <c r="AV377" i="5"/>
  <c r="AV403" i="5"/>
  <c r="AV411" i="5"/>
  <c r="AV455" i="5"/>
  <c r="AV461" i="5"/>
  <c r="AV500" i="5"/>
  <c r="AV513" i="5"/>
  <c r="AV519" i="5"/>
  <c r="AV340" i="5"/>
  <c r="AV352" i="5"/>
  <c r="AV511" i="5"/>
  <c r="AV288" i="5"/>
  <c r="AV331" i="5"/>
  <c r="AV351" i="5"/>
  <c r="AV395" i="5"/>
  <c r="AV424" i="5"/>
  <c r="AV388" i="5"/>
  <c r="AV397" i="5"/>
  <c r="AV421" i="5"/>
  <c r="AV438" i="5"/>
  <c r="AV427" i="5"/>
  <c r="AV465" i="5"/>
  <c r="AV441" i="5"/>
  <c r="AV456" i="5"/>
  <c r="AV459" i="5"/>
  <c r="AV501" i="5"/>
  <c r="AV503" i="5"/>
  <c r="AV530" i="5"/>
  <c r="AV296" i="5"/>
  <c r="AV61" i="5"/>
  <c r="AV62" i="5"/>
  <c r="AV170" i="5"/>
  <c r="AV145" i="5"/>
  <c r="AV200" i="5"/>
  <c r="AV319" i="5"/>
  <c r="AV332" i="5"/>
  <c r="AV339" i="5"/>
  <c r="AV396" i="5"/>
  <c r="AV402" i="5"/>
  <c r="AV400" i="5"/>
  <c r="AV477" i="5"/>
  <c r="AV472" i="5"/>
  <c r="AV467" i="5"/>
  <c r="AV499" i="5"/>
  <c r="AV507" i="5"/>
  <c r="AV514" i="5"/>
  <c r="AV521" i="5"/>
  <c r="AV549" i="5"/>
  <c r="AV559" i="5"/>
  <c r="AV274" i="5"/>
  <c r="AV364" i="5"/>
  <c r="AV416" i="5"/>
  <c r="AV543" i="5"/>
  <c r="BA33" i="5"/>
  <c r="AZ33" i="5"/>
  <c r="BA165" i="5"/>
  <c r="AZ165" i="5"/>
  <c r="BA91" i="5"/>
  <c r="AZ91" i="5"/>
  <c r="BA38" i="5"/>
  <c r="AZ38" i="5"/>
  <c r="BA384" i="5"/>
  <c r="AZ384" i="5"/>
  <c r="BA430" i="5"/>
  <c r="AZ430" i="5"/>
  <c r="AZ202" i="5"/>
  <c r="BA202" i="5"/>
  <c r="BA308" i="5"/>
  <c r="AZ308" i="5"/>
  <c r="BA409" i="5"/>
  <c r="AZ409" i="5"/>
  <c r="BA506" i="5"/>
  <c r="AZ506" i="5"/>
  <c r="BA213" i="5"/>
  <c r="AZ213" i="5"/>
  <c r="AZ366" i="5"/>
  <c r="BA366" i="5"/>
  <c r="BA547" i="5"/>
  <c r="AZ547" i="5"/>
  <c r="BA275" i="5"/>
  <c r="AZ275" i="5"/>
  <c r="BA431" i="5"/>
  <c r="AZ431" i="5"/>
  <c r="BA552" i="5"/>
  <c r="AZ552" i="5"/>
  <c r="BA333" i="5"/>
  <c r="AZ333" i="5"/>
  <c r="BA434" i="5"/>
  <c r="AZ434" i="5"/>
  <c r="BA291" i="5"/>
  <c r="AZ291" i="5"/>
  <c r="AZ457" i="5"/>
  <c r="BA457" i="5"/>
  <c r="AZ538" i="5"/>
  <c r="BA538" i="5"/>
  <c r="BA269" i="5"/>
  <c r="AZ269" i="5"/>
  <c r="AZ448" i="5"/>
  <c r="BA448" i="5"/>
  <c r="AZ510" i="5"/>
  <c r="BA510" i="5"/>
  <c r="BA273" i="5"/>
  <c r="AZ273" i="5"/>
  <c r="BA499" i="5"/>
  <c r="AZ499" i="5"/>
  <c r="AZ370" i="5"/>
  <c r="BA370" i="5"/>
  <c r="BA543" i="5"/>
  <c r="AZ543" i="5"/>
  <c r="BA334" i="5"/>
  <c r="AZ334" i="5"/>
  <c r="BA519" i="5"/>
  <c r="AZ519" i="5"/>
  <c r="AZ389" i="5"/>
  <c r="BA389" i="5"/>
  <c r="BA282" i="5"/>
  <c r="AZ282" i="5"/>
  <c r="BA501" i="5"/>
  <c r="AZ501" i="5"/>
  <c r="BA415" i="5"/>
  <c r="AZ415" i="5"/>
  <c r="AZ279" i="5"/>
  <c r="BA279" i="5"/>
  <c r="AZ481" i="5"/>
  <c r="BA481" i="5"/>
  <c r="AZ236" i="5"/>
  <c r="BA236" i="5"/>
  <c r="BA449" i="5"/>
  <c r="AZ449" i="5"/>
  <c r="BA164" i="5"/>
  <c r="AZ164" i="5"/>
  <c r="BA526" i="5"/>
  <c r="AZ526" i="5"/>
  <c r="BA440" i="5"/>
  <c r="AZ440" i="5"/>
  <c r="BA383" i="5"/>
  <c r="AZ383" i="5"/>
  <c r="BA59" i="5"/>
  <c r="AZ59" i="5"/>
  <c r="AZ496" i="5"/>
  <c r="BA496" i="5"/>
  <c r="BA410" i="5"/>
  <c r="AZ410" i="5"/>
  <c r="BA310" i="5"/>
  <c r="AZ310" i="5"/>
  <c r="BA200" i="5"/>
  <c r="AZ200" i="5"/>
  <c r="AZ187" i="5"/>
  <c r="BA187" i="5"/>
  <c r="BA83" i="5"/>
  <c r="AZ83" i="5"/>
  <c r="BA303" i="5"/>
  <c r="AZ303" i="5"/>
  <c r="AZ212" i="5"/>
  <c r="BA212" i="5"/>
  <c r="AZ32" i="5"/>
  <c r="BA32" i="5"/>
  <c r="AZ195" i="5"/>
  <c r="BA195" i="5"/>
  <c r="AZ206" i="5"/>
  <c r="BA206" i="5"/>
  <c r="BA216" i="5"/>
  <c r="AZ216" i="5"/>
  <c r="AZ109" i="5"/>
  <c r="BA109" i="5"/>
  <c r="AZ359" i="5"/>
  <c r="BA359" i="5"/>
  <c r="AZ178" i="5"/>
  <c r="BA178" i="5"/>
  <c r="AZ113" i="5"/>
  <c r="BA113" i="5"/>
  <c r="AZ193" i="5"/>
  <c r="BA193" i="5"/>
  <c r="BA198" i="5"/>
  <c r="AZ198" i="5"/>
  <c r="BA69" i="5"/>
  <c r="AZ69" i="5"/>
  <c r="BA274" i="5"/>
  <c r="AZ274" i="5"/>
  <c r="BA116" i="5"/>
  <c r="AZ116" i="5"/>
  <c r="AZ71" i="5"/>
  <c r="BA71" i="5"/>
  <c r="AZ79" i="5"/>
  <c r="BA79" i="5"/>
  <c r="AZ171" i="5"/>
  <c r="BA171" i="5"/>
  <c r="AZ52" i="5"/>
  <c r="BA52" i="5"/>
  <c r="BA39" i="5"/>
  <c r="AZ39" i="5"/>
  <c r="BA84" i="5"/>
  <c r="AZ84" i="5"/>
  <c r="BA25" i="5"/>
  <c r="AZ25" i="5"/>
  <c r="BA176" i="5"/>
  <c r="AZ176" i="5"/>
  <c r="AZ34" i="5"/>
  <c r="BA34" i="5"/>
  <c r="AZ194" i="5"/>
  <c r="BA194" i="5"/>
  <c r="AZ99" i="5"/>
  <c r="BA99" i="5"/>
  <c r="AZ87" i="5"/>
  <c r="BA87" i="5"/>
  <c r="BA210" i="5"/>
  <c r="AZ210" i="5"/>
  <c r="AZ456" i="5"/>
  <c r="BA456" i="5"/>
  <c r="BA250" i="5"/>
  <c r="AZ250" i="5"/>
  <c r="AZ321" i="5"/>
  <c r="BA321" i="5"/>
  <c r="AZ414" i="5"/>
  <c r="BA414" i="5"/>
  <c r="BA521" i="5"/>
  <c r="AZ521" i="5"/>
  <c r="BA217" i="5"/>
  <c r="AZ217" i="5"/>
  <c r="BA427" i="5"/>
  <c r="AZ427" i="5"/>
  <c r="AZ208" i="5"/>
  <c r="BA208" i="5"/>
  <c r="BA277" i="5"/>
  <c r="AZ277" i="5"/>
  <c r="BA436" i="5"/>
  <c r="AZ436" i="5"/>
  <c r="BA555" i="5"/>
  <c r="AZ555" i="5"/>
  <c r="BA336" i="5"/>
  <c r="AZ336" i="5"/>
  <c r="BA461" i="5"/>
  <c r="AZ461" i="5"/>
  <c r="AZ296" i="5"/>
  <c r="BA296" i="5"/>
  <c r="AZ458" i="5"/>
  <c r="BA458" i="5"/>
  <c r="BA546" i="5"/>
  <c r="AZ546" i="5"/>
  <c r="AZ276" i="5"/>
  <c r="BA276" i="5"/>
  <c r="AZ487" i="5"/>
  <c r="BA487" i="5"/>
  <c r="BA524" i="5"/>
  <c r="AZ524" i="5"/>
  <c r="BA364" i="5"/>
  <c r="AZ364" i="5"/>
  <c r="BA505" i="5"/>
  <c r="AZ505" i="5"/>
  <c r="BA419" i="5"/>
  <c r="AZ419" i="5"/>
  <c r="AZ245" i="5"/>
  <c r="BA245" i="5"/>
  <c r="AZ495" i="5"/>
  <c r="BA495" i="5"/>
  <c r="BA392" i="5"/>
  <c r="AZ392" i="5"/>
  <c r="BA520" i="5"/>
  <c r="AZ520" i="5"/>
  <c r="BA375" i="5"/>
  <c r="AZ375" i="5"/>
  <c r="BA418" i="5"/>
  <c r="AZ418" i="5"/>
  <c r="BA438" i="5"/>
  <c r="AZ438" i="5"/>
  <c r="BA155" i="5"/>
  <c r="AZ155" i="5"/>
  <c r="AZ502" i="5"/>
  <c r="BA502" i="5"/>
  <c r="BA423" i="5"/>
  <c r="AZ423" i="5"/>
  <c r="BA357" i="5"/>
  <c r="AZ357" i="5"/>
  <c r="BA463" i="5"/>
  <c r="AZ463" i="5"/>
  <c r="BA488" i="5"/>
  <c r="AZ488" i="5"/>
  <c r="AZ407" i="5"/>
  <c r="BA407" i="5"/>
  <c r="BA304" i="5"/>
  <c r="AZ304" i="5"/>
  <c r="BA223" i="5"/>
  <c r="AZ223" i="5"/>
  <c r="BA154" i="5"/>
  <c r="AZ154" i="5"/>
  <c r="AZ292" i="5"/>
  <c r="BA292" i="5"/>
  <c r="AZ300" i="5"/>
  <c r="BA300" i="5"/>
  <c r="AZ159" i="5"/>
  <c r="BA159" i="5"/>
  <c r="AZ43" i="5"/>
  <c r="BA43" i="5"/>
  <c r="BA185" i="5"/>
  <c r="AZ185" i="5"/>
  <c r="BA372" i="5"/>
  <c r="AZ372" i="5"/>
  <c r="AZ225" i="5"/>
  <c r="BA225" i="5"/>
  <c r="BA78" i="5"/>
  <c r="AZ78" i="5"/>
  <c r="AZ260" i="5"/>
  <c r="BA260" i="5"/>
  <c r="AZ183" i="5"/>
  <c r="BA183" i="5"/>
  <c r="BA53" i="5"/>
  <c r="AZ53" i="5"/>
  <c r="BA67" i="5"/>
  <c r="AZ67" i="5"/>
  <c r="BA182" i="5"/>
  <c r="AZ182" i="5"/>
  <c r="BA77" i="5"/>
  <c r="AZ77" i="5"/>
  <c r="BA251" i="5"/>
  <c r="AZ251" i="5"/>
  <c r="AZ133" i="5"/>
  <c r="BA133" i="5"/>
  <c r="BA57" i="5"/>
  <c r="AZ57" i="5"/>
  <c r="BA103" i="5"/>
  <c r="AZ103" i="5"/>
  <c r="AZ229" i="5"/>
  <c r="BA229" i="5"/>
  <c r="BA60" i="5"/>
  <c r="AZ60" i="5"/>
  <c r="BA131" i="5"/>
  <c r="AZ131" i="5"/>
  <c r="BA115" i="5"/>
  <c r="AZ115" i="5"/>
  <c r="BA23" i="5"/>
  <c r="AZ23" i="5"/>
  <c r="BA179" i="5"/>
  <c r="AZ179" i="5"/>
  <c r="BA46" i="5"/>
  <c r="AZ46" i="5"/>
  <c r="BA312" i="5"/>
  <c r="AZ312" i="5"/>
  <c r="BA123" i="5"/>
  <c r="AZ123" i="5"/>
  <c r="AZ101" i="5"/>
  <c r="BA101" i="5"/>
  <c r="AZ335" i="5"/>
  <c r="BA335" i="5"/>
  <c r="BA475" i="5"/>
  <c r="AZ475" i="5"/>
  <c r="AZ252" i="5"/>
  <c r="BA252" i="5"/>
  <c r="BA325" i="5"/>
  <c r="AZ325" i="5"/>
  <c r="BA428" i="5"/>
  <c r="AZ428" i="5"/>
  <c r="AZ523" i="5"/>
  <c r="BA523" i="5"/>
  <c r="AZ226" i="5"/>
  <c r="BA226" i="5"/>
  <c r="BA437" i="5"/>
  <c r="AZ437" i="5"/>
  <c r="BA221" i="5"/>
  <c r="AZ221" i="5"/>
  <c r="AZ305" i="5"/>
  <c r="BA305" i="5"/>
  <c r="BA442" i="5"/>
  <c r="AZ442" i="5"/>
  <c r="BA224" i="5"/>
  <c r="AZ224" i="5"/>
  <c r="BA344" i="5"/>
  <c r="AZ344" i="5"/>
  <c r="AZ489" i="5"/>
  <c r="BA489" i="5"/>
  <c r="BA320" i="5"/>
  <c r="AZ320" i="5"/>
  <c r="BA478" i="5"/>
  <c r="AZ478" i="5"/>
  <c r="BA196" i="5"/>
  <c r="AZ196" i="5"/>
  <c r="AZ299" i="5"/>
  <c r="BA299" i="5"/>
  <c r="BA514" i="5"/>
  <c r="AZ514" i="5"/>
  <c r="BA107" i="5"/>
  <c r="AZ107" i="5"/>
  <c r="BA480" i="5"/>
  <c r="AZ480" i="5"/>
  <c r="AZ388" i="5"/>
  <c r="BA388" i="5"/>
  <c r="BA395" i="5"/>
  <c r="AZ395" i="5"/>
  <c r="AZ399" i="5"/>
  <c r="BA399" i="5"/>
  <c r="AZ295" i="5"/>
  <c r="BA295" i="5"/>
  <c r="BA452" i="5"/>
  <c r="AZ452" i="5"/>
  <c r="BA553" i="5"/>
  <c r="AZ553" i="5"/>
  <c r="AZ500" i="5"/>
  <c r="BA500" i="5"/>
  <c r="AZ447" i="5"/>
  <c r="BA447" i="5"/>
  <c r="AZ374" i="5"/>
  <c r="BA374" i="5"/>
  <c r="BA404" i="5"/>
  <c r="AZ404" i="5"/>
  <c r="BA476" i="5"/>
  <c r="AZ476" i="5"/>
  <c r="BA386" i="5"/>
  <c r="AZ386" i="5"/>
  <c r="BA94" i="5"/>
  <c r="AZ94" i="5"/>
  <c r="AZ192" i="5"/>
  <c r="BA192" i="5"/>
  <c r="BA134" i="5"/>
  <c r="AZ134" i="5"/>
  <c r="BA257" i="5"/>
  <c r="AZ257" i="5"/>
  <c r="AZ267" i="5"/>
  <c r="BA267" i="5"/>
  <c r="BA132" i="5"/>
  <c r="AZ132" i="5"/>
  <c r="BA40" i="5"/>
  <c r="AZ40" i="5"/>
  <c r="BA151" i="5"/>
  <c r="AZ151" i="5"/>
  <c r="BA24" i="5"/>
  <c r="AZ24" i="5"/>
  <c r="BA136" i="5"/>
  <c r="AZ136" i="5"/>
  <c r="BA199" i="5"/>
  <c r="AZ199" i="5"/>
  <c r="AZ255" i="5"/>
  <c r="BA255" i="5"/>
  <c r="AZ162" i="5"/>
  <c r="BA162" i="5"/>
  <c r="BA37" i="5"/>
  <c r="AZ37" i="5"/>
  <c r="BA146" i="5"/>
  <c r="AZ146" i="5"/>
  <c r="BA153" i="5"/>
  <c r="AZ153" i="5"/>
  <c r="AZ96" i="5"/>
  <c r="BA96" i="5"/>
  <c r="AZ239" i="5"/>
  <c r="BA239" i="5"/>
  <c r="AZ88" i="5"/>
  <c r="BA88" i="5"/>
  <c r="BA102" i="5"/>
  <c r="AZ102" i="5"/>
  <c r="AZ111" i="5"/>
  <c r="BA111" i="5"/>
  <c r="BA86" i="5"/>
  <c r="AZ86" i="5"/>
  <c r="AZ73" i="5"/>
  <c r="BA73" i="5"/>
  <c r="BA30" i="5"/>
  <c r="AZ30" i="5"/>
  <c r="AZ125" i="5"/>
  <c r="BA125" i="5"/>
  <c r="AZ48" i="5"/>
  <c r="BA48" i="5"/>
  <c r="BA294" i="5"/>
  <c r="AZ294" i="5"/>
  <c r="BA54" i="5"/>
  <c r="AZ54" i="5"/>
  <c r="BA445" i="5"/>
  <c r="AZ445" i="5"/>
  <c r="AZ175" i="5"/>
  <c r="BA175" i="5"/>
  <c r="BA106" i="5"/>
  <c r="AZ106" i="5"/>
  <c r="AZ337" i="5"/>
  <c r="BA337" i="5"/>
  <c r="BA483" i="5"/>
  <c r="AZ483" i="5"/>
  <c r="BA258" i="5"/>
  <c r="AZ258" i="5"/>
  <c r="AZ343" i="5"/>
  <c r="BA343" i="5"/>
  <c r="BA432" i="5"/>
  <c r="AZ432" i="5"/>
  <c r="BA545" i="5"/>
  <c r="AZ545" i="5"/>
  <c r="AZ280" i="5"/>
  <c r="BA280" i="5"/>
  <c r="AZ466" i="5"/>
  <c r="BA466" i="5"/>
  <c r="BA243" i="5"/>
  <c r="AZ243" i="5"/>
  <c r="BA313" i="5"/>
  <c r="AZ313" i="5"/>
  <c r="BA482" i="5"/>
  <c r="AZ482" i="5"/>
  <c r="BA238" i="5"/>
  <c r="AZ238" i="5"/>
  <c r="BA390" i="5"/>
  <c r="AZ390" i="5"/>
  <c r="BA498" i="5"/>
  <c r="AZ498" i="5"/>
  <c r="AZ341" i="5"/>
  <c r="BA341" i="5"/>
  <c r="BA492" i="5"/>
  <c r="AZ492" i="5"/>
  <c r="BA197" i="5"/>
  <c r="AZ197" i="5"/>
  <c r="BA309" i="5"/>
  <c r="AZ309" i="5"/>
  <c r="BA528" i="5"/>
  <c r="AZ528" i="5"/>
  <c r="AZ451" i="5"/>
  <c r="BA451" i="5"/>
  <c r="AZ82" i="5"/>
  <c r="BA82" i="5"/>
  <c r="BA462" i="5"/>
  <c r="AZ462" i="5"/>
  <c r="AZ347" i="5"/>
  <c r="BA347" i="5"/>
  <c r="BA444" i="5"/>
  <c r="AZ444" i="5"/>
  <c r="AZ484" i="5"/>
  <c r="BA484" i="5"/>
  <c r="BA402" i="5"/>
  <c r="AZ402" i="5"/>
  <c r="BA124" i="5"/>
  <c r="AZ124" i="5"/>
  <c r="BA385" i="5"/>
  <c r="AZ385" i="5"/>
  <c r="AZ548" i="5"/>
  <c r="BA548" i="5"/>
  <c r="BA412" i="5"/>
  <c r="AZ412" i="5"/>
  <c r="BA493" i="5"/>
  <c r="AZ493" i="5"/>
  <c r="BA470" i="5"/>
  <c r="AZ470" i="5"/>
  <c r="BA397" i="5"/>
  <c r="AZ397" i="5"/>
  <c r="BA314" i="5"/>
  <c r="AZ314" i="5"/>
  <c r="AZ559" i="5"/>
  <c r="BA559" i="5"/>
  <c r="BA471" i="5"/>
  <c r="AZ471" i="5"/>
  <c r="AZ380" i="5"/>
  <c r="BA380" i="5"/>
  <c r="BA332" i="5"/>
  <c r="AZ332" i="5"/>
  <c r="AZ167" i="5"/>
  <c r="BA167" i="5"/>
  <c r="AZ104" i="5"/>
  <c r="BA104" i="5"/>
  <c r="AZ253" i="5"/>
  <c r="BA253" i="5"/>
  <c r="AZ284" i="5"/>
  <c r="BA284" i="5"/>
  <c r="BA105" i="5"/>
  <c r="AZ105" i="5"/>
  <c r="AZ301" i="5"/>
  <c r="BA301" i="5"/>
  <c r="BA186" i="5"/>
  <c r="AZ186" i="5"/>
  <c r="AZ27" i="5"/>
  <c r="BA27" i="5"/>
  <c r="BA147" i="5"/>
  <c r="AZ147" i="5"/>
  <c r="BA228" i="5"/>
  <c r="AZ228" i="5"/>
  <c r="BA265" i="5"/>
  <c r="AZ265" i="5"/>
  <c r="BA174" i="5"/>
  <c r="AZ174" i="5"/>
  <c r="BA21" i="5"/>
  <c r="AZ21" i="5"/>
  <c r="BA172" i="5"/>
  <c r="AZ172" i="5"/>
  <c r="BA120" i="5"/>
  <c r="AZ120" i="5"/>
  <c r="AZ222" i="5"/>
  <c r="BA222" i="5"/>
  <c r="AZ240" i="5"/>
  <c r="BA240" i="5"/>
  <c r="BA72" i="5"/>
  <c r="AZ72" i="5"/>
  <c r="AZ19" i="5"/>
  <c r="BA19" i="5"/>
  <c r="BA114" i="5"/>
  <c r="AZ114" i="5"/>
  <c r="BA119" i="5"/>
  <c r="AZ119" i="5"/>
  <c r="BA81" i="5"/>
  <c r="AZ81" i="5"/>
  <c r="BA36" i="5"/>
  <c r="AZ36" i="5"/>
  <c r="BA152" i="5"/>
  <c r="AZ152" i="5"/>
  <c r="AZ56" i="5"/>
  <c r="BA56" i="5"/>
  <c r="BA473" i="5"/>
  <c r="AZ473" i="5"/>
  <c r="BA62" i="5"/>
  <c r="AZ62" i="5"/>
  <c r="AZ453" i="5"/>
  <c r="BA453" i="5"/>
  <c r="BA406" i="5"/>
  <c r="AZ406" i="5"/>
  <c r="BA160" i="5"/>
  <c r="AZ160" i="5"/>
  <c r="AZ345" i="5"/>
  <c r="BA345" i="5"/>
  <c r="BA512" i="5"/>
  <c r="AZ512" i="5"/>
  <c r="BA266" i="5"/>
  <c r="AZ266" i="5"/>
  <c r="BA350" i="5"/>
  <c r="AZ350" i="5"/>
  <c r="BA450" i="5"/>
  <c r="AZ450" i="5"/>
  <c r="BA556" i="5"/>
  <c r="AZ556" i="5"/>
  <c r="AZ293" i="5"/>
  <c r="BA293" i="5"/>
  <c r="BA479" i="5"/>
  <c r="AZ479" i="5"/>
  <c r="BA248" i="5"/>
  <c r="AZ248" i="5"/>
  <c r="BA360" i="5"/>
  <c r="AZ360" i="5"/>
  <c r="BA511" i="5"/>
  <c r="AZ511" i="5"/>
  <c r="BA241" i="5"/>
  <c r="AZ241" i="5"/>
  <c r="AZ408" i="5"/>
  <c r="BA408" i="5"/>
  <c r="BA509" i="5"/>
  <c r="AZ509" i="5"/>
  <c r="BA353" i="5"/>
  <c r="AZ353" i="5"/>
  <c r="AZ507" i="5"/>
  <c r="BA507" i="5"/>
  <c r="AZ218" i="5"/>
  <c r="BA218" i="5"/>
  <c r="AZ327" i="5"/>
  <c r="BA327" i="5"/>
  <c r="AZ544" i="5"/>
  <c r="BA544" i="5"/>
  <c r="BA403" i="5"/>
  <c r="AZ403" i="5"/>
  <c r="BA474" i="5"/>
  <c r="AZ474" i="5"/>
  <c r="BA469" i="5"/>
  <c r="AZ469" i="5"/>
  <c r="BA351" i="5"/>
  <c r="AZ351" i="5"/>
  <c r="AZ400" i="5"/>
  <c r="BA400" i="5"/>
  <c r="BA467" i="5"/>
  <c r="AZ467" i="5"/>
  <c r="BA330" i="5"/>
  <c r="AZ330" i="5"/>
  <c r="BA551" i="5"/>
  <c r="AZ551" i="5"/>
  <c r="BA322" i="5"/>
  <c r="AZ322" i="5"/>
  <c r="BA541" i="5"/>
  <c r="AZ541" i="5"/>
  <c r="BA378" i="5"/>
  <c r="AZ378" i="5"/>
  <c r="BA426" i="5"/>
  <c r="AZ426" i="5"/>
  <c r="AZ485" i="5"/>
  <c r="BA485" i="5"/>
  <c r="BA393" i="5"/>
  <c r="AZ393" i="5"/>
  <c r="BA285" i="5"/>
  <c r="AZ285" i="5"/>
  <c r="BA557" i="5"/>
  <c r="AZ557" i="5"/>
  <c r="BA490" i="5"/>
  <c r="AZ490" i="5"/>
  <c r="BA373" i="5"/>
  <c r="AZ373" i="5"/>
  <c r="BA233" i="5"/>
  <c r="AZ233" i="5"/>
  <c r="BA180" i="5"/>
  <c r="AZ180" i="5"/>
  <c r="BA76" i="5"/>
  <c r="AZ76" i="5"/>
  <c r="BA454" i="5"/>
  <c r="AZ454" i="5"/>
  <c r="BA219" i="5"/>
  <c r="AZ219" i="5"/>
  <c r="BA85" i="5"/>
  <c r="AZ85" i="5"/>
  <c r="BA259" i="5"/>
  <c r="AZ259" i="5"/>
  <c r="AZ166" i="5"/>
  <c r="BA166" i="5"/>
  <c r="BA283" i="5"/>
  <c r="AZ283" i="5"/>
  <c r="BA100" i="5"/>
  <c r="AZ100" i="5"/>
  <c r="BA130" i="5"/>
  <c r="AZ130" i="5"/>
  <c r="BA244" i="5"/>
  <c r="AZ244" i="5"/>
  <c r="AZ158" i="5"/>
  <c r="BA158" i="5"/>
  <c r="AZ75" i="5"/>
  <c r="BA75" i="5"/>
  <c r="BA289" i="5"/>
  <c r="AZ289" i="5"/>
  <c r="AZ129" i="5"/>
  <c r="BA129" i="5"/>
  <c r="BA394" i="5"/>
  <c r="AZ394" i="5"/>
  <c r="BA201" i="5"/>
  <c r="AZ201" i="5"/>
  <c r="BA339" i="5"/>
  <c r="AZ339" i="5"/>
  <c r="BA47" i="5"/>
  <c r="AZ47" i="5"/>
  <c r="BA127" i="5"/>
  <c r="AZ127" i="5"/>
  <c r="BA181" i="5"/>
  <c r="AZ181" i="5"/>
  <c r="BA89" i="5"/>
  <c r="AZ89" i="5"/>
  <c r="AZ42" i="5"/>
  <c r="BA42" i="5"/>
  <c r="BA254" i="5"/>
  <c r="AZ254" i="5"/>
  <c r="AZ64" i="5"/>
  <c r="BA64" i="5"/>
  <c r="BA41" i="5"/>
  <c r="AZ41" i="5"/>
  <c r="BA108" i="5"/>
  <c r="AZ108" i="5"/>
  <c r="AZ93" i="5"/>
  <c r="BA93" i="5"/>
  <c r="BA49" i="5"/>
  <c r="AZ49" i="5"/>
  <c r="BA173" i="5"/>
  <c r="AZ173" i="5"/>
  <c r="BA363" i="5"/>
  <c r="AZ363" i="5"/>
  <c r="AZ517" i="5"/>
  <c r="BA517" i="5"/>
  <c r="BA272" i="5"/>
  <c r="AZ272" i="5"/>
  <c r="BA368" i="5"/>
  <c r="AZ368" i="5"/>
  <c r="BA468" i="5"/>
  <c r="AZ468" i="5"/>
  <c r="AZ560" i="5"/>
  <c r="BA560" i="5"/>
  <c r="BA298" i="5"/>
  <c r="AZ298" i="5"/>
  <c r="AZ491" i="5"/>
  <c r="BA491" i="5"/>
  <c r="AZ264" i="5"/>
  <c r="BA264" i="5"/>
  <c r="BA361" i="5"/>
  <c r="AZ361" i="5"/>
  <c r="BA513" i="5"/>
  <c r="AZ513" i="5"/>
  <c r="BA262" i="5"/>
  <c r="AZ262" i="5"/>
  <c r="BA420" i="5"/>
  <c r="AZ420" i="5"/>
  <c r="BA525" i="5"/>
  <c r="AZ525" i="5"/>
  <c r="BA356" i="5"/>
  <c r="AZ356" i="5"/>
  <c r="AZ522" i="5"/>
  <c r="BA522" i="5"/>
  <c r="AZ230" i="5"/>
  <c r="BA230" i="5"/>
  <c r="BA348" i="5"/>
  <c r="AZ348" i="5"/>
  <c r="BA424" i="5"/>
  <c r="AZ424" i="5"/>
  <c r="BA377" i="5"/>
  <c r="AZ377" i="5"/>
  <c r="AZ472" i="5"/>
  <c r="BA472" i="5"/>
  <c r="BA338" i="5"/>
  <c r="AZ338" i="5"/>
  <c r="BA558" i="5"/>
  <c r="AZ558" i="5"/>
  <c r="BA459" i="5"/>
  <c r="AZ459" i="5"/>
  <c r="AZ331" i="5"/>
  <c r="BA331" i="5"/>
  <c r="AZ554" i="5"/>
  <c r="BA554" i="5"/>
  <c r="BA342" i="5"/>
  <c r="AZ342" i="5"/>
  <c r="BA527" i="5"/>
  <c r="AZ527" i="5"/>
  <c r="BA391" i="5"/>
  <c r="AZ391" i="5"/>
  <c r="AZ307" i="5"/>
  <c r="BA307" i="5"/>
  <c r="BA455" i="5"/>
  <c r="AZ455" i="5"/>
  <c r="BA381" i="5"/>
  <c r="AZ381" i="5"/>
  <c r="BA271" i="5"/>
  <c r="AZ271" i="5"/>
  <c r="BA540" i="5"/>
  <c r="AZ540" i="5"/>
  <c r="AZ443" i="5"/>
  <c r="BA443" i="5"/>
  <c r="AZ396" i="5"/>
  <c r="BA396" i="5"/>
  <c r="BA227" i="5"/>
  <c r="AZ227" i="5"/>
  <c r="BA156" i="5"/>
  <c r="AZ156" i="5"/>
  <c r="BA61" i="5"/>
  <c r="AZ61" i="5"/>
  <c r="AZ35" i="5"/>
  <c r="BA35" i="5"/>
  <c r="BA247" i="5"/>
  <c r="AZ247" i="5"/>
  <c r="BA209" i="5"/>
  <c r="AZ209" i="5"/>
  <c r="AZ235" i="5"/>
  <c r="BA235" i="5"/>
  <c r="BA138" i="5"/>
  <c r="AZ138" i="5"/>
  <c r="AZ263" i="5"/>
  <c r="BA263" i="5"/>
  <c r="BA92" i="5"/>
  <c r="AZ92" i="5"/>
  <c r="BA141" i="5"/>
  <c r="AZ141" i="5"/>
  <c r="BA234" i="5"/>
  <c r="AZ234" i="5"/>
  <c r="BA128" i="5"/>
  <c r="AZ128" i="5"/>
  <c r="BA242" i="5"/>
  <c r="AZ242" i="5"/>
  <c r="AZ211" i="5"/>
  <c r="BA211" i="5"/>
  <c r="BA110" i="5"/>
  <c r="AZ110" i="5"/>
  <c r="BA340" i="5"/>
  <c r="AZ340" i="5"/>
  <c r="AZ145" i="5"/>
  <c r="BA145" i="5"/>
  <c r="BA324" i="5"/>
  <c r="AZ324" i="5"/>
  <c r="BA55" i="5"/>
  <c r="AZ55" i="5"/>
  <c r="BA149" i="5"/>
  <c r="AZ149" i="5"/>
  <c r="AZ22" i="5"/>
  <c r="BA22" i="5"/>
  <c r="AZ95" i="5"/>
  <c r="BA95" i="5"/>
  <c r="AZ50" i="5"/>
  <c r="BA50" i="5"/>
  <c r="AZ286" i="5"/>
  <c r="BA286" i="5"/>
  <c r="BA70" i="5"/>
  <c r="AZ70" i="5"/>
  <c r="AZ117" i="5"/>
  <c r="BA117" i="5"/>
  <c r="BA118" i="5"/>
  <c r="AZ118" i="5"/>
  <c r="BA157" i="5"/>
  <c r="AZ157" i="5"/>
  <c r="BA139" i="5"/>
  <c r="AZ139" i="5"/>
  <c r="BA237" i="5"/>
  <c r="AZ237" i="5"/>
  <c r="BA382" i="5"/>
  <c r="AZ382" i="5"/>
  <c r="AZ549" i="5"/>
  <c r="BA549" i="5"/>
  <c r="AZ278" i="5"/>
  <c r="BA278" i="5"/>
  <c r="BA387" i="5"/>
  <c r="AZ387" i="5"/>
  <c r="AZ486" i="5"/>
  <c r="BA486" i="5"/>
  <c r="BA184" i="5"/>
  <c r="AZ184" i="5"/>
  <c r="BA316" i="5"/>
  <c r="AZ316" i="5"/>
  <c r="AZ536" i="5"/>
  <c r="BA536" i="5"/>
  <c r="AZ268" i="5"/>
  <c r="BA268" i="5"/>
  <c r="BA376" i="5"/>
  <c r="AZ376" i="5"/>
  <c r="AZ515" i="5"/>
  <c r="BA515" i="5"/>
  <c r="AZ311" i="5"/>
  <c r="BA311" i="5"/>
  <c r="BA422" i="5"/>
  <c r="AZ422" i="5"/>
  <c r="AZ529" i="5"/>
  <c r="BA529" i="5"/>
  <c r="AZ365" i="5"/>
  <c r="BA365" i="5"/>
  <c r="BA532" i="5"/>
  <c r="AZ532" i="5"/>
  <c r="BA246" i="5"/>
  <c r="AZ246" i="5"/>
  <c r="AZ358" i="5"/>
  <c r="BA358" i="5"/>
  <c r="AZ477" i="5"/>
  <c r="BA477" i="5"/>
  <c r="BA429" i="5"/>
  <c r="AZ429" i="5"/>
  <c r="BA232" i="5"/>
  <c r="AZ232" i="5"/>
  <c r="BA413" i="5"/>
  <c r="AZ413" i="5"/>
  <c r="BA318" i="5"/>
  <c r="AZ318" i="5"/>
  <c r="AZ530" i="5"/>
  <c r="BA530" i="5"/>
  <c r="BA465" i="5"/>
  <c r="AZ465" i="5"/>
  <c r="BA326" i="5"/>
  <c r="AZ326" i="5"/>
  <c r="BA518" i="5"/>
  <c r="AZ518" i="5"/>
  <c r="AZ354" i="5"/>
  <c r="BA354" i="5"/>
  <c r="BA531" i="5"/>
  <c r="AZ531" i="5"/>
  <c r="BA369" i="5"/>
  <c r="AZ369" i="5"/>
  <c r="BA539" i="5"/>
  <c r="AZ539" i="5"/>
  <c r="BA464" i="5"/>
  <c r="AZ464" i="5"/>
  <c r="BA371" i="5"/>
  <c r="AZ371" i="5"/>
  <c r="BA169" i="5"/>
  <c r="AZ169" i="5"/>
  <c r="BA537" i="5"/>
  <c r="AZ537" i="5"/>
  <c r="BA439" i="5"/>
  <c r="AZ439" i="5"/>
  <c r="BA362" i="5"/>
  <c r="AZ362" i="5"/>
  <c r="BA231" i="5"/>
  <c r="AZ231" i="5"/>
  <c r="BA143" i="5"/>
  <c r="AZ143" i="5"/>
  <c r="BA45" i="5"/>
  <c r="AZ45" i="5"/>
  <c r="BA122" i="5"/>
  <c r="AZ122" i="5"/>
  <c r="BA190" i="5"/>
  <c r="AZ190" i="5"/>
  <c r="AZ214" i="5"/>
  <c r="BA214" i="5"/>
  <c r="AZ215" i="5"/>
  <c r="BA215" i="5"/>
  <c r="AZ121" i="5"/>
  <c r="BA121" i="5"/>
  <c r="AZ256" i="5"/>
  <c r="BA256" i="5"/>
  <c r="BA74" i="5"/>
  <c r="AZ74" i="5"/>
  <c r="BA290" i="5"/>
  <c r="AZ290" i="5"/>
  <c r="AZ191" i="5"/>
  <c r="BA191" i="5"/>
  <c r="BA126" i="5"/>
  <c r="AZ126" i="5"/>
  <c r="BA460" i="5"/>
  <c r="AZ460" i="5"/>
  <c r="AZ220" i="5"/>
  <c r="BA220" i="5"/>
  <c r="BA97" i="5"/>
  <c r="AZ97" i="5"/>
  <c r="AZ323" i="5"/>
  <c r="BA323" i="5"/>
  <c r="AZ150" i="5"/>
  <c r="BA150" i="5"/>
  <c r="AZ346" i="5"/>
  <c r="BA346" i="5"/>
  <c r="BA63" i="5"/>
  <c r="AZ63" i="5"/>
  <c r="BA163" i="5"/>
  <c r="AZ163" i="5"/>
  <c r="AZ26" i="5"/>
  <c r="BA26" i="5"/>
  <c r="AZ142" i="5"/>
  <c r="BA142" i="5"/>
  <c r="AZ58" i="5"/>
  <c r="BA58" i="5"/>
  <c r="AZ315" i="5"/>
  <c r="BA315" i="5"/>
  <c r="BA98" i="5"/>
  <c r="AZ98" i="5"/>
  <c r="AZ20" i="5"/>
  <c r="BA20" i="5"/>
  <c r="BA135" i="5"/>
  <c r="AZ135" i="5"/>
  <c r="BA31" i="5"/>
  <c r="AZ31" i="5"/>
  <c r="BA28" i="5"/>
  <c r="AZ28" i="5"/>
  <c r="BA317" i="5"/>
  <c r="AZ317" i="5"/>
  <c r="BA405" i="5"/>
  <c r="AZ405" i="5"/>
  <c r="BA189" i="5"/>
  <c r="AZ189" i="5"/>
  <c r="BA302" i="5"/>
  <c r="AZ302" i="5"/>
  <c r="BA398" i="5"/>
  <c r="AZ398" i="5"/>
  <c r="BA503" i="5"/>
  <c r="AZ503" i="5"/>
  <c r="BA205" i="5"/>
  <c r="AZ205" i="5"/>
  <c r="BA349" i="5"/>
  <c r="AZ349" i="5"/>
  <c r="BA542" i="5"/>
  <c r="AZ542" i="5"/>
  <c r="AZ270" i="5"/>
  <c r="BA270" i="5"/>
  <c r="BA417" i="5"/>
  <c r="AZ417" i="5"/>
  <c r="BA550" i="5"/>
  <c r="AZ550" i="5"/>
  <c r="AZ329" i="5"/>
  <c r="BA329" i="5"/>
  <c r="BA433" i="5"/>
  <c r="AZ433" i="5"/>
  <c r="BA288" i="5"/>
  <c r="AZ288" i="5"/>
  <c r="AZ441" i="5"/>
  <c r="BA441" i="5"/>
  <c r="BA535" i="5"/>
  <c r="AZ535" i="5"/>
  <c r="BA261" i="5"/>
  <c r="AZ261" i="5"/>
  <c r="BA425" i="5"/>
  <c r="AZ425" i="5"/>
  <c r="AZ8" i="5"/>
  <c r="BA8" i="5"/>
  <c r="BA7" i="5"/>
  <c r="AZ7" i="5"/>
  <c r="N13" i="5"/>
  <c r="AV8" i="5"/>
  <c r="AV7" i="5"/>
  <c r="AV12" i="5"/>
  <c r="B189" i="3"/>
  <c r="C190" i="3" s="1"/>
  <c r="B190" i="3" s="1"/>
  <c r="I74" i="2" s="1"/>
  <c r="C192" i="3"/>
  <c r="C191" i="3" s="1"/>
  <c r="AS13" i="5" l="1"/>
  <c r="AY13" i="5"/>
  <c r="AT486" i="5"/>
  <c r="AU486" i="5"/>
  <c r="AU244" i="5"/>
  <c r="AT244" i="5"/>
  <c r="AU29" i="5"/>
  <c r="AT29" i="5"/>
  <c r="AU340" i="5"/>
  <c r="AT340" i="5"/>
  <c r="AU85" i="5"/>
  <c r="AT85" i="5"/>
  <c r="AU54" i="5"/>
  <c r="AT54" i="5"/>
  <c r="AU413" i="5"/>
  <c r="AT413" i="5"/>
  <c r="AT513" i="5"/>
  <c r="AU513" i="5"/>
  <c r="AU259" i="5"/>
  <c r="AT259" i="5"/>
  <c r="AU535" i="5"/>
  <c r="AT535" i="5"/>
  <c r="AU508" i="5"/>
  <c r="AT508" i="5"/>
  <c r="AU393" i="5"/>
  <c r="AT393" i="5"/>
  <c r="AT236" i="5"/>
  <c r="AU236" i="5"/>
  <c r="AT53" i="5"/>
  <c r="AU53" i="5"/>
  <c r="AU521" i="5"/>
  <c r="AT521" i="5"/>
  <c r="AT382" i="5"/>
  <c r="AU382" i="5"/>
  <c r="AU234" i="5"/>
  <c r="AT234" i="5"/>
  <c r="AT121" i="5"/>
  <c r="AU121" i="5"/>
  <c r="AT98" i="5"/>
  <c r="AU98" i="5"/>
  <c r="AU519" i="5"/>
  <c r="AT519" i="5"/>
  <c r="AU417" i="5"/>
  <c r="AT417" i="5"/>
  <c r="AU260" i="5"/>
  <c r="AT260" i="5"/>
  <c r="AU164" i="5"/>
  <c r="AT164" i="5"/>
  <c r="AT432" i="5"/>
  <c r="AU432" i="5"/>
  <c r="AT470" i="5"/>
  <c r="AU470" i="5"/>
  <c r="AU306" i="5"/>
  <c r="AT306" i="5"/>
  <c r="AU215" i="5"/>
  <c r="AT215" i="5"/>
  <c r="AT43" i="5"/>
  <c r="AU43" i="5"/>
  <c r="AU533" i="5"/>
  <c r="AT533" i="5"/>
  <c r="AU289" i="5"/>
  <c r="AT289" i="5"/>
  <c r="AU187" i="5"/>
  <c r="AT187" i="5"/>
  <c r="AU520" i="5"/>
  <c r="AT520" i="5"/>
  <c r="AT437" i="5"/>
  <c r="AU437" i="5"/>
  <c r="AU311" i="5"/>
  <c r="AT311" i="5"/>
  <c r="AT123" i="5"/>
  <c r="AU123" i="5"/>
  <c r="AU35" i="5"/>
  <c r="AT35" i="5"/>
  <c r="AT542" i="5"/>
  <c r="AU542" i="5"/>
  <c r="AT379" i="5"/>
  <c r="AU379" i="5"/>
  <c r="AU190" i="5"/>
  <c r="AT190" i="5"/>
  <c r="AU91" i="5"/>
  <c r="AT91" i="5"/>
  <c r="AU61" i="5"/>
  <c r="AT61" i="5"/>
  <c r="AU181" i="5"/>
  <c r="AT181" i="5"/>
  <c r="AU197" i="5"/>
  <c r="AT197" i="5"/>
  <c r="AU86" i="5"/>
  <c r="AT86" i="5"/>
  <c r="AU277" i="5"/>
  <c r="AT277" i="5"/>
  <c r="AU524" i="5"/>
  <c r="AT524" i="5"/>
  <c r="AU36" i="5"/>
  <c r="AT36" i="5"/>
  <c r="AU74" i="5"/>
  <c r="AT74" i="5"/>
  <c r="AU168" i="5"/>
  <c r="AT168" i="5"/>
  <c r="AT280" i="5"/>
  <c r="AU280" i="5"/>
  <c r="AU403" i="5"/>
  <c r="AT403" i="5"/>
  <c r="AU489" i="5"/>
  <c r="AT489" i="5"/>
  <c r="AT487" i="5"/>
  <c r="AU487" i="5"/>
  <c r="AT46" i="5"/>
  <c r="AU46" i="5"/>
  <c r="AU239" i="5"/>
  <c r="AT239" i="5"/>
  <c r="AT376" i="5"/>
  <c r="AU376" i="5"/>
  <c r="AU498" i="5"/>
  <c r="AT498" i="5"/>
  <c r="AT89" i="5"/>
  <c r="AU89" i="5"/>
  <c r="AU34" i="5"/>
  <c r="AT34" i="5"/>
  <c r="AU135" i="5"/>
  <c r="AT135" i="5"/>
  <c r="AT227" i="5"/>
  <c r="AU227" i="5"/>
  <c r="AU329" i="5"/>
  <c r="AT329" i="5"/>
  <c r="AU443" i="5"/>
  <c r="AT443" i="5"/>
  <c r="AT538" i="5"/>
  <c r="AU538" i="5"/>
  <c r="AU49" i="5"/>
  <c r="AT49" i="5"/>
  <c r="AU26" i="5"/>
  <c r="AT26" i="5"/>
  <c r="AU169" i="5"/>
  <c r="AT169" i="5"/>
  <c r="AU325" i="5"/>
  <c r="AT325" i="5"/>
  <c r="AU449" i="5"/>
  <c r="AT449" i="5"/>
  <c r="AU271" i="5"/>
  <c r="AT271" i="5"/>
  <c r="AU483" i="5"/>
  <c r="AT483" i="5"/>
  <c r="AU81" i="5"/>
  <c r="AT81" i="5"/>
  <c r="AU220" i="5"/>
  <c r="AT220" i="5"/>
  <c r="AU430" i="5"/>
  <c r="AT430" i="5"/>
  <c r="AU407" i="5"/>
  <c r="AT407" i="5"/>
  <c r="AU545" i="5"/>
  <c r="AT545" i="5"/>
  <c r="AU82" i="5"/>
  <c r="AT82" i="5"/>
  <c r="AU67" i="5"/>
  <c r="AT67" i="5"/>
  <c r="AT151" i="5"/>
  <c r="AU151" i="5"/>
  <c r="AU160" i="5"/>
  <c r="AT160" i="5"/>
  <c r="AU436" i="5"/>
  <c r="AT436" i="5"/>
  <c r="AU504" i="5"/>
  <c r="AT504" i="5"/>
  <c r="AU222" i="5"/>
  <c r="AT222" i="5"/>
  <c r="AU534" i="5"/>
  <c r="AT534" i="5"/>
  <c r="AU161" i="5"/>
  <c r="AT161" i="5"/>
  <c r="AT400" i="5"/>
  <c r="AU400" i="5"/>
  <c r="AU424" i="5"/>
  <c r="AT424" i="5"/>
  <c r="AT511" i="5"/>
  <c r="AU511" i="5"/>
  <c r="AU47" i="5"/>
  <c r="AT47" i="5"/>
  <c r="AT299" i="5"/>
  <c r="AU299" i="5"/>
  <c r="AT495" i="5"/>
  <c r="AU495" i="5"/>
  <c r="AU332" i="5"/>
  <c r="AT332" i="5"/>
  <c r="AU216" i="5"/>
  <c r="AT216" i="5"/>
  <c r="AU166" i="5"/>
  <c r="AT166" i="5"/>
  <c r="AU482" i="5"/>
  <c r="AT482" i="5"/>
  <c r="AT369" i="5"/>
  <c r="AU369" i="5"/>
  <c r="AU203" i="5"/>
  <c r="AT203" i="5"/>
  <c r="AU78" i="5"/>
  <c r="AT78" i="5"/>
  <c r="AU84" i="5"/>
  <c r="AT84" i="5"/>
  <c r="AU514" i="5"/>
  <c r="AT514" i="5"/>
  <c r="AT452" i="5"/>
  <c r="AU452" i="5"/>
  <c r="AT252" i="5"/>
  <c r="AU252" i="5"/>
  <c r="AT146" i="5"/>
  <c r="AU146" i="5"/>
  <c r="AT45" i="5"/>
  <c r="AU45" i="5"/>
  <c r="AU461" i="5"/>
  <c r="AT461" i="5"/>
  <c r="AU324" i="5"/>
  <c r="AT324" i="5"/>
  <c r="AU163" i="5"/>
  <c r="AT163" i="5"/>
  <c r="AT378" i="5"/>
  <c r="AU378" i="5"/>
  <c r="AU492" i="5"/>
  <c r="AT492" i="5"/>
  <c r="AU281" i="5"/>
  <c r="AT281" i="5"/>
  <c r="AU145" i="5"/>
  <c r="AT145" i="5"/>
  <c r="AT371" i="5"/>
  <c r="AU371" i="5"/>
  <c r="AU435" i="5"/>
  <c r="AT435" i="5"/>
  <c r="AU326" i="5"/>
  <c r="AT326" i="5"/>
  <c r="AU133" i="5"/>
  <c r="AT133" i="5"/>
  <c r="AT196" i="5"/>
  <c r="AU196" i="5"/>
  <c r="AT527" i="5"/>
  <c r="AU527" i="5"/>
  <c r="AU363" i="5"/>
  <c r="AT363" i="5"/>
  <c r="AT186" i="5"/>
  <c r="AU186" i="5"/>
  <c r="AU109" i="5"/>
  <c r="AT109" i="5"/>
  <c r="AU40" i="5"/>
  <c r="AT40" i="5"/>
  <c r="AT279" i="5"/>
  <c r="AU279" i="5"/>
  <c r="AU345" i="5"/>
  <c r="AT345" i="5"/>
  <c r="AT148" i="5"/>
  <c r="AU148" i="5"/>
  <c r="AT323" i="5"/>
  <c r="AU323" i="5"/>
  <c r="AU537" i="5"/>
  <c r="AT537" i="5"/>
  <c r="AU112" i="5"/>
  <c r="AT112" i="5"/>
  <c r="AT83" i="5"/>
  <c r="AU83" i="5"/>
  <c r="AT177" i="5"/>
  <c r="AU177" i="5"/>
  <c r="AU294" i="5"/>
  <c r="AT294" i="5"/>
  <c r="AT406" i="5"/>
  <c r="AU406" i="5"/>
  <c r="AU506" i="5"/>
  <c r="AT506" i="5"/>
  <c r="AT536" i="5"/>
  <c r="AU536" i="5"/>
  <c r="AU79" i="5"/>
  <c r="AT79" i="5"/>
  <c r="AU251" i="5"/>
  <c r="AT251" i="5"/>
  <c r="AU381" i="5"/>
  <c r="AT381" i="5"/>
  <c r="AT502" i="5"/>
  <c r="AU502" i="5"/>
  <c r="AU117" i="5"/>
  <c r="AT117" i="5"/>
  <c r="AU38" i="5"/>
  <c r="AT38" i="5"/>
  <c r="AU157" i="5"/>
  <c r="AT157" i="5"/>
  <c r="AU230" i="5"/>
  <c r="AT230" i="5"/>
  <c r="AU347" i="5"/>
  <c r="AT347" i="5"/>
  <c r="AU465" i="5"/>
  <c r="AT465" i="5"/>
  <c r="AU167" i="5"/>
  <c r="AT167" i="5"/>
  <c r="AU71" i="5"/>
  <c r="AT71" i="5"/>
  <c r="AT30" i="5"/>
  <c r="AU30" i="5"/>
  <c r="AT214" i="5"/>
  <c r="AU214" i="5"/>
  <c r="AU333" i="5"/>
  <c r="AT333" i="5"/>
  <c r="AU499" i="5"/>
  <c r="AT499" i="5"/>
  <c r="AU296" i="5"/>
  <c r="AT296" i="5"/>
  <c r="AT510" i="5"/>
  <c r="AU510" i="5"/>
  <c r="AT111" i="5"/>
  <c r="AU111" i="5"/>
  <c r="AU228" i="5"/>
  <c r="AT228" i="5"/>
  <c r="AT457" i="5"/>
  <c r="AU457" i="5"/>
  <c r="AT505" i="5"/>
  <c r="AU505" i="5"/>
  <c r="AT104" i="5"/>
  <c r="AU104" i="5"/>
  <c r="AU476" i="5"/>
  <c r="AT476" i="5"/>
  <c r="AU211" i="5"/>
  <c r="AT211" i="5"/>
  <c r="AU248" i="5"/>
  <c r="AT248" i="5"/>
  <c r="AU62" i="5"/>
  <c r="AT62" i="5"/>
  <c r="AU372" i="5"/>
  <c r="AT372" i="5"/>
  <c r="AU350" i="5"/>
  <c r="AT350" i="5"/>
  <c r="AU558" i="5"/>
  <c r="AT558" i="5"/>
  <c r="AU314" i="5"/>
  <c r="AT314" i="5"/>
  <c r="AU32" i="5"/>
  <c r="AT32" i="5"/>
  <c r="AU70" i="5"/>
  <c r="AT70" i="5"/>
  <c r="AT339" i="5"/>
  <c r="AU339" i="5"/>
  <c r="AU283" i="5"/>
  <c r="AT283" i="5"/>
  <c r="AT179" i="5"/>
  <c r="AU179" i="5"/>
  <c r="AU240" i="5"/>
  <c r="AT240" i="5"/>
  <c r="AU456" i="5"/>
  <c r="AT456" i="5"/>
  <c r="AT334" i="5"/>
  <c r="AU334" i="5"/>
  <c r="AU223" i="5"/>
  <c r="AT223" i="5"/>
  <c r="AU93" i="5"/>
  <c r="AT93" i="5"/>
  <c r="AU488" i="5"/>
  <c r="AT488" i="5"/>
  <c r="AU396" i="5"/>
  <c r="AT396" i="5"/>
  <c r="AU172" i="5"/>
  <c r="AT172" i="5"/>
  <c r="AU39" i="5"/>
  <c r="AT39" i="5"/>
  <c r="AU92" i="5"/>
  <c r="AT92" i="5"/>
  <c r="AU496" i="5"/>
  <c r="AT496" i="5"/>
  <c r="AU402" i="5"/>
  <c r="AT402" i="5"/>
  <c r="AT237" i="5"/>
  <c r="AU237" i="5"/>
  <c r="AU75" i="5"/>
  <c r="AT75" i="5"/>
  <c r="AU107" i="5"/>
  <c r="AT107" i="5"/>
  <c r="AU444" i="5"/>
  <c r="AT444" i="5"/>
  <c r="AU293" i="5"/>
  <c r="AT293" i="5"/>
  <c r="AU139" i="5"/>
  <c r="AT139" i="5"/>
  <c r="AT440" i="5"/>
  <c r="AU440" i="5"/>
  <c r="AT490" i="5"/>
  <c r="AU490" i="5"/>
  <c r="AT253" i="5"/>
  <c r="AU253" i="5"/>
  <c r="AU114" i="5"/>
  <c r="AT114" i="5"/>
  <c r="AT27" i="5"/>
  <c r="AU27" i="5"/>
  <c r="AU423" i="5"/>
  <c r="AT423" i="5"/>
  <c r="AU301" i="5"/>
  <c r="AT301" i="5"/>
  <c r="AU126" i="5"/>
  <c r="AT126" i="5"/>
  <c r="AU275" i="5"/>
  <c r="AT275" i="5"/>
  <c r="AU531" i="5"/>
  <c r="AT531" i="5"/>
  <c r="AU319" i="5"/>
  <c r="AT319" i="5"/>
  <c r="AU174" i="5"/>
  <c r="AT174" i="5"/>
  <c r="AU147" i="5"/>
  <c r="AT147" i="5"/>
  <c r="AU120" i="5"/>
  <c r="AT120" i="5"/>
  <c r="AU330" i="5"/>
  <c r="AT330" i="5"/>
  <c r="AU394" i="5"/>
  <c r="AT394" i="5"/>
  <c r="AU207" i="5"/>
  <c r="AT207" i="5"/>
  <c r="AU327" i="5"/>
  <c r="AT327" i="5"/>
  <c r="AU546" i="5"/>
  <c r="AT546" i="5"/>
  <c r="AU366" i="5"/>
  <c r="AT366" i="5"/>
  <c r="AT96" i="5"/>
  <c r="AU96" i="5"/>
  <c r="AU213" i="5"/>
  <c r="AT213" i="5"/>
  <c r="AT303" i="5"/>
  <c r="AU303" i="5"/>
  <c r="AU421" i="5"/>
  <c r="AT421" i="5"/>
  <c r="AU528" i="5"/>
  <c r="AT528" i="5"/>
  <c r="AU108" i="5"/>
  <c r="AT108" i="5"/>
  <c r="AU87" i="5"/>
  <c r="AT87" i="5"/>
  <c r="AU262" i="5"/>
  <c r="AT262" i="5"/>
  <c r="AU399" i="5"/>
  <c r="AT399" i="5"/>
  <c r="AT517" i="5"/>
  <c r="AU517" i="5"/>
  <c r="AU143" i="5"/>
  <c r="AT143" i="5"/>
  <c r="AU64" i="5"/>
  <c r="AT64" i="5"/>
  <c r="AU165" i="5"/>
  <c r="AT165" i="5"/>
  <c r="AU247" i="5"/>
  <c r="AT247" i="5"/>
  <c r="AT368" i="5"/>
  <c r="AU368" i="5"/>
  <c r="AT481" i="5"/>
  <c r="AU481" i="5"/>
  <c r="AU264" i="5"/>
  <c r="AT264" i="5"/>
  <c r="AU250" i="5"/>
  <c r="AT250" i="5"/>
  <c r="AU56" i="5"/>
  <c r="AT56" i="5"/>
  <c r="AU235" i="5"/>
  <c r="AT235" i="5"/>
  <c r="AU338" i="5"/>
  <c r="AT338" i="5"/>
  <c r="AU503" i="5"/>
  <c r="AT503" i="5"/>
  <c r="AU384" i="5"/>
  <c r="AT384" i="5"/>
  <c r="AU532" i="5"/>
  <c r="AT532" i="5"/>
  <c r="AU116" i="5"/>
  <c r="AT116" i="5"/>
  <c r="AT245" i="5"/>
  <c r="AU245" i="5"/>
  <c r="AT491" i="5"/>
  <c r="AU491" i="5"/>
  <c r="AU501" i="5"/>
  <c r="AT501" i="5"/>
  <c r="AU447" i="5"/>
  <c r="AT447" i="5"/>
  <c r="AU156" i="5"/>
  <c r="AT156" i="5"/>
  <c r="AT131" i="5"/>
  <c r="AU131" i="5"/>
  <c r="AU386" i="5"/>
  <c r="AT386" i="5"/>
  <c r="AU266" i="5"/>
  <c r="AT266" i="5"/>
  <c r="AU210" i="5"/>
  <c r="AT210" i="5"/>
  <c r="AU335" i="5"/>
  <c r="AT335" i="5"/>
  <c r="AU59" i="5"/>
  <c r="AT59" i="5"/>
  <c r="AU124" i="5"/>
  <c r="AT124" i="5"/>
  <c r="AU138" i="5"/>
  <c r="AT138" i="5"/>
  <c r="AT464" i="5"/>
  <c r="AU464" i="5"/>
  <c r="AU304" i="5"/>
  <c r="AT304" i="5"/>
  <c r="AT199" i="5"/>
  <c r="AU199" i="5"/>
  <c r="AU404" i="5"/>
  <c r="AT404" i="5"/>
  <c r="AU484" i="5"/>
  <c r="AT484" i="5"/>
  <c r="AU320" i="5"/>
  <c r="AT320" i="5"/>
  <c r="AU154" i="5"/>
  <c r="AT154" i="5"/>
  <c r="AU68" i="5"/>
  <c r="AT68" i="5"/>
  <c r="AT37" i="5"/>
  <c r="AU37" i="5"/>
  <c r="AT494" i="5"/>
  <c r="AU494" i="5"/>
  <c r="AT362" i="5"/>
  <c r="AU362" i="5"/>
  <c r="AU242" i="5"/>
  <c r="AT242" i="5"/>
  <c r="AU410" i="5"/>
  <c r="AT410" i="5"/>
  <c r="AU554" i="5"/>
  <c r="AT554" i="5"/>
  <c r="AT420" i="5"/>
  <c r="AU420" i="5"/>
  <c r="AT359" i="5"/>
  <c r="AU359" i="5"/>
  <c r="AU130" i="5"/>
  <c r="AT130" i="5"/>
  <c r="AU155" i="5"/>
  <c r="AT155" i="5"/>
  <c r="AT445" i="5"/>
  <c r="AU445" i="5"/>
  <c r="AT209" i="5"/>
  <c r="AU209" i="5"/>
  <c r="AU344" i="5"/>
  <c r="AT344" i="5"/>
  <c r="AU291" i="5"/>
  <c r="AT291" i="5"/>
  <c r="AT387" i="5"/>
  <c r="AU387" i="5"/>
  <c r="AU308" i="5"/>
  <c r="AT308" i="5"/>
  <c r="AU118" i="5"/>
  <c r="AT118" i="5"/>
  <c r="AU408" i="5"/>
  <c r="AT408" i="5"/>
  <c r="AU507" i="5"/>
  <c r="AT507" i="5"/>
  <c r="AU355" i="5"/>
  <c r="AT355" i="5"/>
  <c r="AT115" i="5"/>
  <c r="AU115" i="5"/>
  <c r="AT241" i="5"/>
  <c r="AU241" i="5"/>
  <c r="AU73" i="5"/>
  <c r="AT73" i="5"/>
  <c r="AT375" i="5"/>
  <c r="AU375" i="5"/>
  <c r="AU24" i="5"/>
  <c r="AT24" i="5"/>
  <c r="AU221" i="5"/>
  <c r="AT221" i="5"/>
  <c r="AT331" i="5"/>
  <c r="AU331" i="5"/>
  <c r="AU206" i="5"/>
  <c r="AT206" i="5"/>
  <c r="AU458" i="5"/>
  <c r="AT458" i="5"/>
  <c r="AU100" i="5"/>
  <c r="AT100" i="5"/>
  <c r="AU218" i="5"/>
  <c r="AT218" i="5"/>
  <c r="AT313" i="5"/>
  <c r="AU313" i="5"/>
  <c r="AU427" i="5"/>
  <c r="AT427" i="5"/>
  <c r="AT550" i="5"/>
  <c r="AU550" i="5"/>
  <c r="AU232" i="5"/>
  <c r="AT232" i="5"/>
  <c r="AU149" i="5"/>
  <c r="AT149" i="5"/>
  <c r="AU269" i="5"/>
  <c r="AT269" i="5"/>
  <c r="AT416" i="5"/>
  <c r="AU416" i="5"/>
  <c r="AU547" i="5"/>
  <c r="AT547" i="5"/>
  <c r="AU162" i="5"/>
  <c r="AT162" i="5"/>
  <c r="AT72" i="5"/>
  <c r="AU72" i="5"/>
  <c r="AT189" i="5"/>
  <c r="AU189" i="5"/>
  <c r="AT274" i="5"/>
  <c r="AU274" i="5"/>
  <c r="AU373" i="5"/>
  <c r="AT373" i="5"/>
  <c r="AT485" i="5"/>
  <c r="AU485" i="5"/>
  <c r="AT292" i="5"/>
  <c r="AU292" i="5"/>
  <c r="AU361" i="5"/>
  <c r="AT361" i="5"/>
  <c r="AU60" i="5"/>
  <c r="AT60" i="5"/>
  <c r="AT267" i="5"/>
  <c r="AU267" i="5"/>
  <c r="AU343" i="5"/>
  <c r="AT343" i="5"/>
  <c r="AT518" i="5"/>
  <c r="AU518" i="5"/>
  <c r="AT95" i="5"/>
  <c r="AU95" i="5"/>
  <c r="AT22" i="5"/>
  <c r="AU22" i="5"/>
  <c r="AU136" i="5"/>
  <c r="AT136" i="5"/>
  <c r="AU258" i="5"/>
  <c r="AT258" i="5"/>
  <c r="AT509" i="5"/>
  <c r="AU509" i="5"/>
  <c r="AU129" i="5"/>
  <c r="AT129" i="5"/>
  <c r="AU310" i="5"/>
  <c r="AT310" i="5"/>
  <c r="AU474" i="5"/>
  <c r="AT474" i="5"/>
  <c r="AU195" i="5"/>
  <c r="AT195" i="5"/>
  <c r="AU380" i="5"/>
  <c r="AT380" i="5"/>
  <c r="AT468" i="5"/>
  <c r="AU468" i="5"/>
  <c r="AU42" i="5"/>
  <c r="AT42" i="5"/>
  <c r="AU191" i="5"/>
  <c r="AT191" i="5"/>
  <c r="AU180" i="5"/>
  <c r="AT180" i="5"/>
  <c r="AT354" i="5"/>
  <c r="AU354" i="5"/>
  <c r="AT415" i="5"/>
  <c r="AU415" i="5"/>
  <c r="AT412" i="5"/>
  <c r="AU412" i="5"/>
  <c r="AU441" i="5"/>
  <c r="AT441" i="5"/>
  <c r="AU328" i="5"/>
  <c r="AT328" i="5"/>
  <c r="AU178" i="5"/>
  <c r="AT178" i="5"/>
  <c r="AU204" i="5"/>
  <c r="AT204" i="5"/>
  <c r="AU451" i="5"/>
  <c r="AT451" i="5"/>
  <c r="AU298" i="5"/>
  <c r="AT298" i="5"/>
  <c r="AU183" i="5"/>
  <c r="AT183" i="5"/>
  <c r="AU99" i="5"/>
  <c r="AT99" i="5"/>
  <c r="AU90" i="5"/>
  <c r="AT90" i="5"/>
  <c r="AT477" i="5"/>
  <c r="AU477" i="5"/>
  <c r="AU315" i="5"/>
  <c r="AT315" i="5"/>
  <c r="AU201" i="5"/>
  <c r="AT201" i="5"/>
  <c r="AU466" i="5"/>
  <c r="AT466" i="5"/>
  <c r="AU530" i="5"/>
  <c r="AT530" i="5"/>
  <c r="AT409" i="5"/>
  <c r="AU409" i="5"/>
  <c r="AU273" i="5"/>
  <c r="AT273" i="5"/>
  <c r="AU122" i="5"/>
  <c r="AT122" i="5"/>
  <c r="AU69" i="5"/>
  <c r="AT69" i="5"/>
  <c r="AT446" i="5"/>
  <c r="AU446" i="5"/>
  <c r="AU208" i="5"/>
  <c r="AT208" i="5"/>
  <c r="AT348" i="5"/>
  <c r="AU348" i="5"/>
  <c r="AU555" i="5"/>
  <c r="AT555" i="5"/>
  <c r="AU388" i="5"/>
  <c r="AT388" i="5"/>
  <c r="AT257" i="5"/>
  <c r="AU257" i="5"/>
  <c r="AT55" i="5"/>
  <c r="AU55" i="5"/>
  <c r="AT463" i="5"/>
  <c r="AU463" i="5"/>
  <c r="AT469" i="5"/>
  <c r="AU469" i="5"/>
  <c r="AT312" i="5"/>
  <c r="AU312" i="5"/>
  <c r="AT141" i="5"/>
  <c r="AU141" i="5"/>
  <c r="AU356" i="5"/>
  <c r="AT356" i="5"/>
  <c r="AT77" i="5"/>
  <c r="AU77" i="5"/>
  <c r="AU454" i="5"/>
  <c r="AT454" i="5"/>
  <c r="AU28" i="5"/>
  <c r="AT28" i="5"/>
  <c r="AT229" i="5"/>
  <c r="AU229" i="5"/>
  <c r="AU341" i="5"/>
  <c r="AT341" i="5"/>
  <c r="AU288" i="5"/>
  <c r="AT288" i="5"/>
  <c r="AU20" i="5"/>
  <c r="AT20" i="5"/>
  <c r="AT103" i="5"/>
  <c r="AU103" i="5"/>
  <c r="AU226" i="5"/>
  <c r="AT226" i="5"/>
  <c r="AU346" i="5"/>
  <c r="AT346" i="5"/>
  <c r="AT442" i="5"/>
  <c r="AU442" i="5"/>
  <c r="AU176" i="5"/>
  <c r="AT176" i="5"/>
  <c r="AT254" i="5"/>
  <c r="AU254" i="5"/>
  <c r="AU152" i="5"/>
  <c r="AT152" i="5"/>
  <c r="AU286" i="5"/>
  <c r="AT286" i="5"/>
  <c r="AU439" i="5"/>
  <c r="AT439" i="5"/>
  <c r="AU556" i="5"/>
  <c r="AT556" i="5"/>
  <c r="AT202" i="5"/>
  <c r="AU202" i="5"/>
  <c r="AT97" i="5"/>
  <c r="AU97" i="5"/>
  <c r="AU194" i="5"/>
  <c r="AT194" i="5"/>
  <c r="AU278" i="5"/>
  <c r="AT278" i="5"/>
  <c r="AU392" i="5"/>
  <c r="AT392" i="5"/>
  <c r="AU522" i="5"/>
  <c r="AT522" i="5"/>
  <c r="AU462" i="5"/>
  <c r="AT462" i="5"/>
  <c r="AU390" i="5"/>
  <c r="AT390" i="5"/>
  <c r="AT88" i="5"/>
  <c r="AU88" i="5"/>
  <c r="AT270" i="5"/>
  <c r="AU270" i="5"/>
  <c r="AU360" i="5"/>
  <c r="AT360" i="5"/>
  <c r="AU548" i="5"/>
  <c r="AT548" i="5"/>
  <c r="AU127" i="5"/>
  <c r="AT127" i="5"/>
  <c r="AU48" i="5"/>
  <c r="AT48" i="5"/>
  <c r="AU150" i="5"/>
  <c r="AT150" i="5"/>
  <c r="AU305" i="5"/>
  <c r="AT305" i="5"/>
  <c r="AT526" i="5"/>
  <c r="AU526" i="5"/>
  <c r="AU374" i="5"/>
  <c r="AT374" i="5"/>
  <c r="AU560" i="5"/>
  <c r="AT560" i="5"/>
  <c r="AU428" i="5"/>
  <c r="AT428" i="5"/>
  <c r="AU212" i="5"/>
  <c r="AT212" i="5"/>
  <c r="AU364" i="5"/>
  <c r="AT364" i="5"/>
  <c r="AU57" i="5"/>
  <c r="AT57" i="5"/>
  <c r="AU549" i="5"/>
  <c r="AT549" i="5"/>
  <c r="AU198" i="5"/>
  <c r="AT198" i="5"/>
  <c r="AT321" i="5"/>
  <c r="AU321" i="5"/>
  <c r="AU171" i="5"/>
  <c r="AT171" i="5"/>
  <c r="AU175" i="5"/>
  <c r="AT175" i="5"/>
  <c r="AU395" i="5"/>
  <c r="AT395" i="5"/>
  <c r="AT336" i="5"/>
  <c r="AU336" i="5"/>
  <c r="AU425" i="5"/>
  <c r="AT425" i="5"/>
  <c r="AU256" i="5"/>
  <c r="AT256" i="5"/>
  <c r="AT113" i="5"/>
  <c r="AU113" i="5"/>
  <c r="AU233" i="5"/>
  <c r="AT233" i="5"/>
  <c r="AU431" i="5"/>
  <c r="AT431" i="5"/>
  <c r="AT287" i="5"/>
  <c r="AU287" i="5"/>
  <c r="AU158" i="5"/>
  <c r="AT158" i="5"/>
  <c r="AU51" i="5"/>
  <c r="AT51" i="5"/>
  <c r="AT200" i="5"/>
  <c r="AU200" i="5"/>
  <c r="AT467" i="5"/>
  <c r="AU467" i="5"/>
  <c r="AU316" i="5"/>
  <c r="AT316" i="5"/>
  <c r="AU225" i="5"/>
  <c r="AT225" i="5"/>
  <c r="AT192" i="5"/>
  <c r="AU192" i="5"/>
  <c r="AT497" i="5"/>
  <c r="AU497" i="5"/>
  <c r="AT385" i="5"/>
  <c r="AU385" i="5"/>
  <c r="AU261" i="5"/>
  <c r="AT261" i="5"/>
  <c r="AU63" i="5"/>
  <c r="AT63" i="5"/>
  <c r="AU276" i="5"/>
  <c r="AT276" i="5"/>
  <c r="AU419" i="5"/>
  <c r="AT419" i="5"/>
  <c r="AU188" i="5"/>
  <c r="AT188" i="5"/>
  <c r="AU453" i="5"/>
  <c r="AT453" i="5"/>
  <c r="AU543" i="5"/>
  <c r="AT543" i="5"/>
  <c r="AU429" i="5"/>
  <c r="AT429" i="5"/>
  <c r="AU249" i="5"/>
  <c r="AT249" i="5"/>
  <c r="AT23" i="5"/>
  <c r="AU23" i="5"/>
  <c r="AT541" i="5"/>
  <c r="AU541" i="5"/>
  <c r="AU433" i="5"/>
  <c r="AT433" i="5"/>
  <c r="AT297" i="5"/>
  <c r="AU297" i="5"/>
  <c r="AU134" i="5"/>
  <c r="AT134" i="5"/>
  <c r="AT553" i="5"/>
  <c r="AU553" i="5"/>
  <c r="AU44" i="5"/>
  <c r="AT44" i="5"/>
  <c r="AU66" i="5"/>
  <c r="AT66" i="5"/>
  <c r="AU41" i="5"/>
  <c r="AT41" i="5"/>
  <c r="AU238" i="5"/>
  <c r="AT238" i="5"/>
  <c r="AU349" i="5"/>
  <c r="AT349" i="5"/>
  <c r="AU322" i="5"/>
  <c r="AT322" i="5"/>
  <c r="AU33" i="5"/>
  <c r="AT33" i="5"/>
  <c r="AU128" i="5"/>
  <c r="AT128" i="5"/>
  <c r="AU243" i="5"/>
  <c r="AT243" i="5"/>
  <c r="AU358" i="5"/>
  <c r="AT358" i="5"/>
  <c r="AT455" i="5"/>
  <c r="AU455" i="5"/>
  <c r="AU302" i="5"/>
  <c r="AT302" i="5"/>
  <c r="AU450" i="5"/>
  <c r="AT450" i="5"/>
  <c r="AU173" i="5"/>
  <c r="AT173" i="5"/>
  <c r="AU290" i="5"/>
  <c r="AT290" i="5"/>
  <c r="AU448" i="5"/>
  <c r="AT448" i="5"/>
  <c r="AT159" i="5"/>
  <c r="AU159" i="5"/>
  <c r="AT357" i="5"/>
  <c r="AU357" i="5"/>
  <c r="AU101" i="5"/>
  <c r="AT101" i="5"/>
  <c r="AU205" i="5"/>
  <c r="AT205" i="5"/>
  <c r="AU300" i="5"/>
  <c r="AT300" i="5"/>
  <c r="AU397" i="5"/>
  <c r="AT397" i="5"/>
  <c r="AT525" i="5"/>
  <c r="AU525" i="5"/>
  <c r="AT500" i="5"/>
  <c r="AU500" i="5"/>
  <c r="AT479" i="5"/>
  <c r="AU479" i="5"/>
  <c r="AU125" i="5"/>
  <c r="AT125" i="5"/>
  <c r="AT282" i="5"/>
  <c r="AU282" i="5"/>
  <c r="AU377" i="5"/>
  <c r="AT377" i="5"/>
  <c r="AU552" i="5"/>
  <c r="AT552" i="5"/>
  <c r="AT317" i="5"/>
  <c r="AU317" i="5"/>
  <c r="AU52" i="5"/>
  <c r="AT52" i="5"/>
  <c r="AU153" i="5"/>
  <c r="AT153" i="5"/>
  <c r="AU352" i="5"/>
  <c r="AT352" i="5"/>
  <c r="AU539" i="5"/>
  <c r="AT539" i="5"/>
  <c r="AT231" i="5"/>
  <c r="AU231" i="5"/>
  <c r="AU472" i="5"/>
  <c r="AT472" i="5"/>
  <c r="AT351" i="5"/>
  <c r="AU351" i="5"/>
  <c r="AT471" i="5"/>
  <c r="AU471" i="5"/>
  <c r="AT106" i="5"/>
  <c r="AU106" i="5"/>
  <c r="AT272" i="5"/>
  <c r="AU272" i="5"/>
  <c r="AU480" i="5"/>
  <c r="AT480" i="5"/>
  <c r="AU493" i="5"/>
  <c r="AT493" i="5"/>
  <c r="AU119" i="5"/>
  <c r="AT119" i="5"/>
  <c r="AU434" i="5"/>
  <c r="AT434" i="5"/>
  <c r="AT540" i="5"/>
  <c r="AU540" i="5"/>
  <c r="AT414" i="5"/>
  <c r="AU414" i="5"/>
  <c r="AT140" i="5"/>
  <c r="AU140" i="5"/>
  <c r="AU105" i="5"/>
  <c r="AT105" i="5"/>
  <c r="AU544" i="5"/>
  <c r="AT544" i="5"/>
  <c r="AU551" i="5"/>
  <c r="AT551" i="5"/>
  <c r="AT401" i="5"/>
  <c r="AU401" i="5"/>
  <c r="AU263" i="5"/>
  <c r="AT263" i="5"/>
  <c r="AT137" i="5"/>
  <c r="AU137" i="5"/>
  <c r="AU391" i="5"/>
  <c r="AT391" i="5"/>
  <c r="AT426" i="5"/>
  <c r="AU426" i="5"/>
  <c r="AT265" i="5"/>
  <c r="AU265" i="5"/>
  <c r="AU170" i="5"/>
  <c r="AT170" i="5"/>
  <c r="AU473" i="5"/>
  <c r="AT473" i="5"/>
  <c r="AT559" i="5"/>
  <c r="AU559" i="5"/>
  <c r="AT460" i="5"/>
  <c r="AU460" i="5"/>
  <c r="AU318" i="5"/>
  <c r="AT318" i="5"/>
  <c r="AU193" i="5"/>
  <c r="AT193" i="5"/>
  <c r="AU76" i="5"/>
  <c r="AT76" i="5"/>
  <c r="AT478" i="5"/>
  <c r="AU478" i="5"/>
  <c r="AT383" i="5"/>
  <c r="AU383" i="5"/>
  <c r="AU224" i="5"/>
  <c r="AT224" i="5"/>
  <c r="AT31" i="5"/>
  <c r="AU31" i="5"/>
  <c r="AU284" i="5"/>
  <c r="AT284" i="5"/>
  <c r="AT307" i="5"/>
  <c r="AU307" i="5"/>
  <c r="AU182" i="5"/>
  <c r="AT182" i="5"/>
  <c r="AT21" i="5"/>
  <c r="AU21" i="5"/>
  <c r="AU516" i="5"/>
  <c r="AT516" i="5"/>
  <c r="AU342" i="5"/>
  <c r="AT342" i="5"/>
  <c r="AU217" i="5"/>
  <c r="AT217" i="5"/>
  <c r="AU94" i="5"/>
  <c r="AT94" i="5"/>
  <c r="AU438" i="5"/>
  <c r="AT438" i="5"/>
  <c r="AU418" i="5"/>
  <c r="AT418" i="5"/>
  <c r="AU285" i="5"/>
  <c r="AT285" i="5"/>
  <c r="AU80" i="5"/>
  <c r="AT80" i="5"/>
  <c r="AU512" i="5"/>
  <c r="AT512" i="5"/>
  <c r="AU132" i="5"/>
  <c r="AT132" i="5"/>
  <c r="AU102" i="5"/>
  <c r="AT102" i="5"/>
  <c r="AU58" i="5"/>
  <c r="AT58" i="5"/>
  <c r="AU246" i="5"/>
  <c r="AT246" i="5"/>
  <c r="AU411" i="5"/>
  <c r="AT411" i="5"/>
  <c r="AT405" i="5"/>
  <c r="AU405" i="5"/>
  <c r="AU50" i="5"/>
  <c r="AT50" i="5"/>
  <c r="AU144" i="5"/>
  <c r="AT144" i="5"/>
  <c r="AT255" i="5"/>
  <c r="AU255" i="5"/>
  <c r="AU367" i="5"/>
  <c r="AT367" i="5"/>
  <c r="AU475" i="5"/>
  <c r="AT475" i="5"/>
  <c r="AU370" i="5"/>
  <c r="AT370" i="5"/>
  <c r="AU25" i="5"/>
  <c r="AT25" i="5"/>
  <c r="AU184" i="5"/>
  <c r="AT184" i="5"/>
  <c r="AT337" i="5"/>
  <c r="AU337" i="5"/>
  <c r="AU459" i="5"/>
  <c r="AT459" i="5"/>
  <c r="AT268" i="5"/>
  <c r="AU268" i="5"/>
  <c r="AU398" i="5"/>
  <c r="AT398" i="5"/>
  <c r="AT110" i="5"/>
  <c r="AU110" i="5"/>
  <c r="AU219" i="5"/>
  <c r="AT219" i="5"/>
  <c r="AU309" i="5"/>
  <c r="AT309" i="5"/>
  <c r="AU422" i="5"/>
  <c r="AT422" i="5"/>
  <c r="AU529" i="5"/>
  <c r="AT529" i="5"/>
  <c r="AT523" i="5"/>
  <c r="AU523" i="5"/>
  <c r="AU515" i="5"/>
  <c r="AT515" i="5"/>
  <c r="AU142" i="5"/>
  <c r="AT142" i="5"/>
  <c r="AT295" i="5"/>
  <c r="AU295" i="5"/>
  <c r="AT389" i="5"/>
  <c r="AU389" i="5"/>
  <c r="AU19" i="5"/>
  <c r="AT19" i="5"/>
  <c r="AU353" i="5"/>
  <c r="AT353" i="5"/>
  <c r="AU65" i="5"/>
  <c r="AT65" i="5"/>
  <c r="AU185" i="5"/>
  <c r="AT185" i="5"/>
  <c r="AU365" i="5"/>
  <c r="AT365" i="5"/>
  <c r="AU557" i="5"/>
  <c r="AT557" i="5"/>
  <c r="AX411" i="5"/>
  <c r="AW411" i="5"/>
  <c r="AW393" i="5"/>
  <c r="AX393" i="5"/>
  <c r="AW72" i="5"/>
  <c r="AX72" i="5"/>
  <c r="AX141" i="5"/>
  <c r="AW141" i="5"/>
  <c r="AW426" i="5"/>
  <c r="AX426" i="5"/>
  <c r="AW174" i="5"/>
  <c r="AX174" i="5"/>
  <c r="AW168" i="5"/>
  <c r="AX168" i="5"/>
  <c r="AX420" i="5"/>
  <c r="AW420" i="5"/>
  <c r="AX299" i="5"/>
  <c r="AW299" i="5"/>
  <c r="AW543" i="5"/>
  <c r="AX543" i="5"/>
  <c r="AX507" i="5"/>
  <c r="AW507" i="5"/>
  <c r="AX339" i="5"/>
  <c r="AW339" i="5"/>
  <c r="AX296" i="5"/>
  <c r="AW296" i="5"/>
  <c r="AW427" i="5"/>
  <c r="AX427" i="5"/>
  <c r="AX331" i="5"/>
  <c r="AW331" i="5"/>
  <c r="AX461" i="5"/>
  <c r="AW461" i="5"/>
  <c r="AX370" i="5"/>
  <c r="AW370" i="5"/>
  <c r="AX30" i="5"/>
  <c r="AW30" i="5"/>
  <c r="AX453" i="5"/>
  <c r="AW453" i="5"/>
  <c r="AW312" i="5"/>
  <c r="AX312" i="5"/>
  <c r="AX558" i="5"/>
  <c r="AW558" i="5"/>
  <c r="AW436" i="5"/>
  <c r="AX436" i="5"/>
  <c r="AX171" i="5"/>
  <c r="AW171" i="5"/>
  <c r="AX378" i="5"/>
  <c r="AW378" i="5"/>
  <c r="AX550" i="5"/>
  <c r="AW550" i="5"/>
  <c r="AW452" i="5"/>
  <c r="AX452" i="5"/>
  <c r="AX37" i="5"/>
  <c r="AW37" i="5"/>
  <c r="AX232" i="5"/>
  <c r="AW232" i="5"/>
  <c r="AW21" i="5"/>
  <c r="AX21" i="5"/>
  <c r="AW260" i="5"/>
  <c r="AX260" i="5"/>
  <c r="AX138" i="5"/>
  <c r="AW138" i="5"/>
  <c r="AX83" i="5"/>
  <c r="AW83" i="5"/>
  <c r="AX264" i="5"/>
  <c r="AW264" i="5"/>
  <c r="AX19" i="5"/>
  <c r="AW19" i="5"/>
  <c r="AX255" i="5"/>
  <c r="AW255" i="5"/>
  <c r="AW147" i="5"/>
  <c r="AX147" i="5"/>
  <c r="AX22" i="5"/>
  <c r="AW22" i="5"/>
  <c r="AW506" i="5"/>
  <c r="AX506" i="5"/>
  <c r="AX129" i="5"/>
  <c r="AW129" i="5"/>
  <c r="AX116" i="5"/>
  <c r="AW116" i="5"/>
  <c r="AX236" i="5"/>
  <c r="AW236" i="5"/>
  <c r="AX140" i="5"/>
  <c r="AW140" i="5"/>
  <c r="AX326" i="5"/>
  <c r="AW326" i="5"/>
  <c r="AX297" i="5"/>
  <c r="AW297" i="5"/>
  <c r="AX77" i="5"/>
  <c r="AW77" i="5"/>
  <c r="AW41" i="5"/>
  <c r="AX41" i="5"/>
  <c r="AW86" i="5"/>
  <c r="AX86" i="5"/>
  <c r="AW25" i="5"/>
  <c r="AX25" i="5"/>
  <c r="AW192" i="5"/>
  <c r="AX192" i="5"/>
  <c r="AX64" i="5"/>
  <c r="AW64" i="5"/>
  <c r="AX405" i="5"/>
  <c r="AW405" i="5"/>
  <c r="AX104" i="5"/>
  <c r="AW104" i="5"/>
  <c r="AX161" i="5"/>
  <c r="AW161" i="5"/>
  <c r="AW87" i="5"/>
  <c r="AX87" i="5"/>
  <c r="AW23" i="5"/>
  <c r="AX23" i="5"/>
  <c r="AW149" i="5"/>
  <c r="AX149" i="5"/>
  <c r="AX26" i="5"/>
  <c r="AW26" i="5"/>
  <c r="AX153" i="5"/>
  <c r="AW153" i="5"/>
  <c r="AX222" i="5"/>
  <c r="AW222" i="5"/>
  <c r="AW366" i="5"/>
  <c r="AX366" i="5"/>
  <c r="AX556" i="5"/>
  <c r="AW556" i="5"/>
  <c r="AW275" i="5"/>
  <c r="AX275" i="5"/>
  <c r="AW407" i="5"/>
  <c r="AX407" i="5"/>
  <c r="AX479" i="5"/>
  <c r="AW479" i="5"/>
  <c r="AX219" i="5"/>
  <c r="AW219" i="5"/>
  <c r="AW336" i="5"/>
  <c r="AX336" i="5"/>
  <c r="AW474" i="5"/>
  <c r="AX474" i="5"/>
  <c r="AX358" i="5"/>
  <c r="AW358" i="5"/>
  <c r="AX484" i="5"/>
  <c r="AW484" i="5"/>
  <c r="AX267" i="5"/>
  <c r="AW267" i="5"/>
  <c r="AX365" i="5"/>
  <c r="AW365" i="5"/>
  <c r="AX206" i="5"/>
  <c r="AW206" i="5"/>
  <c r="AX276" i="5"/>
  <c r="AW276" i="5"/>
  <c r="AW406" i="5"/>
  <c r="AX406" i="5"/>
  <c r="AW227" i="5"/>
  <c r="AX227" i="5"/>
  <c r="AW375" i="5"/>
  <c r="AX375" i="5"/>
  <c r="AX468" i="5"/>
  <c r="AW468" i="5"/>
  <c r="AW467" i="5"/>
  <c r="AX467" i="5"/>
  <c r="AW464" i="5"/>
  <c r="AX464" i="5"/>
  <c r="AW545" i="5"/>
  <c r="AX545" i="5"/>
  <c r="AW122" i="5"/>
  <c r="AX122" i="5"/>
  <c r="AW90" i="5"/>
  <c r="AX90" i="5"/>
  <c r="AW49" i="5"/>
  <c r="AX49" i="5"/>
  <c r="AX423" i="5"/>
  <c r="AW423" i="5"/>
  <c r="AX417" i="5"/>
  <c r="AW417" i="5"/>
  <c r="AX532" i="5"/>
  <c r="AW532" i="5"/>
  <c r="AW251" i="5"/>
  <c r="AX251" i="5"/>
  <c r="AX416" i="5"/>
  <c r="AW416" i="5"/>
  <c r="AW499" i="5"/>
  <c r="AX499" i="5"/>
  <c r="AW332" i="5"/>
  <c r="AX332" i="5"/>
  <c r="AX530" i="5"/>
  <c r="AW530" i="5"/>
  <c r="AX438" i="5"/>
  <c r="AW438" i="5"/>
  <c r="AX288" i="5"/>
  <c r="AW288" i="5"/>
  <c r="AX455" i="5"/>
  <c r="AW455" i="5"/>
  <c r="AX369" i="5"/>
  <c r="AW369" i="5"/>
  <c r="AX552" i="5"/>
  <c r="AW552" i="5"/>
  <c r="AX451" i="5"/>
  <c r="AW451" i="5"/>
  <c r="AW188" i="5"/>
  <c r="AX188" i="5"/>
  <c r="AX554" i="5"/>
  <c r="AW554" i="5"/>
  <c r="AW408" i="5"/>
  <c r="AX408" i="5"/>
  <c r="AX44" i="5"/>
  <c r="AW44" i="5"/>
  <c r="AX386" i="5"/>
  <c r="AW386" i="5"/>
  <c r="AX362" i="5"/>
  <c r="AW362" i="5"/>
  <c r="AX447" i="5"/>
  <c r="AW447" i="5"/>
  <c r="AW28" i="5"/>
  <c r="AX28" i="5"/>
  <c r="AX216" i="5"/>
  <c r="AW216" i="5"/>
  <c r="AW53" i="5"/>
  <c r="AX53" i="5"/>
  <c r="AW253" i="5"/>
  <c r="AX253" i="5"/>
  <c r="AX125" i="5"/>
  <c r="AW125" i="5"/>
  <c r="AX93" i="5"/>
  <c r="AW93" i="5"/>
  <c r="AW269" i="5"/>
  <c r="AX269" i="5"/>
  <c r="AX109" i="5"/>
  <c r="AW109" i="5"/>
  <c r="AW244" i="5"/>
  <c r="AX244" i="5"/>
  <c r="AW146" i="5"/>
  <c r="AX146" i="5"/>
  <c r="AX92" i="5"/>
  <c r="AW92" i="5"/>
  <c r="AX234" i="5"/>
  <c r="AW234" i="5"/>
  <c r="AX133" i="5"/>
  <c r="AW133" i="5"/>
  <c r="AX311" i="5"/>
  <c r="AW311" i="5"/>
  <c r="AX191" i="5"/>
  <c r="AW191" i="5"/>
  <c r="AX29" i="5"/>
  <c r="AW29" i="5"/>
  <c r="AW217" i="5"/>
  <c r="AX217" i="5"/>
  <c r="AX282" i="5"/>
  <c r="AW282" i="5"/>
  <c r="AX492" i="5"/>
  <c r="AW492" i="5"/>
  <c r="AW42" i="5"/>
  <c r="AX42" i="5"/>
  <c r="AX131" i="5"/>
  <c r="AW131" i="5"/>
  <c r="AX39" i="5"/>
  <c r="AW39" i="5"/>
  <c r="AX210" i="5"/>
  <c r="AW210" i="5"/>
  <c r="AX98" i="5"/>
  <c r="AW98" i="5"/>
  <c r="AW551" i="5"/>
  <c r="AX551" i="5"/>
  <c r="AX108" i="5"/>
  <c r="AW108" i="5"/>
  <c r="AX165" i="5"/>
  <c r="AW165" i="5"/>
  <c r="AW160" i="5"/>
  <c r="AX160" i="5"/>
  <c r="AX74" i="5"/>
  <c r="AW74" i="5"/>
  <c r="AW151" i="5"/>
  <c r="AX151" i="5"/>
  <c r="AX47" i="5"/>
  <c r="AW47" i="5"/>
  <c r="AX157" i="5"/>
  <c r="AW157" i="5"/>
  <c r="AW245" i="5"/>
  <c r="AX245" i="5"/>
  <c r="AX368" i="5"/>
  <c r="AW368" i="5"/>
  <c r="AX193" i="5"/>
  <c r="AW193" i="5"/>
  <c r="AX300" i="5"/>
  <c r="AW300" i="5"/>
  <c r="AW412" i="5"/>
  <c r="AX412" i="5"/>
  <c r="AX509" i="5"/>
  <c r="AW509" i="5"/>
  <c r="AX235" i="5"/>
  <c r="AW235" i="5"/>
  <c r="AX353" i="5"/>
  <c r="AW353" i="5"/>
  <c r="AW482" i="5"/>
  <c r="AX482" i="5"/>
  <c r="AW385" i="5"/>
  <c r="AX385" i="5"/>
  <c r="AW498" i="5"/>
  <c r="AX498" i="5"/>
  <c r="AX273" i="5"/>
  <c r="AW273" i="5"/>
  <c r="AX384" i="5"/>
  <c r="AW384" i="5"/>
  <c r="AX214" i="5"/>
  <c r="AW214" i="5"/>
  <c r="AW279" i="5"/>
  <c r="AX279" i="5"/>
  <c r="AW430" i="5"/>
  <c r="AX430" i="5"/>
  <c r="AW229" i="5"/>
  <c r="AX229" i="5"/>
  <c r="AW389" i="5"/>
  <c r="AX389" i="5"/>
  <c r="AX475" i="5"/>
  <c r="AW475" i="5"/>
  <c r="AX503" i="5"/>
  <c r="AW503" i="5"/>
  <c r="AW527" i="5"/>
  <c r="AX527" i="5"/>
  <c r="AX201" i="5"/>
  <c r="AW201" i="5"/>
  <c r="AX51" i="5"/>
  <c r="AW51" i="5"/>
  <c r="AX91" i="5"/>
  <c r="AW91" i="5"/>
  <c r="AX34" i="5"/>
  <c r="AW34" i="5"/>
  <c r="AX325" i="5"/>
  <c r="AW325" i="5"/>
  <c r="AX238" i="5"/>
  <c r="AW238" i="5"/>
  <c r="AW218" i="5"/>
  <c r="AX218" i="5"/>
  <c r="AW496" i="5"/>
  <c r="AX496" i="5"/>
  <c r="AX274" i="5"/>
  <c r="AW274" i="5"/>
  <c r="AX472" i="5"/>
  <c r="AW472" i="5"/>
  <c r="AX200" i="5"/>
  <c r="AW200" i="5"/>
  <c r="AX501" i="5"/>
  <c r="AW501" i="5"/>
  <c r="AW397" i="5"/>
  <c r="AX397" i="5"/>
  <c r="AW352" i="5"/>
  <c r="AX352" i="5"/>
  <c r="AW403" i="5"/>
  <c r="AX403" i="5"/>
  <c r="AX318" i="5"/>
  <c r="AW318" i="5"/>
  <c r="AX199" i="5"/>
  <c r="AW199" i="5"/>
  <c r="AX413" i="5"/>
  <c r="AW413" i="5"/>
  <c r="AX68" i="5"/>
  <c r="AW68" i="5"/>
  <c r="AX488" i="5"/>
  <c r="AW488" i="5"/>
  <c r="AX363" i="5"/>
  <c r="AW363" i="5"/>
  <c r="AW531" i="5"/>
  <c r="AX531" i="5"/>
  <c r="AW360" i="5"/>
  <c r="AX360" i="5"/>
  <c r="AX534" i="5"/>
  <c r="AW534" i="5"/>
  <c r="AW381" i="5"/>
  <c r="AX381" i="5"/>
  <c r="AW328" i="5"/>
  <c r="AX328" i="5"/>
  <c r="AX203" i="5"/>
  <c r="AW203" i="5"/>
  <c r="AW265" i="5"/>
  <c r="AX265" i="5"/>
  <c r="AX163" i="5"/>
  <c r="AW163" i="5"/>
  <c r="AW121" i="5"/>
  <c r="AX121" i="5"/>
  <c r="AX190" i="5"/>
  <c r="AW190" i="5"/>
  <c r="AW212" i="5"/>
  <c r="AX212" i="5"/>
  <c r="AX489" i="5"/>
  <c r="AW489" i="5"/>
  <c r="AX215" i="5"/>
  <c r="AW215" i="5"/>
  <c r="AX137" i="5"/>
  <c r="AW137" i="5"/>
  <c r="AX32" i="5"/>
  <c r="AW32" i="5"/>
  <c r="AW249" i="5"/>
  <c r="AX249" i="5"/>
  <c r="AX70" i="5"/>
  <c r="AW70" i="5"/>
  <c r="AW293" i="5"/>
  <c r="AX293" i="5"/>
  <c r="AX150" i="5"/>
  <c r="AW150" i="5"/>
  <c r="AX59" i="5"/>
  <c r="AW59" i="5"/>
  <c r="AX60" i="5"/>
  <c r="AW60" i="5"/>
  <c r="AW271" i="5"/>
  <c r="AX271" i="5"/>
  <c r="AW52" i="5"/>
  <c r="AX52" i="5"/>
  <c r="AW50" i="5"/>
  <c r="AX50" i="5"/>
  <c r="AX144" i="5"/>
  <c r="AW144" i="5"/>
  <c r="AX100" i="5"/>
  <c r="AW100" i="5"/>
  <c r="AW541" i="5"/>
  <c r="AX541" i="5"/>
  <c r="AW189" i="5"/>
  <c r="AX189" i="5"/>
  <c r="AX115" i="5"/>
  <c r="AW115" i="5"/>
  <c r="AX123" i="5"/>
  <c r="AW123" i="5"/>
  <c r="AX437" i="5"/>
  <c r="AW437" i="5"/>
  <c r="AX173" i="5"/>
  <c r="AW173" i="5"/>
  <c r="AW95" i="5"/>
  <c r="AX95" i="5"/>
  <c r="AX180" i="5"/>
  <c r="AW180" i="5"/>
  <c r="AX63" i="5"/>
  <c r="AW63" i="5"/>
  <c r="AX537" i="5"/>
  <c r="AW537" i="5"/>
  <c r="AX263" i="5"/>
  <c r="AW263" i="5"/>
  <c r="AW497" i="5"/>
  <c r="AX497" i="5"/>
  <c r="AW221" i="5"/>
  <c r="AX221" i="5"/>
  <c r="AW316" i="5"/>
  <c r="AX316" i="5"/>
  <c r="AX422" i="5"/>
  <c r="AW422" i="5"/>
  <c r="AW515" i="5"/>
  <c r="AX515" i="5"/>
  <c r="AW277" i="5"/>
  <c r="AX277" i="5"/>
  <c r="AW390" i="5"/>
  <c r="AX390" i="5"/>
  <c r="AX187" i="5"/>
  <c r="AW187" i="5"/>
  <c r="AX433" i="5"/>
  <c r="AW433" i="5"/>
  <c r="AW538" i="5"/>
  <c r="AX538" i="5"/>
  <c r="AW320" i="5"/>
  <c r="AX320" i="5"/>
  <c r="AX487" i="5"/>
  <c r="AW487" i="5"/>
  <c r="AX233" i="5"/>
  <c r="AW233" i="5"/>
  <c r="AX309" i="5"/>
  <c r="AW309" i="5"/>
  <c r="AX469" i="5"/>
  <c r="AW469" i="5"/>
  <c r="AX286" i="5"/>
  <c r="AW286" i="5"/>
  <c r="AX414" i="5"/>
  <c r="AW414" i="5"/>
  <c r="AW502" i="5"/>
  <c r="AX502" i="5"/>
  <c r="AX511" i="5"/>
  <c r="AW511" i="5"/>
  <c r="AW508" i="5"/>
  <c r="AX508" i="5"/>
  <c r="AW196" i="5"/>
  <c r="AX196" i="5"/>
  <c r="AX239" i="5"/>
  <c r="AW239" i="5"/>
  <c r="AW285" i="5"/>
  <c r="AX285" i="5"/>
  <c r="AX289" i="5"/>
  <c r="AW289" i="5"/>
  <c r="AX55" i="5"/>
  <c r="AW55" i="5"/>
  <c r="AX510" i="5"/>
  <c r="AW510" i="5"/>
  <c r="AX394" i="5"/>
  <c r="AW394" i="5"/>
  <c r="AX559" i="5"/>
  <c r="AW559" i="5"/>
  <c r="AX477" i="5"/>
  <c r="AW477" i="5"/>
  <c r="AX145" i="5"/>
  <c r="AW145" i="5"/>
  <c r="AW459" i="5"/>
  <c r="AX459" i="5"/>
  <c r="AX388" i="5"/>
  <c r="AW388" i="5"/>
  <c r="AW340" i="5"/>
  <c r="AX340" i="5"/>
  <c r="AW377" i="5"/>
  <c r="AX377" i="5"/>
  <c r="AW355" i="5"/>
  <c r="AX355" i="5"/>
  <c r="AX548" i="5"/>
  <c r="AW548" i="5"/>
  <c r="AX392" i="5"/>
  <c r="AW392" i="5"/>
  <c r="AX540" i="5"/>
  <c r="AW540" i="5"/>
  <c r="AW473" i="5"/>
  <c r="AX473" i="5"/>
  <c r="AX315" i="5"/>
  <c r="AW315" i="5"/>
  <c r="AW491" i="5"/>
  <c r="AX491" i="5"/>
  <c r="AX307" i="5"/>
  <c r="AW307" i="5"/>
  <c r="AX526" i="5"/>
  <c r="AW526" i="5"/>
  <c r="AX374" i="5"/>
  <c r="AW374" i="5"/>
  <c r="AX284" i="5"/>
  <c r="AW284" i="5"/>
  <c r="AX107" i="5"/>
  <c r="AW107" i="5"/>
  <c r="AX179" i="5"/>
  <c r="AW179" i="5"/>
  <c r="AW167" i="5"/>
  <c r="AX167" i="5"/>
  <c r="AW45" i="5"/>
  <c r="AX45" i="5"/>
  <c r="AW20" i="5"/>
  <c r="AX20" i="5"/>
  <c r="AX164" i="5"/>
  <c r="AW164" i="5"/>
  <c r="AX343" i="5"/>
  <c r="AW343" i="5"/>
  <c r="AX208" i="5"/>
  <c r="AW208" i="5"/>
  <c r="AX113" i="5"/>
  <c r="AW113" i="5"/>
  <c r="AX493" i="5"/>
  <c r="AW493" i="5"/>
  <c r="AX224" i="5"/>
  <c r="AW224" i="5"/>
  <c r="AW102" i="5"/>
  <c r="AX102" i="5"/>
  <c r="AX292" i="5"/>
  <c r="AW292" i="5"/>
  <c r="AX142" i="5"/>
  <c r="AW142" i="5"/>
  <c r="AX35" i="5"/>
  <c r="AW35" i="5"/>
  <c r="AX78" i="5"/>
  <c r="AW78" i="5"/>
  <c r="AW204" i="5"/>
  <c r="AX204" i="5"/>
  <c r="AW118" i="5"/>
  <c r="AX118" i="5"/>
  <c r="AW57" i="5"/>
  <c r="AX57" i="5"/>
  <c r="AX177" i="5"/>
  <c r="AW177" i="5"/>
  <c r="AX119" i="5"/>
  <c r="AW119" i="5"/>
  <c r="AW80" i="5"/>
  <c r="AX80" i="5"/>
  <c r="AW278" i="5"/>
  <c r="AX278" i="5"/>
  <c r="AX152" i="5"/>
  <c r="AW152" i="5"/>
  <c r="AX128" i="5"/>
  <c r="AW128" i="5"/>
  <c r="AW176" i="5"/>
  <c r="AX176" i="5"/>
  <c r="AX182" i="5"/>
  <c r="AW182" i="5"/>
  <c r="AW101" i="5"/>
  <c r="AX101" i="5"/>
  <c r="AX512" i="5"/>
  <c r="AW512" i="5"/>
  <c r="AW73" i="5"/>
  <c r="AX73" i="5"/>
  <c r="AW184" i="5"/>
  <c r="AX184" i="5"/>
  <c r="AX266" i="5"/>
  <c r="AW266" i="5"/>
  <c r="AW523" i="5"/>
  <c r="AX523" i="5"/>
  <c r="AW226" i="5"/>
  <c r="AX226" i="5"/>
  <c r="AX349" i="5"/>
  <c r="AW349" i="5"/>
  <c r="AX434" i="5"/>
  <c r="AW434" i="5"/>
  <c r="AX525" i="5"/>
  <c r="AW525" i="5"/>
  <c r="AW295" i="5"/>
  <c r="AX295" i="5"/>
  <c r="AX401" i="5"/>
  <c r="AW401" i="5"/>
  <c r="AX262" i="5"/>
  <c r="AW262" i="5"/>
  <c r="AX440" i="5"/>
  <c r="AW440" i="5"/>
  <c r="AX194" i="5"/>
  <c r="AW194" i="5"/>
  <c r="AW338" i="5"/>
  <c r="AX338" i="5"/>
  <c r="AX504" i="5"/>
  <c r="AW504" i="5"/>
  <c r="AW237" i="5"/>
  <c r="AX237" i="5"/>
  <c r="AX317" i="5"/>
  <c r="AW317" i="5"/>
  <c r="AW480" i="5"/>
  <c r="AX480" i="5"/>
  <c r="AW294" i="5"/>
  <c r="AX294" i="5"/>
  <c r="AX418" i="5"/>
  <c r="AW418" i="5"/>
  <c r="AW505" i="5"/>
  <c r="AX505" i="5"/>
  <c r="AW319" i="5"/>
  <c r="AX319" i="5"/>
  <c r="AX439" i="5"/>
  <c r="AW439" i="5"/>
  <c r="AX410" i="5"/>
  <c r="AW410" i="5"/>
  <c r="AX223" i="5"/>
  <c r="AW223" i="5"/>
  <c r="AX291" i="5"/>
  <c r="AW291" i="5"/>
  <c r="AX560" i="5"/>
  <c r="AW560" i="5"/>
  <c r="AW112" i="5"/>
  <c r="AX112" i="5"/>
  <c r="AX198" i="5"/>
  <c r="AW198" i="5"/>
  <c r="AX425" i="5"/>
  <c r="AW425" i="5"/>
  <c r="AX445" i="5"/>
  <c r="AW445" i="5"/>
  <c r="AW549" i="5"/>
  <c r="AX549" i="5"/>
  <c r="AX400" i="5"/>
  <c r="AW400" i="5"/>
  <c r="AX170" i="5"/>
  <c r="AW170" i="5"/>
  <c r="AW456" i="5"/>
  <c r="AX456" i="5"/>
  <c r="AX424" i="5"/>
  <c r="AW424" i="5"/>
  <c r="AW519" i="5"/>
  <c r="AX519" i="5"/>
  <c r="AX399" i="5"/>
  <c r="AW399" i="5"/>
  <c r="AX281" i="5"/>
  <c r="AW281" i="5"/>
  <c r="AX520" i="5"/>
  <c r="AW520" i="5"/>
  <c r="AW391" i="5"/>
  <c r="AX391" i="5"/>
  <c r="AX494" i="5"/>
  <c r="AW494" i="5"/>
  <c r="AX481" i="5"/>
  <c r="AW481" i="5"/>
  <c r="AX354" i="5"/>
  <c r="AW354" i="5"/>
  <c r="AX516" i="5"/>
  <c r="AW516" i="5"/>
  <c r="AX228" i="5"/>
  <c r="AW228" i="5"/>
  <c r="AW522" i="5"/>
  <c r="AX522" i="5"/>
  <c r="AX335" i="5"/>
  <c r="AW335" i="5"/>
  <c r="AW241" i="5"/>
  <c r="AX241" i="5"/>
  <c r="AX24" i="5"/>
  <c r="AW24" i="5"/>
  <c r="AW324" i="5"/>
  <c r="AX324" i="5"/>
  <c r="AX155" i="5"/>
  <c r="AW155" i="5"/>
  <c r="AW94" i="5"/>
  <c r="AX94" i="5"/>
  <c r="AW301" i="5"/>
  <c r="AX301" i="5"/>
  <c r="AX156" i="5"/>
  <c r="AW156" i="5"/>
  <c r="AX272" i="5"/>
  <c r="AW272" i="5"/>
  <c r="AX209" i="5"/>
  <c r="AW209" i="5"/>
  <c r="AW105" i="5"/>
  <c r="AX105" i="5"/>
  <c r="AX462" i="5"/>
  <c r="AW462" i="5"/>
  <c r="AX211" i="5"/>
  <c r="AW211" i="5"/>
  <c r="AX76" i="5"/>
  <c r="AW76" i="5"/>
  <c r="AW287" i="5"/>
  <c r="AX287" i="5"/>
  <c r="AX154" i="5"/>
  <c r="AW154" i="5"/>
  <c r="AX96" i="5"/>
  <c r="AW96" i="5"/>
  <c r="AW126" i="5"/>
  <c r="AX126" i="5"/>
  <c r="AX97" i="5"/>
  <c r="AW97" i="5"/>
  <c r="AW36" i="5"/>
  <c r="AX36" i="5"/>
  <c r="AX58" i="5"/>
  <c r="AW58" i="5"/>
  <c r="AX450" i="5"/>
  <c r="AW450" i="5"/>
  <c r="AW134" i="5"/>
  <c r="AX134" i="5"/>
  <c r="AW33" i="5"/>
  <c r="AX33" i="5"/>
  <c r="AW302" i="5"/>
  <c r="AX302" i="5"/>
  <c r="AX258" i="5"/>
  <c r="AW258" i="5"/>
  <c r="AW135" i="5"/>
  <c r="AX135" i="5"/>
  <c r="AX31" i="5"/>
  <c r="AW31" i="5"/>
  <c r="AX185" i="5"/>
  <c r="AW185" i="5"/>
  <c r="AX103" i="5"/>
  <c r="AW103" i="5"/>
  <c r="AX517" i="5"/>
  <c r="AW517" i="5"/>
  <c r="AW89" i="5"/>
  <c r="AX89" i="5"/>
  <c r="AX202" i="5"/>
  <c r="AW202" i="5"/>
  <c r="AX321" i="5"/>
  <c r="AW321" i="5"/>
  <c r="AX533" i="5"/>
  <c r="AW533" i="5"/>
  <c r="AW243" i="5"/>
  <c r="AX243" i="5"/>
  <c r="AW361" i="5"/>
  <c r="AX361" i="5"/>
  <c r="AX446" i="5"/>
  <c r="AW446" i="5"/>
  <c r="AX542" i="5"/>
  <c r="AW542" i="5"/>
  <c r="AX305" i="5"/>
  <c r="AW305" i="5"/>
  <c r="AX442" i="5"/>
  <c r="AW442" i="5"/>
  <c r="AW329" i="5"/>
  <c r="AX329" i="5"/>
  <c r="AX454" i="5"/>
  <c r="AW454" i="5"/>
  <c r="AW197" i="5"/>
  <c r="AX197" i="5"/>
  <c r="AW346" i="5"/>
  <c r="AX346" i="5"/>
  <c r="AX535" i="5"/>
  <c r="AW535" i="5"/>
  <c r="AW246" i="5"/>
  <c r="AX246" i="5"/>
  <c r="AW322" i="5"/>
  <c r="AX322" i="5"/>
  <c r="AW518" i="5"/>
  <c r="AX518" i="5"/>
  <c r="AX306" i="5"/>
  <c r="AW306" i="5"/>
  <c r="AX428" i="5"/>
  <c r="AW428" i="5"/>
  <c r="AW524" i="5"/>
  <c r="AX524" i="5"/>
  <c r="AX421" i="5"/>
  <c r="AW421" i="5"/>
  <c r="AX71" i="5"/>
  <c r="AW71" i="5"/>
  <c r="AW308" i="5"/>
  <c r="AX308" i="5"/>
  <c r="AX544" i="5"/>
  <c r="AW544" i="5"/>
  <c r="AX323" i="5"/>
  <c r="AW323" i="5"/>
  <c r="AX139" i="5"/>
  <c r="AW139" i="5"/>
  <c r="AX169" i="5"/>
  <c r="AW169" i="5"/>
  <c r="AX250" i="5"/>
  <c r="AW250" i="5"/>
  <c r="AX372" i="5"/>
  <c r="AW372" i="5"/>
  <c r="AX303" i="5"/>
  <c r="AW303" i="5"/>
  <c r="AX521" i="5"/>
  <c r="AW521" i="5"/>
  <c r="AX402" i="5"/>
  <c r="AW402" i="5"/>
  <c r="AW62" i="5"/>
  <c r="AX62" i="5"/>
  <c r="AX441" i="5"/>
  <c r="AW441" i="5"/>
  <c r="AX395" i="5"/>
  <c r="AW395" i="5"/>
  <c r="AX513" i="5"/>
  <c r="AW513" i="5"/>
  <c r="AW419" i="5"/>
  <c r="AX419" i="5"/>
  <c r="AX117" i="5"/>
  <c r="AW117" i="5"/>
  <c r="AX495" i="5"/>
  <c r="AW495" i="5"/>
  <c r="AX383" i="5"/>
  <c r="AW383" i="5"/>
  <c r="AX429" i="5"/>
  <c r="AW429" i="5"/>
  <c r="AX460" i="5"/>
  <c r="AW460" i="5"/>
  <c r="AX314" i="5"/>
  <c r="AW314" i="5"/>
  <c r="AW476" i="5"/>
  <c r="AX476" i="5"/>
  <c r="AX46" i="5"/>
  <c r="AW46" i="5"/>
  <c r="AX485" i="5"/>
  <c r="AW485" i="5"/>
  <c r="AX248" i="5"/>
  <c r="AW248" i="5"/>
  <c r="AX242" i="5"/>
  <c r="AW242" i="5"/>
  <c r="AW106" i="5"/>
  <c r="AX106" i="5"/>
  <c r="AX334" i="5"/>
  <c r="AW334" i="5"/>
  <c r="AX186" i="5"/>
  <c r="AW186" i="5"/>
  <c r="AW67" i="5"/>
  <c r="AX67" i="5"/>
  <c r="AW359" i="5"/>
  <c r="AX359" i="5"/>
  <c r="AW159" i="5"/>
  <c r="AX159" i="5"/>
  <c r="AX298" i="5"/>
  <c r="AW298" i="5"/>
  <c r="AW178" i="5"/>
  <c r="AX178" i="5"/>
  <c r="AX54" i="5"/>
  <c r="AW54" i="5"/>
  <c r="AW478" i="5"/>
  <c r="AX478" i="5"/>
  <c r="AX220" i="5"/>
  <c r="AW220" i="5"/>
  <c r="AX443" i="5"/>
  <c r="AW443" i="5"/>
  <c r="AX252" i="5"/>
  <c r="AW252" i="5"/>
  <c r="AW175" i="5"/>
  <c r="AX175" i="5"/>
  <c r="AX75" i="5"/>
  <c r="AW75" i="5"/>
  <c r="AX124" i="5"/>
  <c r="AW124" i="5"/>
  <c r="AX69" i="5"/>
  <c r="AW69" i="5"/>
  <c r="AX136" i="5"/>
  <c r="AW136" i="5"/>
  <c r="AW65" i="5"/>
  <c r="AX65" i="5"/>
  <c r="AW483" i="5"/>
  <c r="AX483" i="5"/>
  <c r="AX148" i="5"/>
  <c r="AW148" i="5"/>
  <c r="AX48" i="5"/>
  <c r="AW48" i="5"/>
  <c r="AX345" i="5"/>
  <c r="AW345" i="5"/>
  <c r="AW373" i="5"/>
  <c r="AX373" i="5"/>
  <c r="AW143" i="5"/>
  <c r="AX143" i="5"/>
  <c r="AX40" i="5"/>
  <c r="AW40" i="5"/>
  <c r="AX337" i="5"/>
  <c r="AW337" i="5"/>
  <c r="AW111" i="5"/>
  <c r="AX111" i="5"/>
  <c r="AW110" i="5"/>
  <c r="AX110" i="5"/>
  <c r="AX120" i="5"/>
  <c r="AW120" i="5"/>
  <c r="AW205" i="5"/>
  <c r="AX205" i="5"/>
  <c r="AX330" i="5"/>
  <c r="AW330" i="5"/>
  <c r="AW536" i="5"/>
  <c r="AX536" i="5"/>
  <c r="AW268" i="5"/>
  <c r="AX268" i="5"/>
  <c r="AX376" i="5"/>
  <c r="AW376" i="5"/>
  <c r="AW466" i="5"/>
  <c r="AX466" i="5"/>
  <c r="AX547" i="5"/>
  <c r="AW547" i="5"/>
  <c r="AX313" i="5"/>
  <c r="AW313" i="5"/>
  <c r="AW449" i="5"/>
  <c r="AX449" i="5"/>
  <c r="AX341" i="5"/>
  <c r="AW341" i="5"/>
  <c r="AW457" i="5"/>
  <c r="AX457" i="5"/>
  <c r="AW230" i="5"/>
  <c r="AX230" i="5"/>
  <c r="AX348" i="5"/>
  <c r="AW348" i="5"/>
  <c r="AX546" i="5"/>
  <c r="AW546" i="5"/>
  <c r="AX254" i="5"/>
  <c r="AW254" i="5"/>
  <c r="AW367" i="5"/>
  <c r="AX367" i="5"/>
  <c r="AX528" i="5"/>
  <c r="AW528" i="5"/>
  <c r="AX350" i="5"/>
  <c r="AW350" i="5"/>
  <c r="AX432" i="5"/>
  <c r="AW432" i="5"/>
  <c r="AX364" i="5"/>
  <c r="AW364" i="5"/>
  <c r="AW347" i="5"/>
  <c r="AX347" i="5"/>
  <c r="AX380" i="5"/>
  <c r="AW380" i="5"/>
  <c r="AX280" i="5"/>
  <c r="AW280" i="5"/>
  <c r="AW207" i="5"/>
  <c r="AX207" i="5"/>
  <c r="AX84" i="5"/>
  <c r="AW84" i="5"/>
  <c r="AW81" i="5"/>
  <c r="AX81" i="5"/>
  <c r="AW310" i="5"/>
  <c r="AX310" i="5"/>
  <c r="AX529" i="5"/>
  <c r="AW529" i="5"/>
  <c r="AX398" i="5"/>
  <c r="AW398" i="5"/>
  <c r="AX514" i="5"/>
  <c r="AW514" i="5"/>
  <c r="AX396" i="5"/>
  <c r="AW396" i="5"/>
  <c r="AX61" i="5"/>
  <c r="AW61" i="5"/>
  <c r="AX465" i="5"/>
  <c r="AW465" i="5"/>
  <c r="AX351" i="5"/>
  <c r="AW351" i="5"/>
  <c r="AW500" i="5"/>
  <c r="AX500" i="5"/>
  <c r="AW379" i="5"/>
  <c r="AX379" i="5"/>
  <c r="AW114" i="5"/>
  <c r="AX114" i="5"/>
  <c r="AW470" i="5"/>
  <c r="AX470" i="5"/>
  <c r="AX327" i="5"/>
  <c r="AW327" i="5"/>
  <c r="AW555" i="5"/>
  <c r="AX555" i="5"/>
  <c r="AX448" i="5"/>
  <c r="AW448" i="5"/>
  <c r="AX290" i="5"/>
  <c r="AW290" i="5"/>
  <c r="AW490" i="5"/>
  <c r="AX490" i="5"/>
  <c r="AX27" i="5"/>
  <c r="AW27" i="5"/>
  <c r="AW444" i="5"/>
  <c r="AX444" i="5"/>
  <c r="AW240" i="5"/>
  <c r="AX240" i="5"/>
  <c r="AW247" i="5"/>
  <c r="AX247" i="5"/>
  <c r="AX79" i="5"/>
  <c r="AW79" i="5"/>
  <c r="AW259" i="5"/>
  <c r="AX259" i="5"/>
  <c r="AX166" i="5"/>
  <c r="AW166" i="5"/>
  <c r="AW43" i="5"/>
  <c r="AX43" i="5"/>
  <c r="AW283" i="5"/>
  <c r="AX283" i="5"/>
  <c r="AX82" i="5"/>
  <c r="AW82" i="5"/>
  <c r="AX256" i="5"/>
  <c r="AW256" i="5"/>
  <c r="AX162" i="5"/>
  <c r="AW162" i="5"/>
  <c r="AX38" i="5"/>
  <c r="AW38" i="5"/>
  <c r="AW431" i="5"/>
  <c r="AX431" i="5"/>
  <c r="AX183" i="5"/>
  <c r="AW183" i="5"/>
  <c r="AX415" i="5"/>
  <c r="AW415" i="5"/>
  <c r="AX231" i="5"/>
  <c r="AW231" i="5"/>
  <c r="AW130" i="5"/>
  <c r="AX130" i="5"/>
  <c r="AX342" i="5"/>
  <c r="AW342" i="5"/>
  <c r="AW304" i="5"/>
  <c r="AX304" i="5"/>
  <c r="AX99" i="5"/>
  <c r="AW99" i="5"/>
  <c r="AW409" i="5"/>
  <c r="AX409" i="5"/>
  <c r="AX66" i="5"/>
  <c r="AW66" i="5"/>
  <c r="AX553" i="5"/>
  <c r="AW553" i="5"/>
  <c r="AX181" i="5"/>
  <c r="AW181" i="5"/>
  <c r="AX56" i="5"/>
  <c r="AW56" i="5"/>
  <c r="AW387" i="5"/>
  <c r="AX387" i="5"/>
  <c r="AW88" i="5"/>
  <c r="AX88" i="5"/>
  <c r="AX158" i="5"/>
  <c r="AW158" i="5"/>
  <c r="AX85" i="5"/>
  <c r="AW85" i="5"/>
  <c r="AW486" i="5"/>
  <c r="AX486" i="5"/>
  <c r="AX132" i="5"/>
  <c r="AW132" i="5"/>
  <c r="AX172" i="5"/>
  <c r="AW172" i="5"/>
  <c r="AX127" i="5"/>
  <c r="AW127" i="5"/>
  <c r="AW213" i="5"/>
  <c r="AX213" i="5"/>
  <c r="AW357" i="5"/>
  <c r="AX357" i="5"/>
  <c r="AX539" i="5"/>
  <c r="AW539" i="5"/>
  <c r="AX270" i="5"/>
  <c r="AW270" i="5"/>
  <c r="AX404" i="5"/>
  <c r="AW404" i="5"/>
  <c r="AX471" i="5"/>
  <c r="AW471" i="5"/>
  <c r="AX195" i="5"/>
  <c r="AW195" i="5"/>
  <c r="AX333" i="5"/>
  <c r="AW333" i="5"/>
  <c r="AX463" i="5"/>
  <c r="AW463" i="5"/>
  <c r="AX344" i="5"/>
  <c r="AW344" i="5"/>
  <c r="AW458" i="5"/>
  <c r="AX458" i="5"/>
  <c r="AX257" i="5"/>
  <c r="AW257" i="5"/>
  <c r="AW356" i="5"/>
  <c r="AX356" i="5"/>
  <c r="AW557" i="5"/>
  <c r="AX557" i="5"/>
  <c r="AW261" i="5"/>
  <c r="AX261" i="5"/>
  <c r="AW382" i="5"/>
  <c r="AX382" i="5"/>
  <c r="AX225" i="5"/>
  <c r="AW225" i="5"/>
  <c r="AX371" i="5"/>
  <c r="AW371" i="5"/>
  <c r="AX435" i="5"/>
  <c r="AW435" i="5"/>
  <c r="AX8" i="5"/>
  <c r="AW8" i="5"/>
  <c r="AU12" i="5"/>
  <c r="AT12" i="5"/>
  <c r="BA12" i="5"/>
  <c r="AZ12" i="5"/>
  <c r="AT7" i="5"/>
  <c r="AU7" i="5"/>
  <c r="AV13" i="5"/>
  <c r="AX12" i="5"/>
  <c r="AW12" i="5"/>
  <c r="AW7" i="5"/>
  <c r="AX7" i="5"/>
  <c r="AU8" i="5"/>
  <c r="AT8" i="5"/>
  <c r="G186" i="3"/>
  <c r="B194" i="3" s="1"/>
  <c r="BD404" i="5" l="1"/>
  <c r="BC404" i="5"/>
  <c r="BD341" i="5"/>
  <c r="BC341" i="5"/>
  <c r="BD242" i="5"/>
  <c r="BC242" i="5"/>
  <c r="BC33" i="5"/>
  <c r="BD33" i="5"/>
  <c r="BC445" i="5"/>
  <c r="BD445" i="5"/>
  <c r="BC177" i="5"/>
  <c r="BD177" i="5"/>
  <c r="BD137" i="5"/>
  <c r="BC137" i="5"/>
  <c r="BD430" i="5"/>
  <c r="BC430" i="5"/>
  <c r="BC447" i="5"/>
  <c r="BD447" i="5"/>
  <c r="BC479" i="5"/>
  <c r="BD479" i="5"/>
  <c r="BD83" i="5"/>
  <c r="BC83" i="5"/>
  <c r="BD371" i="5"/>
  <c r="BC371" i="5"/>
  <c r="BC357" i="5"/>
  <c r="BD357" i="5"/>
  <c r="BD88" i="5"/>
  <c r="BC88" i="5"/>
  <c r="BD304" i="5"/>
  <c r="BC304" i="5"/>
  <c r="BD162" i="5"/>
  <c r="BC162" i="5"/>
  <c r="BD247" i="5"/>
  <c r="BC247" i="5"/>
  <c r="BD327" i="5"/>
  <c r="BC327" i="5"/>
  <c r="BC396" i="5"/>
  <c r="BD396" i="5"/>
  <c r="BC280" i="5"/>
  <c r="BD280" i="5"/>
  <c r="BC254" i="5"/>
  <c r="BD254" i="5"/>
  <c r="BD547" i="5"/>
  <c r="BC547" i="5"/>
  <c r="BC110" i="5"/>
  <c r="BD110" i="5"/>
  <c r="BD148" i="5"/>
  <c r="BC148" i="5"/>
  <c r="BD252" i="5"/>
  <c r="BC252" i="5"/>
  <c r="BC359" i="5"/>
  <c r="BD359" i="5"/>
  <c r="BC46" i="5"/>
  <c r="BD46" i="5"/>
  <c r="BC419" i="5"/>
  <c r="BD419" i="5"/>
  <c r="BD372" i="5"/>
  <c r="BC372" i="5"/>
  <c r="BC421" i="5"/>
  <c r="BD421" i="5"/>
  <c r="BC346" i="5"/>
  <c r="BD346" i="5"/>
  <c r="BC361" i="5"/>
  <c r="BD361" i="5"/>
  <c r="BC185" i="5"/>
  <c r="BD185" i="5"/>
  <c r="BD58" i="5"/>
  <c r="BC58" i="5"/>
  <c r="BC211" i="5"/>
  <c r="BD211" i="5"/>
  <c r="BD155" i="5"/>
  <c r="BC155" i="5"/>
  <c r="BC354" i="5"/>
  <c r="BD354" i="5"/>
  <c r="BC424" i="5"/>
  <c r="BD424" i="5"/>
  <c r="BD112" i="5"/>
  <c r="BC112" i="5"/>
  <c r="BD418" i="5"/>
  <c r="BC418" i="5"/>
  <c r="BC440" i="5"/>
  <c r="BD440" i="5"/>
  <c r="BD523" i="5"/>
  <c r="BC523" i="5"/>
  <c r="BD128" i="5"/>
  <c r="BC128" i="5"/>
  <c r="BD204" i="5"/>
  <c r="BC204" i="5"/>
  <c r="BC113" i="5"/>
  <c r="BD113" i="5"/>
  <c r="BD107" i="5"/>
  <c r="BC107" i="5"/>
  <c r="BD540" i="5"/>
  <c r="BC540" i="5"/>
  <c r="BD145" i="5"/>
  <c r="BC145" i="5"/>
  <c r="BC239" i="5"/>
  <c r="BD239" i="5"/>
  <c r="BD309" i="5"/>
  <c r="BC309" i="5"/>
  <c r="BC277" i="5"/>
  <c r="BD277" i="5"/>
  <c r="BD63" i="5"/>
  <c r="BC63" i="5"/>
  <c r="BD541" i="5"/>
  <c r="BC541" i="5"/>
  <c r="BD150" i="5"/>
  <c r="BC150" i="5"/>
  <c r="BD212" i="5"/>
  <c r="BC212" i="5"/>
  <c r="BC534" i="5"/>
  <c r="BD534" i="5"/>
  <c r="BD318" i="5"/>
  <c r="BC318" i="5"/>
  <c r="BD496" i="5"/>
  <c r="BC496" i="5"/>
  <c r="BC527" i="5"/>
  <c r="BD527" i="5"/>
  <c r="BC384" i="5"/>
  <c r="BD384" i="5"/>
  <c r="BC412" i="5"/>
  <c r="BD412" i="5"/>
  <c r="BC74" i="5"/>
  <c r="BD74" i="5"/>
  <c r="BC131" i="5"/>
  <c r="BD131" i="5"/>
  <c r="BC133" i="5"/>
  <c r="BD133" i="5"/>
  <c r="BC125" i="5"/>
  <c r="BD125" i="5"/>
  <c r="BC44" i="5"/>
  <c r="BD44" i="5"/>
  <c r="BC288" i="5"/>
  <c r="BD288" i="5"/>
  <c r="BD417" i="5"/>
  <c r="BC417" i="5"/>
  <c r="BC468" i="5"/>
  <c r="BD468" i="5"/>
  <c r="BC484" i="5"/>
  <c r="BD484" i="5"/>
  <c r="BD556" i="5"/>
  <c r="BC556" i="5"/>
  <c r="BD161" i="5"/>
  <c r="BC161" i="5"/>
  <c r="BD77" i="5"/>
  <c r="BC77" i="5"/>
  <c r="BD22" i="5"/>
  <c r="BC22" i="5"/>
  <c r="BC21" i="5"/>
  <c r="BD21" i="5"/>
  <c r="BD558" i="5"/>
  <c r="BC558" i="5"/>
  <c r="BD296" i="5"/>
  <c r="BC296" i="5"/>
  <c r="BD426" i="5"/>
  <c r="BC426" i="5"/>
  <c r="BC166" i="5"/>
  <c r="BD166" i="5"/>
  <c r="BD124" i="5"/>
  <c r="BC124" i="5"/>
  <c r="BC544" i="5"/>
  <c r="BD544" i="5"/>
  <c r="BD156" i="5"/>
  <c r="BC156" i="5"/>
  <c r="BD434" i="5"/>
  <c r="BC434" i="5"/>
  <c r="BC414" i="5"/>
  <c r="BD414" i="5"/>
  <c r="BD203" i="5"/>
  <c r="BC203" i="5"/>
  <c r="BD29" i="5"/>
  <c r="BC29" i="5"/>
  <c r="BC545" i="5"/>
  <c r="BD545" i="5"/>
  <c r="BC116" i="5"/>
  <c r="BD116" i="5"/>
  <c r="BC344" i="5"/>
  <c r="BD344" i="5"/>
  <c r="BD261" i="5"/>
  <c r="BC261" i="5"/>
  <c r="BD195" i="5"/>
  <c r="BC195" i="5"/>
  <c r="BD172" i="5"/>
  <c r="BC172" i="5"/>
  <c r="BD181" i="5"/>
  <c r="BC181" i="5"/>
  <c r="BC231" i="5"/>
  <c r="BD231" i="5"/>
  <c r="BD283" i="5"/>
  <c r="BC283" i="5"/>
  <c r="BD27" i="5"/>
  <c r="BC27" i="5"/>
  <c r="BD379" i="5"/>
  <c r="BC379" i="5"/>
  <c r="BC529" i="5"/>
  <c r="BD529" i="5"/>
  <c r="BC364" i="5"/>
  <c r="BD364" i="5"/>
  <c r="BD230" i="5"/>
  <c r="BC230" i="5"/>
  <c r="BD268" i="5"/>
  <c r="BC268" i="5"/>
  <c r="BD40" i="5"/>
  <c r="BC40" i="5"/>
  <c r="BD136" i="5"/>
  <c r="BC136" i="5"/>
  <c r="BD478" i="5"/>
  <c r="BC478" i="5"/>
  <c r="BC334" i="5"/>
  <c r="BD334" i="5"/>
  <c r="BC460" i="5"/>
  <c r="BD460" i="5"/>
  <c r="BC441" i="5"/>
  <c r="BD441" i="5"/>
  <c r="BD139" i="5"/>
  <c r="BC139" i="5"/>
  <c r="BD306" i="5"/>
  <c r="BC306" i="5"/>
  <c r="BD329" i="5"/>
  <c r="BC329" i="5"/>
  <c r="BC321" i="5"/>
  <c r="BD321" i="5"/>
  <c r="BD258" i="5"/>
  <c r="BC258" i="5"/>
  <c r="BC126" i="5"/>
  <c r="BD126" i="5"/>
  <c r="BD209" i="5"/>
  <c r="BC209" i="5"/>
  <c r="BD241" i="5"/>
  <c r="BC241" i="5"/>
  <c r="BD391" i="5"/>
  <c r="BC391" i="5"/>
  <c r="BD400" i="5"/>
  <c r="BC400" i="5"/>
  <c r="BC223" i="5"/>
  <c r="BD223" i="5"/>
  <c r="BD317" i="5"/>
  <c r="BC317" i="5"/>
  <c r="BD295" i="5"/>
  <c r="BC295" i="5"/>
  <c r="BC73" i="5"/>
  <c r="BD73" i="5"/>
  <c r="BD80" i="5"/>
  <c r="BC80" i="5"/>
  <c r="BD142" i="5"/>
  <c r="BC142" i="5"/>
  <c r="BC164" i="5"/>
  <c r="BD164" i="5"/>
  <c r="BC526" i="5"/>
  <c r="BD526" i="5"/>
  <c r="BC355" i="5"/>
  <c r="BD355" i="5"/>
  <c r="BD394" i="5"/>
  <c r="BC394" i="5"/>
  <c r="BD511" i="5"/>
  <c r="BC511" i="5"/>
  <c r="BD320" i="5"/>
  <c r="BC320" i="5"/>
  <c r="BC316" i="5"/>
  <c r="BD316" i="5"/>
  <c r="BD173" i="5"/>
  <c r="BC173" i="5"/>
  <c r="BC50" i="5"/>
  <c r="BD50" i="5"/>
  <c r="BD249" i="5"/>
  <c r="BC249" i="5"/>
  <c r="BC163" i="5"/>
  <c r="BD163" i="5"/>
  <c r="BD363" i="5"/>
  <c r="BC363" i="5"/>
  <c r="BD397" i="5"/>
  <c r="BC397" i="5"/>
  <c r="BD325" i="5"/>
  <c r="BC325" i="5"/>
  <c r="BD389" i="5"/>
  <c r="BC389" i="5"/>
  <c r="BD385" i="5"/>
  <c r="BC385" i="5"/>
  <c r="BD368" i="5"/>
  <c r="BC368" i="5"/>
  <c r="BC108" i="5"/>
  <c r="BD108" i="5"/>
  <c r="BC282" i="5"/>
  <c r="BD282" i="5"/>
  <c r="BD146" i="5"/>
  <c r="BC146" i="5"/>
  <c r="BD216" i="5"/>
  <c r="BC216" i="5"/>
  <c r="BC188" i="5"/>
  <c r="BD188" i="5"/>
  <c r="BC332" i="5"/>
  <c r="BD332" i="5"/>
  <c r="BC90" i="5"/>
  <c r="BD90" i="5"/>
  <c r="BD406" i="5"/>
  <c r="BC406" i="5"/>
  <c r="BC336" i="5"/>
  <c r="BD336" i="5"/>
  <c r="BD153" i="5"/>
  <c r="BC153" i="5"/>
  <c r="BC64" i="5"/>
  <c r="BD64" i="5"/>
  <c r="BC140" i="5"/>
  <c r="BD140" i="5"/>
  <c r="BD452" i="5"/>
  <c r="BC452" i="5"/>
  <c r="BC30" i="5"/>
  <c r="BD30" i="5"/>
  <c r="BC543" i="5"/>
  <c r="BD543" i="5"/>
  <c r="BD393" i="5"/>
  <c r="BC393" i="5"/>
  <c r="BD183" i="5"/>
  <c r="BC183" i="5"/>
  <c r="BC350" i="5"/>
  <c r="BD350" i="5"/>
  <c r="BC305" i="5"/>
  <c r="BD305" i="5"/>
  <c r="BC522" i="5"/>
  <c r="BD522" i="5"/>
  <c r="BD491" i="5"/>
  <c r="BC491" i="5"/>
  <c r="BD271" i="5"/>
  <c r="BC271" i="5"/>
  <c r="BD91" i="5"/>
  <c r="BC91" i="5"/>
  <c r="BD378" i="5"/>
  <c r="BC378" i="5"/>
  <c r="BD257" i="5"/>
  <c r="BC257" i="5"/>
  <c r="BC431" i="5"/>
  <c r="BD431" i="5"/>
  <c r="BC259" i="5"/>
  <c r="BD259" i="5"/>
  <c r="BC448" i="5"/>
  <c r="BD448" i="5"/>
  <c r="BC465" i="5"/>
  <c r="BD465" i="5"/>
  <c r="BD84" i="5"/>
  <c r="BC84" i="5"/>
  <c r="BC528" i="5"/>
  <c r="BD528" i="5"/>
  <c r="BD449" i="5"/>
  <c r="BC449" i="5"/>
  <c r="BD205" i="5"/>
  <c r="BC205" i="5"/>
  <c r="BD345" i="5"/>
  <c r="BC345" i="5"/>
  <c r="BD75" i="5"/>
  <c r="BC75" i="5"/>
  <c r="BD298" i="5"/>
  <c r="BC298" i="5"/>
  <c r="BD248" i="5"/>
  <c r="BC248" i="5"/>
  <c r="BC495" i="5"/>
  <c r="BD495" i="5"/>
  <c r="BD521" i="5"/>
  <c r="BC521" i="5"/>
  <c r="BD308" i="5"/>
  <c r="BC308" i="5"/>
  <c r="BC246" i="5"/>
  <c r="BD246" i="5"/>
  <c r="BC542" i="5"/>
  <c r="BD542" i="5"/>
  <c r="BD517" i="5"/>
  <c r="BC517" i="5"/>
  <c r="BD134" i="5"/>
  <c r="BC134" i="5"/>
  <c r="BD287" i="5"/>
  <c r="BC287" i="5"/>
  <c r="BC301" i="5"/>
  <c r="BD301" i="5"/>
  <c r="BC228" i="5"/>
  <c r="BD228" i="5"/>
  <c r="BC399" i="5"/>
  <c r="BD399" i="5"/>
  <c r="BD425" i="5"/>
  <c r="BC425" i="5"/>
  <c r="BC319" i="5"/>
  <c r="BD319" i="5"/>
  <c r="BD338" i="5"/>
  <c r="BC338" i="5"/>
  <c r="BD349" i="5"/>
  <c r="BC349" i="5"/>
  <c r="BC182" i="5"/>
  <c r="BD182" i="5"/>
  <c r="BC57" i="5"/>
  <c r="BD57" i="5"/>
  <c r="BC224" i="5"/>
  <c r="BD224" i="5"/>
  <c r="BC167" i="5"/>
  <c r="BD167" i="5"/>
  <c r="BC315" i="5"/>
  <c r="BD315" i="5"/>
  <c r="BD388" i="5"/>
  <c r="BC388" i="5"/>
  <c r="BD289" i="5"/>
  <c r="BC289" i="5"/>
  <c r="BD286" i="5"/>
  <c r="BC286" i="5"/>
  <c r="BC187" i="5"/>
  <c r="BD187" i="5"/>
  <c r="BC263" i="5"/>
  <c r="BD263" i="5"/>
  <c r="BD115" i="5"/>
  <c r="BC115" i="5"/>
  <c r="BC60" i="5"/>
  <c r="BD60" i="5"/>
  <c r="BD215" i="5"/>
  <c r="BC215" i="5"/>
  <c r="BD328" i="5"/>
  <c r="BC328" i="5"/>
  <c r="BD413" i="5"/>
  <c r="BC413" i="5"/>
  <c r="BD472" i="5"/>
  <c r="BC472" i="5"/>
  <c r="BD51" i="5"/>
  <c r="BC51" i="5"/>
  <c r="BD279" i="5"/>
  <c r="BC279" i="5"/>
  <c r="BC235" i="5"/>
  <c r="BD235" i="5"/>
  <c r="BD47" i="5"/>
  <c r="BC47" i="5"/>
  <c r="BC210" i="5"/>
  <c r="BD210" i="5"/>
  <c r="BC191" i="5"/>
  <c r="BD191" i="5"/>
  <c r="BC269" i="5"/>
  <c r="BD269" i="5"/>
  <c r="BD362" i="5"/>
  <c r="BC362" i="5"/>
  <c r="BC369" i="5"/>
  <c r="BD369" i="5"/>
  <c r="BC251" i="5"/>
  <c r="BD251" i="5"/>
  <c r="BD464" i="5"/>
  <c r="BC464" i="5"/>
  <c r="BD365" i="5"/>
  <c r="BC365" i="5"/>
  <c r="BC407" i="5"/>
  <c r="BD407" i="5"/>
  <c r="BC23" i="5"/>
  <c r="BD23" i="5"/>
  <c r="BC86" i="5"/>
  <c r="BD86" i="5"/>
  <c r="BD129" i="5"/>
  <c r="BC129" i="5"/>
  <c r="BC138" i="5"/>
  <c r="BD138" i="5"/>
  <c r="BC171" i="5"/>
  <c r="BD171" i="5"/>
  <c r="BD331" i="5"/>
  <c r="BC331" i="5"/>
  <c r="BD168" i="5"/>
  <c r="BC168" i="5"/>
  <c r="BC66" i="5"/>
  <c r="BD66" i="5"/>
  <c r="BC330" i="5"/>
  <c r="BD330" i="5"/>
  <c r="BD402" i="5"/>
  <c r="BC402" i="5"/>
  <c r="BC439" i="5"/>
  <c r="BD439" i="5"/>
  <c r="BD102" i="5"/>
  <c r="BC102" i="5"/>
  <c r="BC497" i="5"/>
  <c r="BD497" i="5"/>
  <c r="BC353" i="5"/>
  <c r="BD353" i="5"/>
  <c r="BC552" i="5"/>
  <c r="BD552" i="5"/>
  <c r="BD461" i="5"/>
  <c r="BC461" i="5"/>
  <c r="BD225" i="5"/>
  <c r="BC225" i="5"/>
  <c r="BD213" i="5"/>
  <c r="BC213" i="5"/>
  <c r="BC387" i="5"/>
  <c r="BD387" i="5"/>
  <c r="BD342" i="5"/>
  <c r="BC342" i="5"/>
  <c r="BD256" i="5"/>
  <c r="BC256" i="5"/>
  <c r="BD240" i="5"/>
  <c r="BC240" i="5"/>
  <c r="BD470" i="5"/>
  <c r="BC470" i="5"/>
  <c r="BD514" i="5"/>
  <c r="BC514" i="5"/>
  <c r="BC380" i="5"/>
  <c r="BD380" i="5"/>
  <c r="BC546" i="5"/>
  <c r="BD546" i="5"/>
  <c r="BC466" i="5"/>
  <c r="BD466" i="5"/>
  <c r="BD111" i="5"/>
  <c r="BC111" i="5"/>
  <c r="BC483" i="5"/>
  <c r="BD483" i="5"/>
  <c r="BC443" i="5"/>
  <c r="BD443" i="5"/>
  <c r="BD67" i="5"/>
  <c r="BC67" i="5"/>
  <c r="BC476" i="5"/>
  <c r="BD476" i="5"/>
  <c r="BC513" i="5"/>
  <c r="BD513" i="5"/>
  <c r="BD250" i="5"/>
  <c r="BC250" i="5"/>
  <c r="BC524" i="5"/>
  <c r="BD524" i="5"/>
  <c r="BD197" i="5"/>
  <c r="BC197" i="5"/>
  <c r="BD243" i="5"/>
  <c r="BC243" i="5"/>
  <c r="BC31" i="5"/>
  <c r="BD31" i="5"/>
  <c r="BD36" i="5"/>
  <c r="BC36" i="5"/>
  <c r="BC462" i="5"/>
  <c r="BD462" i="5"/>
  <c r="BC324" i="5"/>
  <c r="BD324" i="5"/>
  <c r="BC481" i="5"/>
  <c r="BD481" i="5"/>
  <c r="BC456" i="5"/>
  <c r="BD456" i="5"/>
  <c r="BD560" i="5"/>
  <c r="BC560" i="5"/>
  <c r="BD294" i="5"/>
  <c r="BC294" i="5"/>
  <c r="BC262" i="5"/>
  <c r="BD262" i="5"/>
  <c r="BC266" i="5"/>
  <c r="BD266" i="5"/>
  <c r="BC152" i="5"/>
  <c r="BD152" i="5"/>
  <c r="BD78" i="5"/>
  <c r="BC78" i="5"/>
  <c r="BC208" i="5"/>
  <c r="BD208" i="5"/>
  <c r="BD284" i="5"/>
  <c r="BC284" i="5"/>
  <c r="BD392" i="5"/>
  <c r="BC392" i="5"/>
  <c r="BD477" i="5"/>
  <c r="BC477" i="5"/>
  <c r="BD196" i="5"/>
  <c r="BC196" i="5"/>
  <c r="BD233" i="5"/>
  <c r="BC233" i="5"/>
  <c r="BD515" i="5"/>
  <c r="BC515" i="5"/>
  <c r="BC180" i="5"/>
  <c r="BD180" i="5"/>
  <c r="BD100" i="5"/>
  <c r="BC100" i="5"/>
  <c r="BD293" i="5"/>
  <c r="BC293" i="5"/>
  <c r="BD190" i="5"/>
  <c r="BC190" i="5"/>
  <c r="BD360" i="5"/>
  <c r="BC360" i="5"/>
  <c r="BD403" i="5"/>
  <c r="BC403" i="5"/>
  <c r="BC218" i="5"/>
  <c r="BD218" i="5"/>
  <c r="BC503" i="5"/>
  <c r="BD503" i="5"/>
  <c r="BC273" i="5"/>
  <c r="BD273" i="5"/>
  <c r="BD300" i="5"/>
  <c r="BC300" i="5"/>
  <c r="BD160" i="5"/>
  <c r="BC160" i="5"/>
  <c r="BC42" i="5"/>
  <c r="BD42" i="5"/>
  <c r="BD234" i="5"/>
  <c r="BC234" i="5"/>
  <c r="BD253" i="5"/>
  <c r="BC253" i="5"/>
  <c r="BD408" i="5"/>
  <c r="BC408" i="5"/>
  <c r="BC438" i="5"/>
  <c r="BD438" i="5"/>
  <c r="BD423" i="5"/>
  <c r="BC423" i="5"/>
  <c r="BD375" i="5"/>
  <c r="BC375" i="5"/>
  <c r="BC358" i="5"/>
  <c r="BD358" i="5"/>
  <c r="BC366" i="5"/>
  <c r="BD366" i="5"/>
  <c r="BC104" i="5"/>
  <c r="BD104" i="5"/>
  <c r="BD297" i="5"/>
  <c r="BC297" i="5"/>
  <c r="BC147" i="5"/>
  <c r="BD147" i="5"/>
  <c r="BC19" i="5"/>
  <c r="BD19" i="5"/>
  <c r="BD232" i="5"/>
  <c r="BC232" i="5"/>
  <c r="BD312" i="5"/>
  <c r="BC312" i="5"/>
  <c r="BD339" i="5"/>
  <c r="BC339" i="5"/>
  <c r="BD141" i="5"/>
  <c r="BC141" i="5"/>
  <c r="BC486" i="5"/>
  <c r="BD486" i="5"/>
  <c r="BC351" i="5"/>
  <c r="BD351" i="5"/>
  <c r="BD373" i="5"/>
  <c r="BC373" i="5"/>
  <c r="BC154" i="5"/>
  <c r="BD154" i="5"/>
  <c r="BD504" i="5"/>
  <c r="BC504" i="5"/>
  <c r="BD45" i="5"/>
  <c r="BC45" i="5"/>
  <c r="BC433" i="5"/>
  <c r="BD433" i="5"/>
  <c r="BC200" i="5"/>
  <c r="BD200" i="5"/>
  <c r="BD109" i="5"/>
  <c r="BC109" i="5"/>
  <c r="BC149" i="5"/>
  <c r="BD149" i="5"/>
  <c r="BC85" i="5"/>
  <c r="BD85" i="5"/>
  <c r="BD471" i="5"/>
  <c r="BC471" i="5"/>
  <c r="BC132" i="5"/>
  <c r="BD132" i="5"/>
  <c r="BD553" i="5"/>
  <c r="BC553" i="5"/>
  <c r="BC415" i="5"/>
  <c r="BD415" i="5"/>
  <c r="BC43" i="5"/>
  <c r="BD43" i="5"/>
  <c r="BD490" i="5"/>
  <c r="BC490" i="5"/>
  <c r="BD500" i="5"/>
  <c r="BC500" i="5"/>
  <c r="BC310" i="5"/>
  <c r="BD310" i="5"/>
  <c r="BC432" i="5"/>
  <c r="BD432" i="5"/>
  <c r="BC457" i="5"/>
  <c r="BD457" i="5"/>
  <c r="BD536" i="5"/>
  <c r="BC536" i="5"/>
  <c r="BD143" i="5"/>
  <c r="BC143" i="5"/>
  <c r="BC69" i="5"/>
  <c r="BD69" i="5"/>
  <c r="BC54" i="5"/>
  <c r="BD54" i="5"/>
  <c r="BD106" i="5"/>
  <c r="BC106" i="5"/>
  <c r="BC429" i="5"/>
  <c r="BD429" i="5"/>
  <c r="BC62" i="5"/>
  <c r="BD62" i="5"/>
  <c r="BC323" i="5"/>
  <c r="BD323" i="5"/>
  <c r="BD518" i="5"/>
  <c r="BC518" i="5"/>
  <c r="BC442" i="5"/>
  <c r="BD442" i="5"/>
  <c r="BC202" i="5"/>
  <c r="BD202" i="5"/>
  <c r="BC302" i="5"/>
  <c r="BD302" i="5"/>
  <c r="BD96" i="5"/>
  <c r="BC96" i="5"/>
  <c r="BD272" i="5"/>
  <c r="BC272" i="5"/>
  <c r="BD335" i="5"/>
  <c r="BC335" i="5"/>
  <c r="BC520" i="5"/>
  <c r="BD520" i="5"/>
  <c r="BC549" i="5"/>
  <c r="BD549" i="5"/>
  <c r="BC410" i="5"/>
  <c r="BD410" i="5"/>
  <c r="BC237" i="5"/>
  <c r="BD237" i="5"/>
  <c r="BD525" i="5"/>
  <c r="BC525" i="5"/>
  <c r="BC512" i="5"/>
  <c r="BD512" i="5"/>
  <c r="BD119" i="5"/>
  <c r="BC119" i="5"/>
  <c r="BC292" i="5"/>
  <c r="BD292" i="5"/>
  <c r="BD20" i="5"/>
  <c r="BC20" i="5"/>
  <c r="BD307" i="5"/>
  <c r="BC307" i="5"/>
  <c r="BD377" i="5"/>
  <c r="BC377" i="5"/>
  <c r="BC510" i="5"/>
  <c r="BD510" i="5"/>
  <c r="BC502" i="5"/>
  <c r="BD502" i="5"/>
  <c r="BD538" i="5"/>
  <c r="BC538" i="5"/>
  <c r="BD221" i="5"/>
  <c r="BC221" i="5"/>
  <c r="BD437" i="5"/>
  <c r="BC437" i="5"/>
  <c r="BC52" i="5"/>
  <c r="BD52" i="5"/>
  <c r="BD32" i="5"/>
  <c r="BC32" i="5"/>
  <c r="BD265" i="5"/>
  <c r="BC265" i="5"/>
  <c r="BC488" i="5"/>
  <c r="BD488" i="5"/>
  <c r="BD501" i="5"/>
  <c r="BC501" i="5"/>
  <c r="BC34" i="5"/>
  <c r="BD34" i="5"/>
  <c r="BD229" i="5"/>
  <c r="BC229" i="5"/>
  <c r="BC482" i="5"/>
  <c r="BD482" i="5"/>
  <c r="BC245" i="5"/>
  <c r="BD245" i="5"/>
  <c r="BD551" i="5"/>
  <c r="BC551" i="5"/>
  <c r="BD217" i="5"/>
  <c r="BC217" i="5"/>
  <c r="BC244" i="5"/>
  <c r="BD244" i="5"/>
  <c r="BD28" i="5"/>
  <c r="BC28" i="5"/>
  <c r="BD451" i="5"/>
  <c r="BC451" i="5"/>
  <c r="BC499" i="5"/>
  <c r="BD499" i="5"/>
  <c r="BD122" i="5"/>
  <c r="BC122" i="5"/>
  <c r="BD276" i="5"/>
  <c r="BC276" i="5"/>
  <c r="BD219" i="5"/>
  <c r="BC219" i="5"/>
  <c r="BD26" i="5"/>
  <c r="BC26" i="5"/>
  <c r="BC192" i="5"/>
  <c r="BD192" i="5"/>
  <c r="BD236" i="5"/>
  <c r="BC236" i="5"/>
  <c r="BD264" i="5"/>
  <c r="BC264" i="5"/>
  <c r="BD550" i="5"/>
  <c r="BC550" i="5"/>
  <c r="BC370" i="5"/>
  <c r="BD370" i="5"/>
  <c r="BC299" i="5"/>
  <c r="BD299" i="5"/>
  <c r="BD411" i="5"/>
  <c r="BC411" i="5"/>
  <c r="BD290" i="5"/>
  <c r="BC290" i="5"/>
  <c r="BC178" i="5"/>
  <c r="BD178" i="5"/>
  <c r="BD322" i="5"/>
  <c r="BC322" i="5"/>
  <c r="BD101" i="5"/>
  <c r="BC101" i="5"/>
  <c r="BD55" i="5"/>
  <c r="BC55" i="5"/>
  <c r="BD68" i="5"/>
  <c r="BC68" i="5"/>
  <c r="BD98" i="5"/>
  <c r="BC98" i="5"/>
  <c r="BD206" i="5"/>
  <c r="BC206" i="5"/>
  <c r="BC420" i="5"/>
  <c r="BD420" i="5"/>
  <c r="BD409" i="5"/>
  <c r="BC409" i="5"/>
  <c r="BC463" i="5"/>
  <c r="BD463" i="5"/>
  <c r="BD557" i="5"/>
  <c r="BC557" i="5"/>
  <c r="BC435" i="5"/>
  <c r="BD435" i="5"/>
  <c r="BD458" i="5"/>
  <c r="BC458" i="5"/>
  <c r="BC539" i="5"/>
  <c r="BD539" i="5"/>
  <c r="BD158" i="5"/>
  <c r="BC158" i="5"/>
  <c r="BD99" i="5"/>
  <c r="BC99" i="5"/>
  <c r="BC38" i="5"/>
  <c r="BD38" i="5"/>
  <c r="BD79" i="5"/>
  <c r="BC79" i="5"/>
  <c r="BC555" i="5"/>
  <c r="BD555" i="5"/>
  <c r="BD61" i="5"/>
  <c r="BC61" i="5"/>
  <c r="BD207" i="5"/>
  <c r="BC207" i="5"/>
  <c r="BD367" i="5"/>
  <c r="BC367" i="5"/>
  <c r="BC313" i="5"/>
  <c r="BD313" i="5"/>
  <c r="BD120" i="5"/>
  <c r="BC120" i="5"/>
  <c r="BD48" i="5"/>
  <c r="BC48" i="5"/>
  <c r="BD175" i="5"/>
  <c r="BC175" i="5"/>
  <c r="BD159" i="5"/>
  <c r="BC159" i="5"/>
  <c r="BC485" i="5"/>
  <c r="BD485" i="5"/>
  <c r="BD117" i="5"/>
  <c r="BC117" i="5"/>
  <c r="BD303" i="5"/>
  <c r="BC303" i="5"/>
  <c r="BC71" i="5"/>
  <c r="BD71" i="5"/>
  <c r="BD535" i="5"/>
  <c r="BC535" i="5"/>
  <c r="BC446" i="5"/>
  <c r="BD446" i="5"/>
  <c r="BD103" i="5"/>
  <c r="BC103" i="5"/>
  <c r="BD450" i="5"/>
  <c r="BC450" i="5"/>
  <c r="BC76" i="5"/>
  <c r="BD76" i="5"/>
  <c r="BC94" i="5"/>
  <c r="BD94" i="5"/>
  <c r="BD516" i="5"/>
  <c r="BC516" i="5"/>
  <c r="BD519" i="5"/>
  <c r="BC519" i="5"/>
  <c r="BD198" i="5"/>
  <c r="BC198" i="5"/>
  <c r="BD505" i="5"/>
  <c r="BC505" i="5"/>
  <c r="BC194" i="5"/>
  <c r="BD194" i="5"/>
  <c r="BD226" i="5"/>
  <c r="BC226" i="5"/>
  <c r="BC176" i="5"/>
  <c r="BD176" i="5"/>
  <c r="BD118" i="5"/>
  <c r="BC118" i="5"/>
  <c r="BD493" i="5"/>
  <c r="BC493" i="5"/>
  <c r="BC179" i="5"/>
  <c r="BD179" i="5"/>
  <c r="BC473" i="5"/>
  <c r="BD473" i="5"/>
  <c r="BD459" i="5"/>
  <c r="BC459" i="5"/>
  <c r="BD285" i="5"/>
  <c r="BC285" i="5"/>
  <c r="BC469" i="5"/>
  <c r="BD469" i="5"/>
  <c r="BC390" i="5"/>
  <c r="BD390" i="5"/>
  <c r="BD537" i="5"/>
  <c r="BC537" i="5"/>
  <c r="BC189" i="5"/>
  <c r="BD189" i="5"/>
  <c r="BD59" i="5"/>
  <c r="BC59" i="5"/>
  <c r="BC489" i="5"/>
  <c r="BD489" i="5"/>
  <c r="BD381" i="5"/>
  <c r="BC381" i="5"/>
  <c r="BC199" i="5"/>
  <c r="BD199" i="5"/>
  <c r="BD274" i="5"/>
  <c r="BC274" i="5"/>
  <c r="BD201" i="5"/>
  <c r="BC201" i="5"/>
  <c r="BD214" i="5"/>
  <c r="BC214" i="5"/>
  <c r="BD509" i="5"/>
  <c r="BC509" i="5"/>
  <c r="BC151" i="5"/>
  <c r="BD151" i="5"/>
  <c r="BD39" i="5"/>
  <c r="BC39" i="5"/>
  <c r="BC311" i="5"/>
  <c r="BD311" i="5"/>
  <c r="BC93" i="5"/>
  <c r="BD93" i="5"/>
  <c r="BD386" i="5"/>
  <c r="BC386" i="5"/>
  <c r="BC455" i="5"/>
  <c r="BD455" i="5"/>
  <c r="BD532" i="5"/>
  <c r="BC532" i="5"/>
  <c r="BC467" i="5"/>
  <c r="BD467" i="5"/>
  <c r="BD267" i="5"/>
  <c r="BC267" i="5"/>
  <c r="BD275" i="5"/>
  <c r="BC275" i="5"/>
  <c r="BC87" i="5"/>
  <c r="BD87" i="5"/>
  <c r="BC41" i="5"/>
  <c r="BD41" i="5"/>
  <c r="BC506" i="5"/>
  <c r="BD506" i="5"/>
  <c r="BC260" i="5"/>
  <c r="BD260" i="5"/>
  <c r="BC436" i="5"/>
  <c r="BD436" i="5"/>
  <c r="BC427" i="5"/>
  <c r="BD427" i="5"/>
  <c r="BC174" i="5"/>
  <c r="BD174" i="5"/>
  <c r="BC356" i="5"/>
  <c r="BD356" i="5"/>
  <c r="BD81" i="5"/>
  <c r="BC81" i="5"/>
  <c r="BC383" i="5"/>
  <c r="BD383" i="5"/>
  <c r="BD89" i="5"/>
  <c r="BC89" i="5"/>
  <c r="BD281" i="5"/>
  <c r="BC281" i="5"/>
  <c r="BC340" i="5"/>
  <c r="BD340" i="5"/>
  <c r="BD123" i="5"/>
  <c r="BC123" i="5"/>
  <c r="BD157" i="5"/>
  <c r="BC157" i="5"/>
  <c r="BD416" i="5"/>
  <c r="BC416" i="5"/>
  <c r="BC25" i="5"/>
  <c r="BD25" i="5"/>
  <c r="BD270" i="5"/>
  <c r="BC270" i="5"/>
  <c r="BD382" i="5"/>
  <c r="BC382" i="5"/>
  <c r="BD333" i="5"/>
  <c r="BC333" i="5"/>
  <c r="BD127" i="5"/>
  <c r="BC127" i="5"/>
  <c r="BC56" i="5"/>
  <c r="BD56" i="5"/>
  <c r="BD130" i="5"/>
  <c r="BC130" i="5"/>
  <c r="BC82" i="5"/>
  <c r="BD82" i="5"/>
  <c r="BC444" i="5"/>
  <c r="BD444" i="5"/>
  <c r="BD114" i="5"/>
  <c r="BC114" i="5"/>
  <c r="BC398" i="5"/>
  <c r="BD398" i="5"/>
  <c r="BC347" i="5"/>
  <c r="BD347" i="5"/>
  <c r="BC348" i="5"/>
  <c r="BD348" i="5"/>
  <c r="BD376" i="5"/>
  <c r="BC376" i="5"/>
  <c r="BD337" i="5"/>
  <c r="BC337" i="5"/>
  <c r="BD65" i="5"/>
  <c r="BC65" i="5"/>
  <c r="BC220" i="5"/>
  <c r="BD220" i="5"/>
  <c r="BD186" i="5"/>
  <c r="BC186" i="5"/>
  <c r="BC314" i="5"/>
  <c r="BD314" i="5"/>
  <c r="BC395" i="5"/>
  <c r="BD395" i="5"/>
  <c r="BC169" i="5"/>
  <c r="BD169" i="5"/>
  <c r="BD428" i="5"/>
  <c r="BC428" i="5"/>
  <c r="BD454" i="5"/>
  <c r="BC454" i="5"/>
  <c r="BC533" i="5"/>
  <c r="BD533" i="5"/>
  <c r="BD135" i="5"/>
  <c r="BC135" i="5"/>
  <c r="BC97" i="5"/>
  <c r="BD97" i="5"/>
  <c r="BC105" i="5"/>
  <c r="BD105" i="5"/>
  <c r="BD24" i="5"/>
  <c r="BC24" i="5"/>
  <c r="BC494" i="5"/>
  <c r="BD494" i="5"/>
  <c r="BC170" i="5"/>
  <c r="BD170" i="5"/>
  <c r="BC291" i="5"/>
  <c r="BD291" i="5"/>
  <c r="BC480" i="5"/>
  <c r="BD480" i="5"/>
  <c r="BC401" i="5"/>
  <c r="BD401" i="5"/>
  <c r="BD184" i="5"/>
  <c r="BC184" i="5"/>
  <c r="BD278" i="5"/>
  <c r="BC278" i="5"/>
  <c r="BD35" i="5"/>
  <c r="BC35" i="5"/>
  <c r="BD343" i="5"/>
  <c r="BC343" i="5"/>
  <c r="BC374" i="5"/>
  <c r="BD374" i="5"/>
  <c r="BC548" i="5"/>
  <c r="BD548" i="5"/>
  <c r="BC559" i="5"/>
  <c r="BD559" i="5"/>
  <c r="BD508" i="5"/>
  <c r="BC508" i="5"/>
  <c r="BD487" i="5"/>
  <c r="BC487" i="5"/>
  <c r="BC422" i="5"/>
  <c r="BD422" i="5"/>
  <c r="BD95" i="5"/>
  <c r="BC95" i="5"/>
  <c r="BD144" i="5"/>
  <c r="BC144" i="5"/>
  <c r="BD70" i="5"/>
  <c r="BC70" i="5"/>
  <c r="BC121" i="5"/>
  <c r="BD121" i="5"/>
  <c r="BD531" i="5"/>
  <c r="BC531" i="5"/>
  <c r="BD352" i="5"/>
  <c r="BC352" i="5"/>
  <c r="BD238" i="5"/>
  <c r="BC238" i="5"/>
  <c r="BC475" i="5"/>
  <c r="BD475" i="5"/>
  <c r="BD498" i="5"/>
  <c r="BC498" i="5"/>
  <c r="BD193" i="5"/>
  <c r="BC193" i="5"/>
  <c r="BD165" i="5"/>
  <c r="BC165" i="5"/>
  <c r="BD492" i="5"/>
  <c r="BC492" i="5"/>
  <c r="BD92" i="5"/>
  <c r="BC92" i="5"/>
  <c r="BD53" i="5"/>
  <c r="BC53" i="5"/>
  <c r="BC554" i="5"/>
  <c r="BD554" i="5"/>
  <c r="BD530" i="5"/>
  <c r="BC530" i="5"/>
  <c r="BD49" i="5"/>
  <c r="BC49" i="5"/>
  <c r="BD227" i="5"/>
  <c r="BC227" i="5"/>
  <c r="BC474" i="5"/>
  <c r="BD474" i="5"/>
  <c r="BC222" i="5"/>
  <c r="BD222" i="5"/>
  <c r="BD405" i="5"/>
  <c r="BC405" i="5"/>
  <c r="BC326" i="5"/>
  <c r="BD326" i="5"/>
  <c r="BC255" i="5"/>
  <c r="BD255" i="5"/>
  <c r="BD37" i="5"/>
  <c r="BC37" i="5"/>
  <c r="BC453" i="5"/>
  <c r="BD453" i="5"/>
  <c r="BC507" i="5"/>
  <c r="BD507" i="5"/>
  <c r="BC72" i="5"/>
  <c r="BD72" i="5"/>
  <c r="AX13" i="5"/>
  <c r="AW13" i="5"/>
  <c r="BA13" i="5"/>
  <c r="AZ13" i="5"/>
  <c r="AU13" i="5"/>
  <c r="AT13" i="5"/>
  <c r="B191" i="3"/>
  <c r="I76" i="2" s="1"/>
  <c r="G183" i="3"/>
  <c r="B54" i="5" l="1"/>
  <c r="B117" i="3" l="1"/>
  <c r="B115" i="3"/>
  <c r="B42" i="5" l="1"/>
  <c r="B141" i="3"/>
  <c r="B70" i="5"/>
  <c r="AI440" i="5" s="1"/>
  <c r="AR13" i="5"/>
  <c r="BB13" i="5" s="1"/>
  <c r="AR11" i="5"/>
  <c r="AR10" i="5"/>
  <c r="AR7" i="5"/>
  <c r="BB7" i="5" s="1"/>
  <c r="AR9" i="5"/>
  <c r="AR8" i="5"/>
  <c r="BB8" i="5" s="1"/>
  <c r="AR12" i="5"/>
  <c r="BB12" i="5" s="1"/>
  <c r="B123" i="3"/>
  <c r="B101" i="3"/>
  <c r="B24" i="5" s="1"/>
  <c r="B26" i="5" s="1"/>
  <c r="B47" i="5" s="1"/>
  <c r="B98" i="3"/>
  <c r="B87" i="3"/>
  <c r="B82" i="3"/>
  <c r="B43" i="3"/>
  <c r="B42" i="3"/>
  <c r="O15" i="8" s="1"/>
  <c r="B40" i="3"/>
  <c r="AI418" i="5" l="1"/>
  <c r="AI447" i="5"/>
  <c r="AI553" i="5"/>
  <c r="AI501" i="5"/>
  <c r="AI518" i="5"/>
  <c r="AI507" i="5"/>
  <c r="AJ507" i="5" s="1"/>
  <c r="AI413" i="5"/>
  <c r="AJ413" i="5" s="1"/>
  <c r="AI7" i="5"/>
  <c r="AK7" i="5" s="1"/>
  <c r="AI539" i="5"/>
  <c r="AI551" i="5"/>
  <c r="AI486" i="5"/>
  <c r="AI470" i="5"/>
  <c r="AI530" i="5"/>
  <c r="AI490" i="5"/>
  <c r="AI557" i="5"/>
  <c r="AJ557" i="5" s="1"/>
  <c r="AI484" i="5"/>
  <c r="AK484" i="5" s="1"/>
  <c r="AI295" i="5"/>
  <c r="AJ295" i="5" s="1"/>
  <c r="AI307" i="5"/>
  <c r="AJ307" i="5" s="1"/>
  <c r="AI260" i="5"/>
  <c r="AJ260" i="5" s="1"/>
  <c r="AI524" i="5"/>
  <c r="AI527" i="5"/>
  <c r="AI263" i="5"/>
  <c r="AJ263" i="5" s="1"/>
  <c r="AI13" i="5"/>
  <c r="AK13" i="5" s="1"/>
  <c r="AI542" i="5"/>
  <c r="AK542" i="5" s="1"/>
  <c r="AI446" i="5"/>
  <c r="AJ446" i="5" s="1"/>
  <c r="AI499" i="5"/>
  <c r="AK499" i="5" s="1"/>
  <c r="AI466" i="5"/>
  <c r="AJ466" i="5" s="1"/>
  <c r="AI472" i="5"/>
  <c r="AI460" i="5"/>
  <c r="AI410" i="5"/>
  <c r="AI521" i="5"/>
  <c r="AJ521" i="5" s="1"/>
  <c r="AI435" i="5"/>
  <c r="AJ435" i="5" s="1"/>
  <c r="AI444" i="5"/>
  <c r="AK444" i="5" s="1"/>
  <c r="AI438" i="5"/>
  <c r="AJ438" i="5" s="1"/>
  <c r="AI334" i="5"/>
  <c r="AK334" i="5" s="1"/>
  <c r="AI516" i="5"/>
  <c r="AI204" i="5"/>
  <c r="AI284" i="5"/>
  <c r="AJ284" i="5" s="1"/>
  <c r="AI306" i="5"/>
  <c r="AJ306" i="5" s="1"/>
  <c r="AI237" i="5"/>
  <c r="AK237" i="5" s="1"/>
  <c r="AI469" i="5"/>
  <c r="AK469" i="5" s="1"/>
  <c r="AI379" i="5"/>
  <c r="AK379" i="5" s="1"/>
  <c r="AI465" i="5"/>
  <c r="AK465" i="5" s="1"/>
  <c r="AI497" i="5"/>
  <c r="AI362" i="5"/>
  <c r="AI203" i="5"/>
  <c r="AI559" i="5"/>
  <c r="AK559" i="5" s="1"/>
  <c r="AI408" i="5"/>
  <c r="AK408" i="5" s="1"/>
  <c r="AI526" i="5"/>
  <c r="AK526" i="5" s="1"/>
  <c r="AI452" i="5"/>
  <c r="AK452" i="5" s="1"/>
  <c r="AI514" i="5"/>
  <c r="AJ514" i="5" s="1"/>
  <c r="AI351" i="5"/>
  <c r="AI545" i="5"/>
  <c r="AI342" i="5"/>
  <c r="AJ342" i="5" s="1"/>
  <c r="AI451" i="5"/>
  <c r="AK451" i="5" s="1"/>
  <c r="AI423" i="5"/>
  <c r="AK423" i="5" s="1"/>
  <c r="AI482" i="5"/>
  <c r="AJ482" i="5" s="1"/>
  <c r="AI322" i="5"/>
  <c r="AJ322" i="5" s="1"/>
  <c r="AI377" i="5"/>
  <c r="AK377" i="5" s="1"/>
  <c r="AI548" i="5"/>
  <c r="AI396" i="5"/>
  <c r="AI519" i="5"/>
  <c r="AK519" i="5" s="1"/>
  <c r="AI330" i="5"/>
  <c r="AK330" i="5" s="1"/>
  <c r="AI478" i="5"/>
  <c r="AK478" i="5" s="1"/>
  <c r="AI255" i="5"/>
  <c r="AK255" i="5" s="1"/>
  <c r="AI533" i="5"/>
  <c r="AK533" i="5" s="1"/>
  <c r="AI289" i="5"/>
  <c r="AK289" i="5" s="1"/>
  <c r="AI433" i="5"/>
  <c r="AI387" i="5"/>
  <c r="AI431" i="5"/>
  <c r="AJ431" i="5" s="1"/>
  <c r="AI312" i="5"/>
  <c r="AK312" i="5" s="1"/>
  <c r="AI303" i="5"/>
  <c r="AK303" i="5" s="1"/>
  <c r="AI374" i="5"/>
  <c r="AK374" i="5" s="1"/>
  <c r="AI283" i="5"/>
  <c r="AK283" i="5" s="1"/>
  <c r="AI513" i="5"/>
  <c r="AJ513" i="5" s="1"/>
  <c r="AI426" i="5"/>
  <c r="AI300" i="5"/>
  <c r="AI12" i="5"/>
  <c r="AK12" i="5" s="1"/>
  <c r="AI493" i="5"/>
  <c r="AK493" i="5" s="1"/>
  <c r="AI480" i="5"/>
  <c r="AK480" i="5" s="1"/>
  <c r="AI495" i="5"/>
  <c r="AJ495" i="5" s="1"/>
  <c r="AI464" i="5"/>
  <c r="AK464" i="5" s="1"/>
  <c r="AI474" i="5"/>
  <c r="AK474" i="5" s="1"/>
  <c r="AI180" i="5"/>
  <c r="AI503" i="5"/>
  <c r="AI554" i="5"/>
  <c r="AK554" i="5" s="1"/>
  <c r="AI316" i="5"/>
  <c r="AK316" i="5" s="1"/>
  <c r="AI346" i="5"/>
  <c r="AJ346" i="5" s="1"/>
  <c r="AI419" i="5"/>
  <c r="AK419" i="5" s="1"/>
  <c r="AI371" i="5"/>
  <c r="AK371" i="5" s="1"/>
  <c r="AI219" i="5"/>
  <c r="AK219" i="5" s="1"/>
  <c r="AI385" i="5"/>
  <c r="AI8" i="5"/>
  <c r="AK8" i="5" s="1"/>
  <c r="AI488" i="5"/>
  <c r="AK488" i="5" s="1"/>
  <c r="AI456" i="5"/>
  <c r="AK456" i="5" s="1"/>
  <c r="AI463" i="5"/>
  <c r="AK463" i="5" s="1"/>
  <c r="AI537" i="5"/>
  <c r="AJ537" i="5" s="1"/>
  <c r="AI461" i="5"/>
  <c r="AK461" i="5" s="1"/>
  <c r="AI77" i="5"/>
  <c r="AJ77" i="5" s="1"/>
  <c r="AI496" i="5"/>
  <c r="AI510" i="5"/>
  <c r="AI520" i="5"/>
  <c r="AK520" i="5" s="1"/>
  <c r="AI531" i="5"/>
  <c r="AK531" i="5" s="1"/>
  <c r="AI297" i="5"/>
  <c r="AJ297" i="5" s="1"/>
  <c r="AI339" i="5"/>
  <c r="AJ339" i="5" s="1"/>
  <c r="AI91" i="5"/>
  <c r="AK91" i="5" s="1"/>
  <c r="AI81" i="5"/>
  <c r="AK81" i="5" s="1"/>
  <c r="AI340" i="5"/>
  <c r="AI273" i="5"/>
  <c r="AI244" i="5"/>
  <c r="AJ244" i="5" s="1"/>
  <c r="AI27" i="5"/>
  <c r="AK27" i="5" s="1"/>
  <c r="AI235" i="5"/>
  <c r="AJ235" i="5" s="1"/>
  <c r="AI105" i="5"/>
  <c r="AK105" i="5" s="1"/>
  <c r="AI82" i="5"/>
  <c r="AK82" i="5" s="1"/>
  <c r="AI415" i="5"/>
  <c r="AK415" i="5" s="1"/>
  <c r="AI432" i="5"/>
  <c r="AI476" i="5"/>
  <c r="AI310" i="5"/>
  <c r="AJ310" i="5" s="1"/>
  <c r="AI467" i="5"/>
  <c r="AJ467" i="5" s="1"/>
  <c r="AI124" i="5"/>
  <c r="AJ124" i="5" s="1"/>
  <c r="AI293" i="5"/>
  <c r="AK293" i="5" s="1"/>
  <c r="AI369" i="5"/>
  <c r="AK369" i="5" s="1"/>
  <c r="AI141" i="5"/>
  <c r="AJ141" i="5" s="1"/>
  <c r="AI164" i="5"/>
  <c r="AI471" i="5"/>
  <c r="AI538" i="5"/>
  <c r="AJ538" i="5" s="1"/>
  <c r="AI459" i="5"/>
  <c r="AK459" i="5" s="1"/>
  <c r="AI43" i="5"/>
  <c r="AK43" i="5" s="1"/>
  <c r="AI185" i="5"/>
  <c r="AK185" i="5" s="1"/>
  <c r="AI323" i="5"/>
  <c r="AJ323" i="5" s="1"/>
  <c r="AI78" i="5"/>
  <c r="AK78" i="5" s="1"/>
  <c r="AI109" i="5"/>
  <c r="AI558" i="5"/>
  <c r="AI412" i="5"/>
  <c r="AJ412" i="5" s="1"/>
  <c r="AI481" i="5"/>
  <c r="AK481" i="5" s="1"/>
  <c r="AI534" i="5"/>
  <c r="AK534" i="5" s="1"/>
  <c r="AI448" i="5"/>
  <c r="AK448" i="5" s="1"/>
  <c r="AI424" i="5"/>
  <c r="AJ424" i="5" s="1"/>
  <c r="AI32" i="5"/>
  <c r="AJ32" i="5" s="1"/>
  <c r="AI264" i="5"/>
  <c r="AI391" i="5"/>
  <c r="AI140" i="5"/>
  <c r="AJ140" i="5" s="1"/>
  <c r="AI492" i="5"/>
  <c r="AK492" i="5" s="1"/>
  <c r="AI407" i="5"/>
  <c r="AJ407" i="5" s="1"/>
  <c r="AI399" i="5"/>
  <c r="AK399" i="5" s="1"/>
  <c r="AI292" i="5"/>
  <c r="AJ292" i="5" s="1"/>
  <c r="AI279" i="5"/>
  <c r="AK279" i="5" s="1"/>
  <c r="AI269" i="5"/>
  <c r="AI315" i="5"/>
  <c r="AJ315" i="5" s="1"/>
  <c r="AI138" i="5"/>
  <c r="AJ138" i="5" s="1"/>
  <c r="AI443" i="5"/>
  <c r="AJ443" i="5" s="1"/>
  <c r="AI154" i="5"/>
  <c r="AK154" i="5" s="1"/>
  <c r="AI318" i="5"/>
  <c r="AK318" i="5" s="1"/>
  <c r="AI380" i="5"/>
  <c r="AK380" i="5" s="1"/>
  <c r="AI281" i="5"/>
  <c r="AK281" i="5" s="1"/>
  <c r="AI243" i="5"/>
  <c r="AI178" i="5"/>
  <c r="AI291" i="5"/>
  <c r="AK291" i="5" s="1"/>
  <c r="AI161" i="5"/>
  <c r="AK161" i="5" s="1"/>
  <c r="AI314" i="5"/>
  <c r="AK314" i="5" s="1"/>
  <c r="AI136" i="5"/>
  <c r="AJ136" i="5" s="1"/>
  <c r="AI257" i="5"/>
  <c r="AJ257" i="5" s="1"/>
  <c r="AI354" i="5"/>
  <c r="AK354" i="5" s="1"/>
  <c r="AI393" i="5"/>
  <c r="AI276" i="5"/>
  <c r="AI88" i="5"/>
  <c r="AK88" i="5" s="1"/>
  <c r="AI429" i="5"/>
  <c r="AK429" i="5" s="1"/>
  <c r="AI287" i="5"/>
  <c r="AJ287" i="5" s="1"/>
  <c r="AI222" i="5"/>
  <c r="AJ222" i="5" s="1"/>
  <c r="AI249" i="5"/>
  <c r="AJ249" i="5" s="1"/>
  <c r="AI170" i="5"/>
  <c r="AK170" i="5" s="1"/>
  <c r="AI79" i="5"/>
  <c r="AI69" i="5"/>
  <c r="AI97" i="5"/>
  <c r="AJ97" i="5" s="1"/>
  <c r="AI162" i="5"/>
  <c r="AK162" i="5" s="1"/>
  <c r="AI364" i="5"/>
  <c r="AK364" i="5" s="1"/>
  <c r="AI383" i="5"/>
  <c r="AK383" i="5" s="1"/>
  <c r="AI236" i="5"/>
  <c r="AJ236" i="5" s="1"/>
  <c r="AI253" i="5"/>
  <c r="AK253" i="5" s="1"/>
  <c r="AI395" i="5"/>
  <c r="AI256" i="5"/>
  <c r="AI59" i="5"/>
  <c r="AJ59" i="5" s="1"/>
  <c r="AI357" i="5"/>
  <c r="AK357" i="5" s="1"/>
  <c r="AI271" i="5"/>
  <c r="AK271" i="5" s="1"/>
  <c r="AI211" i="5"/>
  <c r="AJ211" i="5" s="1"/>
  <c r="AI251" i="5"/>
  <c r="AK251" i="5" s="1"/>
  <c r="AI158" i="5"/>
  <c r="AJ158" i="5" s="1"/>
  <c r="AI130" i="5"/>
  <c r="AI21" i="5"/>
  <c r="AK21" i="5" s="1"/>
  <c r="AI194" i="5"/>
  <c r="AK194" i="5" s="1"/>
  <c r="AI28" i="5"/>
  <c r="AK28" i="5" s="1"/>
  <c r="AI37" i="5"/>
  <c r="AK37" i="5" s="1"/>
  <c r="AI355" i="5"/>
  <c r="AK355" i="5" s="1"/>
  <c r="AI311" i="5"/>
  <c r="AK311" i="5" s="1"/>
  <c r="AI216" i="5"/>
  <c r="AK216" i="5" s="1"/>
  <c r="AI261" i="5"/>
  <c r="AI386" i="5"/>
  <c r="AJ386" i="5" s="1"/>
  <c r="AI247" i="5"/>
  <c r="AK247" i="5" s="1"/>
  <c r="AI76" i="5"/>
  <c r="AK76" i="5" s="1"/>
  <c r="AI326" i="5"/>
  <c r="AJ326" i="5" s="1"/>
  <c r="AI183" i="5"/>
  <c r="AK183" i="5" s="1"/>
  <c r="AI128" i="5"/>
  <c r="AJ128" i="5" s="1"/>
  <c r="AI201" i="5"/>
  <c r="AJ201" i="5" s="1"/>
  <c r="AI75" i="5"/>
  <c r="AK75" i="5" s="1"/>
  <c r="AI74" i="5"/>
  <c r="AK74" i="5" s="1"/>
  <c r="AI22" i="5"/>
  <c r="AJ22" i="5" s="1"/>
  <c r="AI119" i="5"/>
  <c r="AJ119" i="5" s="1"/>
  <c r="AI225" i="5"/>
  <c r="AK225" i="5" s="1"/>
  <c r="AI195" i="5"/>
  <c r="AJ195" i="5" s="1"/>
  <c r="AI338" i="5"/>
  <c r="AK338" i="5" s="1"/>
  <c r="AI200" i="5"/>
  <c r="AK200" i="5" s="1"/>
  <c r="AI133" i="5"/>
  <c r="AI335" i="5"/>
  <c r="AK335" i="5" s="1"/>
  <c r="AI132" i="5"/>
  <c r="AK132" i="5" s="1"/>
  <c r="AI116" i="5"/>
  <c r="AK116" i="5" s="1"/>
  <c r="AI177" i="5"/>
  <c r="AJ177" i="5" s="1"/>
  <c r="AI242" i="5"/>
  <c r="AJ242" i="5" s="1"/>
  <c r="AI190" i="5"/>
  <c r="AJ190" i="5" s="1"/>
  <c r="AI73" i="5"/>
  <c r="AK73" i="5" s="1"/>
  <c r="AI159" i="5"/>
  <c r="AJ159" i="5" s="1"/>
  <c r="AI186" i="5"/>
  <c r="AJ186" i="5" s="1"/>
  <c r="AI146" i="5"/>
  <c r="AK146" i="5" s="1"/>
  <c r="AI331" i="5"/>
  <c r="AK331" i="5" s="1"/>
  <c r="AI223" i="5"/>
  <c r="AK223" i="5" s="1"/>
  <c r="AI421" i="5"/>
  <c r="AK421" i="5" s="1"/>
  <c r="AI359" i="5"/>
  <c r="AJ359" i="5" s="1"/>
  <c r="AI118" i="5"/>
  <c r="AJ118" i="5" s="1"/>
  <c r="AI90" i="5"/>
  <c r="AI207" i="5"/>
  <c r="AJ207" i="5" s="1"/>
  <c r="AI67" i="5"/>
  <c r="AK67" i="5" s="1"/>
  <c r="AI220" i="5"/>
  <c r="AJ220" i="5" s="1"/>
  <c r="AI33" i="5"/>
  <c r="AK33" i="5" s="1"/>
  <c r="AI229" i="5"/>
  <c r="AJ229" i="5" s="1"/>
  <c r="AI267" i="5"/>
  <c r="AK267" i="5" s="1"/>
  <c r="AI402" i="5"/>
  <c r="AK402" i="5" s="1"/>
  <c r="AI328" i="5"/>
  <c r="AK328" i="5" s="1"/>
  <c r="AI285" i="5"/>
  <c r="AK285" i="5" s="1"/>
  <c r="AI98" i="5"/>
  <c r="AJ98" i="5" s="1"/>
  <c r="AI137" i="5"/>
  <c r="AJ137" i="5" s="1"/>
  <c r="AI319" i="5"/>
  <c r="AK319" i="5" s="1"/>
  <c r="AI196" i="5"/>
  <c r="AK196" i="5" s="1"/>
  <c r="AI381" i="5"/>
  <c r="AJ381" i="5" s="1"/>
  <c r="AI308" i="5"/>
  <c r="AJ308" i="5" s="1"/>
  <c r="AI29" i="5"/>
  <c r="AJ29" i="5" s="1"/>
  <c r="AI45" i="5"/>
  <c r="AK45" i="5" s="1"/>
  <c r="AI199" i="5"/>
  <c r="AK199" i="5" s="1"/>
  <c r="AI19" i="5"/>
  <c r="AK19" i="5" s="1"/>
  <c r="AI166" i="5"/>
  <c r="AJ166" i="5" s="1"/>
  <c r="AI55" i="5"/>
  <c r="AK55" i="5" s="1"/>
  <c r="AI53" i="5"/>
  <c r="AK53" i="5" s="1"/>
  <c r="AI61" i="5"/>
  <c r="AJ61" i="5" s="1"/>
  <c r="AI121" i="5"/>
  <c r="AK121" i="5" s="1"/>
  <c r="AI169" i="5"/>
  <c r="AK169" i="5" s="1"/>
  <c r="AI107" i="5"/>
  <c r="AJ107" i="5" s="1"/>
  <c r="AI25" i="5"/>
  <c r="AJ25" i="5" s="1"/>
  <c r="AI80" i="5"/>
  <c r="AJ80" i="5" s="1"/>
  <c r="AI71" i="5"/>
  <c r="AK71" i="5" s="1"/>
  <c r="AI173" i="5"/>
  <c r="AJ173" i="5" s="1"/>
  <c r="AI441" i="5"/>
  <c r="AJ441" i="5" s="1"/>
  <c r="AI156" i="5"/>
  <c r="AJ156" i="5" s="1"/>
  <c r="AI102" i="5"/>
  <c r="AK102" i="5" s="1"/>
  <c r="AI115" i="5"/>
  <c r="AJ115" i="5" s="1"/>
  <c r="AI93" i="5"/>
  <c r="AK93" i="5" s="1"/>
  <c r="AI85" i="5"/>
  <c r="AJ85" i="5" s="1"/>
  <c r="AI299" i="5"/>
  <c r="AJ299" i="5" s="1"/>
  <c r="AI215" i="5"/>
  <c r="AK215" i="5" s="1"/>
  <c r="AI259" i="5"/>
  <c r="AK259" i="5" s="1"/>
  <c r="AI304" i="5"/>
  <c r="AJ304" i="5" s="1"/>
  <c r="AI129" i="5"/>
  <c r="AK129" i="5" s="1"/>
  <c r="AI23" i="5"/>
  <c r="AK23" i="5" s="1"/>
  <c r="AI64" i="5"/>
  <c r="AJ64" i="5" s="1"/>
  <c r="AI143" i="5"/>
  <c r="AK143" i="5" s="1"/>
  <c r="AI280" i="5"/>
  <c r="AJ280" i="5" s="1"/>
  <c r="AI131" i="5"/>
  <c r="AK131" i="5" s="1"/>
  <c r="AI163" i="5"/>
  <c r="AK163" i="5" s="1"/>
  <c r="AI198" i="5"/>
  <c r="AJ198" i="5" s="1"/>
  <c r="AI265" i="5"/>
  <c r="AI104" i="5"/>
  <c r="AJ104" i="5" s="1"/>
  <c r="AI184" i="5"/>
  <c r="AK184" i="5" s="1"/>
  <c r="AI26" i="5"/>
  <c r="AJ26" i="5" s="1"/>
  <c r="AI49" i="5"/>
  <c r="AK49" i="5" s="1"/>
  <c r="AI99" i="5"/>
  <c r="AJ99" i="5" s="1"/>
  <c r="AI313" i="5"/>
  <c r="AK313" i="5" s="1"/>
  <c r="AI120" i="5"/>
  <c r="AJ120" i="5" s="1"/>
  <c r="AI174" i="5"/>
  <c r="AI252" i="5"/>
  <c r="AK252" i="5" s="1"/>
  <c r="AI24" i="5"/>
  <c r="AK24" i="5" s="1"/>
  <c r="AI38" i="5"/>
  <c r="AK38" i="5" s="1"/>
  <c r="AI30" i="5"/>
  <c r="AK30" i="5" s="1"/>
  <c r="AI65" i="5"/>
  <c r="AK65" i="5" s="1"/>
  <c r="AI103" i="5"/>
  <c r="AK103" i="5" s="1"/>
  <c r="AI153" i="5"/>
  <c r="AJ153" i="5" s="1"/>
  <c r="AI100" i="5"/>
  <c r="AK100" i="5" s="1"/>
  <c r="AI182" i="5"/>
  <c r="AJ182" i="5" s="1"/>
  <c r="AI228" i="5"/>
  <c r="AJ228" i="5" s="1"/>
  <c r="AI51" i="5"/>
  <c r="AK51" i="5" s="1"/>
  <c r="AI248" i="5"/>
  <c r="AK248" i="5" s="1"/>
  <c r="AI40" i="5"/>
  <c r="AJ40" i="5" s="1"/>
  <c r="AI206" i="5"/>
  <c r="AK206" i="5" s="1"/>
  <c r="AI142" i="5"/>
  <c r="AJ142" i="5" s="1"/>
  <c r="AI92" i="5"/>
  <c r="AI254" i="5"/>
  <c r="AJ254" i="5" s="1"/>
  <c r="AI294" i="5"/>
  <c r="AK294" i="5" s="1"/>
  <c r="AI36" i="5"/>
  <c r="AJ36" i="5" s="1"/>
  <c r="AI232" i="5"/>
  <c r="AK232" i="5" s="1"/>
  <c r="AI504" i="5"/>
  <c r="AJ504" i="5" s="1"/>
  <c r="AI39" i="5"/>
  <c r="AJ39" i="5" s="1"/>
  <c r="AI302" i="5"/>
  <c r="AK302" i="5" s="1"/>
  <c r="AI214" i="5"/>
  <c r="AI35" i="5"/>
  <c r="AJ35" i="5" s="1"/>
  <c r="AI240" i="5"/>
  <c r="AK240" i="5" s="1"/>
  <c r="AI83" i="5"/>
  <c r="AJ83" i="5" s="1"/>
  <c r="AI227" i="5"/>
  <c r="AK227" i="5" s="1"/>
  <c r="AI112" i="5"/>
  <c r="AK112" i="5" s="1"/>
  <c r="AI101" i="5"/>
  <c r="AK101" i="5" s="1"/>
  <c r="AI398" i="5"/>
  <c r="AJ398" i="5" s="1"/>
  <c r="AI68" i="5"/>
  <c r="AJ68" i="5" s="1"/>
  <c r="AI47" i="5"/>
  <c r="AK47" i="5" s="1"/>
  <c r="AI94" i="5"/>
  <c r="AJ94" i="5" s="1"/>
  <c r="AI48" i="5"/>
  <c r="AJ48" i="5" s="1"/>
  <c r="AI110" i="5"/>
  <c r="AK110" i="5" s="1"/>
  <c r="AI160" i="5"/>
  <c r="AK160" i="5" s="1"/>
  <c r="AI113" i="5"/>
  <c r="AK113" i="5" s="1"/>
  <c r="AI239" i="5"/>
  <c r="AJ239" i="5" s="1"/>
  <c r="AI187" i="5"/>
  <c r="AI231" i="5"/>
  <c r="AJ231" i="5" s="1"/>
  <c r="AI106" i="5"/>
  <c r="AJ106" i="5" s="1"/>
  <c r="AI145" i="5"/>
  <c r="AJ145" i="5" s="1"/>
  <c r="AI96" i="5"/>
  <c r="AK96" i="5" s="1"/>
  <c r="AI217" i="5"/>
  <c r="AK217" i="5" s="1"/>
  <c r="AI126" i="5"/>
  <c r="AK126" i="5" s="1"/>
  <c r="AI72" i="5"/>
  <c r="AK72" i="5" s="1"/>
  <c r="AI246" i="5"/>
  <c r="AK246" i="5" s="1"/>
  <c r="AI31" i="5"/>
  <c r="AK31" i="5" s="1"/>
  <c r="AI63" i="5"/>
  <c r="AJ63" i="5" s="1"/>
  <c r="AI50" i="5"/>
  <c r="AJ50" i="5" s="1"/>
  <c r="AI84" i="5"/>
  <c r="AK84" i="5" s="1"/>
  <c r="AI122" i="5"/>
  <c r="AK122" i="5" s="1"/>
  <c r="AI157" i="5"/>
  <c r="AK157" i="5" s="1"/>
  <c r="AI286" i="5"/>
  <c r="AJ286" i="5" s="1"/>
  <c r="AI57" i="5"/>
  <c r="AK57" i="5" s="1"/>
  <c r="AI288" i="5"/>
  <c r="AJ288" i="5" s="1"/>
  <c r="AI114" i="5"/>
  <c r="AK114" i="5" s="1"/>
  <c r="AI87" i="5"/>
  <c r="AJ87" i="5" s="1"/>
  <c r="AI238" i="5"/>
  <c r="AJ238" i="5" s="1"/>
  <c r="AI332" i="5"/>
  <c r="AJ332" i="5" s="1"/>
  <c r="AI176" i="5"/>
  <c r="AK176" i="5" s="1"/>
  <c r="AI305" i="5"/>
  <c r="AK305" i="5" s="1"/>
  <c r="AI212" i="5"/>
  <c r="AK212" i="5" s="1"/>
  <c r="AI34" i="5"/>
  <c r="AK34" i="5" s="1"/>
  <c r="AI58" i="5"/>
  <c r="AJ58" i="5" s="1"/>
  <c r="AI416" i="5"/>
  <c r="AJ416" i="5" s="1"/>
  <c r="AI321" i="5"/>
  <c r="AK321" i="5" s="1"/>
  <c r="AI221" i="5"/>
  <c r="AJ221" i="5" s="1"/>
  <c r="AI56" i="5"/>
  <c r="AJ56" i="5" s="1"/>
  <c r="AI401" i="5"/>
  <c r="AK401" i="5" s="1"/>
  <c r="AI205" i="5"/>
  <c r="AI329" i="5"/>
  <c r="AJ329" i="5" s="1"/>
  <c r="AI268" i="5"/>
  <c r="AJ268" i="5" s="1"/>
  <c r="AI86" i="5"/>
  <c r="AK86" i="5" s="1"/>
  <c r="AI20" i="5"/>
  <c r="AJ20" i="5" s="1"/>
  <c r="AI66" i="5"/>
  <c r="AJ66" i="5" s="1"/>
  <c r="AI111" i="5"/>
  <c r="AK111" i="5" s="1"/>
  <c r="AI46" i="5"/>
  <c r="AJ46" i="5" s="1"/>
  <c r="AI458" i="5"/>
  <c r="AK458" i="5" s="1"/>
  <c r="AI44" i="5"/>
  <c r="AK44" i="5" s="1"/>
  <c r="AI135" i="5"/>
  <c r="AK135" i="5" s="1"/>
  <c r="AI258" i="5"/>
  <c r="AJ258" i="5" s="1"/>
  <c r="AI208" i="5"/>
  <c r="AK208" i="5" s="1"/>
  <c r="AI437" i="5"/>
  <c r="AJ437" i="5" s="1"/>
  <c r="AI41" i="5"/>
  <c r="AK41" i="5" s="1"/>
  <c r="AI70" i="5"/>
  <c r="AJ70" i="5" s="1"/>
  <c r="AI193" i="5"/>
  <c r="AJ193" i="5" s="1"/>
  <c r="AI54" i="5"/>
  <c r="AJ54" i="5" s="1"/>
  <c r="AI213" i="5"/>
  <c r="AK213" i="5" s="1"/>
  <c r="AI52" i="5"/>
  <c r="AJ52" i="5" s="1"/>
  <c r="AI144" i="5"/>
  <c r="AK144" i="5" s="1"/>
  <c r="AI277" i="5"/>
  <c r="AK277" i="5" s="1"/>
  <c r="AI278" i="5"/>
  <c r="AK278" i="5" s="1"/>
  <c r="AI165" i="5"/>
  <c r="AJ165" i="5" s="1"/>
  <c r="AI108" i="5"/>
  <c r="AK108" i="5" s="1"/>
  <c r="AI42" i="5"/>
  <c r="AJ42" i="5" s="1"/>
  <c r="AI89" i="5"/>
  <c r="AJ89" i="5" s="1"/>
  <c r="AI250" i="5"/>
  <c r="AK250" i="5" s="1"/>
  <c r="AI62" i="5"/>
  <c r="AJ62" i="5" s="1"/>
  <c r="AI95" i="5"/>
  <c r="AJ95" i="5" s="1"/>
  <c r="AI60" i="5"/>
  <c r="AK60" i="5" s="1"/>
  <c r="AI151" i="5"/>
  <c r="AJ151" i="5" s="1"/>
  <c r="AI282" i="5"/>
  <c r="AJ282" i="5" s="1"/>
  <c r="AI345" i="5"/>
  <c r="AJ345" i="5" s="1"/>
  <c r="AI172" i="5"/>
  <c r="AK172" i="5" s="1"/>
  <c r="AI296" i="5"/>
  <c r="AK296" i="5" s="1"/>
  <c r="AI139" i="5"/>
  <c r="AK139" i="5" s="1"/>
  <c r="AI218" i="5"/>
  <c r="AK218" i="5" s="1"/>
  <c r="AI324" i="5"/>
  <c r="AK324" i="5" s="1"/>
  <c r="AI233" i="5"/>
  <c r="AK233" i="5" s="1"/>
  <c r="AI179" i="5"/>
  <c r="AJ179" i="5" s="1"/>
  <c r="AI320" i="5"/>
  <c r="AK320" i="5" s="1"/>
  <c r="AI148" i="5"/>
  <c r="AK148" i="5" s="1"/>
  <c r="AI224" i="5"/>
  <c r="AK224" i="5" s="1"/>
  <c r="AI382" i="5"/>
  <c r="AJ382" i="5" s="1"/>
  <c r="AI376" i="5"/>
  <c r="AK376" i="5" s="1"/>
  <c r="AI192" i="5"/>
  <c r="AK192" i="5" s="1"/>
  <c r="AI327" i="5"/>
  <c r="AK327" i="5" s="1"/>
  <c r="AI152" i="5"/>
  <c r="AK152" i="5" s="1"/>
  <c r="AI226" i="5"/>
  <c r="AK226" i="5" s="1"/>
  <c r="AI400" i="5"/>
  <c r="AJ400" i="5" s="1"/>
  <c r="AI317" i="5"/>
  <c r="AJ317" i="5" s="1"/>
  <c r="AI274" i="5"/>
  <c r="AJ274" i="5" s="1"/>
  <c r="AI234" i="5"/>
  <c r="AK234" i="5" s="1"/>
  <c r="AI406" i="5"/>
  <c r="AJ406" i="5" s="1"/>
  <c r="AI175" i="5"/>
  <c r="AJ175" i="5" s="1"/>
  <c r="AI272" i="5"/>
  <c r="AJ272" i="5" s="1"/>
  <c r="AI439" i="5"/>
  <c r="AK439" i="5" s="1"/>
  <c r="AI555" i="5"/>
  <c r="AK555" i="5" s="1"/>
  <c r="AI325" i="5"/>
  <c r="AK325" i="5" s="1"/>
  <c r="AI262" i="5"/>
  <c r="AJ262" i="5" s="1"/>
  <c r="AI449" i="5"/>
  <c r="AJ449" i="5" s="1"/>
  <c r="AI202" i="5"/>
  <c r="AK202" i="5" s="1"/>
  <c r="AI298" i="5"/>
  <c r="AK298" i="5" s="1"/>
  <c r="AI525" i="5"/>
  <c r="AJ525" i="5" s="1"/>
  <c r="AI550" i="5"/>
  <c r="AK550" i="5" s="1"/>
  <c r="AI270" i="5"/>
  <c r="AK270" i="5" s="1"/>
  <c r="AI117" i="5"/>
  <c r="AK117" i="5" s="1"/>
  <c r="AI210" i="5"/>
  <c r="AK210" i="5" s="1"/>
  <c r="AI301" i="5"/>
  <c r="AJ301" i="5" s="1"/>
  <c r="AI134" i="5"/>
  <c r="AK134" i="5" s="1"/>
  <c r="AI149" i="5"/>
  <c r="AJ149" i="5" s="1"/>
  <c r="AI275" i="5"/>
  <c r="AK275" i="5" s="1"/>
  <c r="AI123" i="5"/>
  <c r="AJ123" i="5" s="1"/>
  <c r="AI358" i="5"/>
  <c r="AK358" i="5" s="1"/>
  <c r="AI150" i="5"/>
  <c r="AK150" i="5" s="1"/>
  <c r="AI290" i="5"/>
  <c r="AK290" i="5" s="1"/>
  <c r="AI147" i="5"/>
  <c r="AJ147" i="5" s="1"/>
  <c r="AI436" i="5"/>
  <c r="AK436" i="5" s="1"/>
  <c r="AI155" i="5"/>
  <c r="AJ155" i="5" s="1"/>
  <c r="AI309" i="5"/>
  <c r="AK309" i="5" s="1"/>
  <c r="AI266" i="5"/>
  <c r="AJ266" i="5" s="1"/>
  <c r="AI363" i="5"/>
  <c r="AK363" i="5" s="1"/>
  <c r="AI167" i="5"/>
  <c r="AJ167" i="5" s="1"/>
  <c r="AI188" i="5"/>
  <c r="AK188" i="5" s="1"/>
  <c r="AI414" i="5"/>
  <c r="AJ414" i="5" s="1"/>
  <c r="AI372" i="5"/>
  <c r="AK372" i="5" s="1"/>
  <c r="AI168" i="5"/>
  <c r="AJ168" i="5" s="1"/>
  <c r="AI191" i="5"/>
  <c r="AK191" i="5" s="1"/>
  <c r="AI556" i="5"/>
  <c r="AJ556" i="5" s="1"/>
  <c r="AI389" i="5"/>
  <c r="AJ389" i="5" s="1"/>
  <c r="AI189" i="5"/>
  <c r="AK189" i="5" s="1"/>
  <c r="AI230" i="5"/>
  <c r="AK230" i="5" s="1"/>
  <c r="AI353" i="5"/>
  <c r="AK353" i="5" s="1"/>
  <c r="AI181" i="5"/>
  <c r="AJ181" i="5" s="1"/>
  <c r="AI125" i="5"/>
  <c r="AJ125" i="5" s="1"/>
  <c r="AI349" i="5"/>
  <c r="AK349" i="5" s="1"/>
  <c r="AI390" i="5"/>
  <c r="AK390" i="5" s="1"/>
  <c r="AI494" i="5"/>
  <c r="AJ494" i="5" s="1"/>
  <c r="AI411" i="5"/>
  <c r="AJ411" i="5" s="1"/>
  <c r="AI127" i="5"/>
  <c r="AJ127" i="5" s="1"/>
  <c r="AI361" i="5"/>
  <c r="AK361" i="5" s="1"/>
  <c r="AI475" i="5"/>
  <c r="AK475" i="5" s="1"/>
  <c r="AI529" i="5"/>
  <c r="AK529" i="5" s="1"/>
  <c r="AI540" i="5"/>
  <c r="AK540" i="5" s="1"/>
  <c r="AI197" i="5"/>
  <c r="AJ197" i="5" s="1"/>
  <c r="AI171" i="5"/>
  <c r="AK171" i="5" s="1"/>
  <c r="AI479" i="5"/>
  <c r="AJ479" i="5" s="1"/>
  <c r="AI405" i="5"/>
  <c r="AJ405" i="5" s="1"/>
  <c r="AI384" i="5"/>
  <c r="AK384" i="5" s="1"/>
  <c r="AI442" i="5"/>
  <c r="AK442" i="5" s="1"/>
  <c r="AI209" i="5"/>
  <c r="AK209" i="5" s="1"/>
  <c r="AI509" i="5"/>
  <c r="AK509" i="5" s="1"/>
  <c r="AI457" i="5"/>
  <c r="AK457" i="5" s="1"/>
  <c r="AI487" i="5"/>
  <c r="AJ487" i="5" s="1"/>
  <c r="AI511" i="5"/>
  <c r="AK511" i="5" s="1"/>
  <c r="AI241" i="5"/>
  <c r="AK241" i="5" s="1"/>
  <c r="AI245" i="5"/>
  <c r="AK245" i="5" s="1"/>
  <c r="AI552" i="5"/>
  <c r="AK552" i="5" s="1"/>
  <c r="AI541" i="5"/>
  <c r="AJ541" i="5" s="1"/>
  <c r="AI505" i="5"/>
  <c r="AJ505" i="5" s="1"/>
  <c r="AI422" i="5"/>
  <c r="AJ422" i="5" s="1"/>
  <c r="AI341" i="5"/>
  <c r="AK341" i="5" s="1"/>
  <c r="AI517" i="5"/>
  <c r="AK517" i="5" s="1"/>
  <c r="AI420" i="5"/>
  <c r="AK420" i="5" s="1"/>
  <c r="AI337" i="5"/>
  <c r="AJ337" i="5" s="1"/>
  <c r="AI462" i="5"/>
  <c r="AK462" i="5" s="1"/>
  <c r="AI536" i="5"/>
  <c r="AK536" i="5" s="1"/>
  <c r="AI403" i="5"/>
  <c r="AK403" i="5" s="1"/>
  <c r="AI515" i="5"/>
  <c r="AK515" i="5" s="1"/>
  <c r="AI394" i="5"/>
  <c r="AK394" i="5" s="1"/>
  <c r="AI547" i="5"/>
  <c r="AJ547" i="5" s="1"/>
  <c r="AI454" i="5"/>
  <c r="AJ454" i="5" s="1"/>
  <c r="AI453" i="5"/>
  <c r="AK453" i="5" s="1"/>
  <c r="AI344" i="5"/>
  <c r="AK344" i="5" s="1"/>
  <c r="AI546" i="5"/>
  <c r="AJ546" i="5" s="1"/>
  <c r="AI434" i="5"/>
  <c r="AK434" i="5" s="1"/>
  <c r="AI343" i="5"/>
  <c r="AK343" i="5" s="1"/>
  <c r="AI468" i="5"/>
  <c r="AK468" i="5" s="1"/>
  <c r="AI336" i="5"/>
  <c r="AK336" i="5" s="1"/>
  <c r="AI428" i="5"/>
  <c r="AK428" i="5" s="1"/>
  <c r="AI522" i="5"/>
  <c r="AK522" i="5" s="1"/>
  <c r="AI397" i="5"/>
  <c r="AJ397" i="5" s="1"/>
  <c r="AI356" i="5"/>
  <c r="AK356" i="5" s="1"/>
  <c r="AI455" i="5"/>
  <c r="AK455" i="5" s="1"/>
  <c r="AI549" i="5"/>
  <c r="AK549" i="5" s="1"/>
  <c r="AI450" i="5"/>
  <c r="AJ450" i="5" s="1"/>
  <c r="AI352" i="5"/>
  <c r="AJ352" i="5" s="1"/>
  <c r="AI473" i="5"/>
  <c r="AK473" i="5" s="1"/>
  <c r="AI360" i="5"/>
  <c r="AJ360" i="5" s="1"/>
  <c r="AI483" i="5"/>
  <c r="AJ483" i="5" s="1"/>
  <c r="AI543" i="5"/>
  <c r="AJ543" i="5" s="1"/>
  <c r="AI409" i="5"/>
  <c r="AK409" i="5" s="1"/>
  <c r="AI370" i="5"/>
  <c r="AJ370" i="5" s="1"/>
  <c r="AI485" i="5"/>
  <c r="AK485" i="5" s="1"/>
  <c r="AI347" i="5"/>
  <c r="AK347" i="5" s="1"/>
  <c r="AI528" i="5"/>
  <c r="AK528" i="5" s="1"/>
  <c r="AI417" i="5"/>
  <c r="AK417" i="5" s="1"/>
  <c r="AI365" i="5"/>
  <c r="AK365" i="5" s="1"/>
  <c r="AI508" i="5"/>
  <c r="AJ508" i="5" s="1"/>
  <c r="AI366" i="5"/>
  <c r="AK366" i="5" s="1"/>
  <c r="AI498" i="5"/>
  <c r="AJ498" i="5" s="1"/>
  <c r="AI367" i="5"/>
  <c r="AJ367" i="5" s="1"/>
  <c r="AI489" i="5"/>
  <c r="AJ489" i="5" s="1"/>
  <c r="AI333" i="5"/>
  <c r="AK333" i="5" s="1"/>
  <c r="AI477" i="5"/>
  <c r="AK477" i="5" s="1"/>
  <c r="AI425" i="5"/>
  <c r="AK425" i="5" s="1"/>
  <c r="AI560" i="5"/>
  <c r="AK560" i="5" s="1"/>
  <c r="AI350" i="5"/>
  <c r="AK350" i="5" s="1"/>
  <c r="AI544" i="5"/>
  <c r="AK544" i="5" s="1"/>
  <c r="AI430" i="5"/>
  <c r="AJ430" i="5" s="1"/>
  <c r="AI378" i="5"/>
  <c r="AJ378" i="5" s="1"/>
  <c r="AI532" i="5"/>
  <c r="AK532" i="5" s="1"/>
  <c r="AI388" i="5"/>
  <c r="AJ388" i="5" s="1"/>
  <c r="AI512" i="5"/>
  <c r="AJ512" i="5" s="1"/>
  <c r="AI373" i="5"/>
  <c r="AK373" i="5" s="1"/>
  <c r="AI491" i="5"/>
  <c r="AJ491" i="5" s="1"/>
  <c r="AI348" i="5"/>
  <c r="AK348" i="5" s="1"/>
  <c r="AI500" i="5"/>
  <c r="AK500" i="5" s="1"/>
  <c r="AI427" i="5"/>
  <c r="AK427" i="5" s="1"/>
  <c r="B71" i="5"/>
  <c r="AI445" i="5"/>
  <c r="AJ445" i="5" s="1"/>
  <c r="AI404" i="5"/>
  <c r="AJ404" i="5" s="1"/>
  <c r="AI535" i="5"/>
  <c r="AK535" i="5" s="1"/>
  <c r="AI392" i="5"/>
  <c r="AJ392" i="5" s="1"/>
  <c r="AI523" i="5"/>
  <c r="AJ523" i="5" s="1"/>
  <c r="AI375" i="5"/>
  <c r="AK375" i="5" s="1"/>
  <c r="AI502" i="5"/>
  <c r="AK502" i="5" s="1"/>
  <c r="AI368" i="5"/>
  <c r="AJ368" i="5" s="1"/>
  <c r="AI506" i="5"/>
  <c r="AK506" i="5" s="1"/>
  <c r="N10" i="5"/>
  <c r="O15" i="6"/>
  <c r="AK472" i="5"/>
  <c r="AJ472" i="5"/>
  <c r="AK460" i="5"/>
  <c r="AJ460" i="5"/>
  <c r="AK486" i="5"/>
  <c r="AJ486" i="5"/>
  <c r="AK204" i="5"/>
  <c r="AJ204" i="5"/>
  <c r="AJ276" i="5"/>
  <c r="AK276" i="5"/>
  <c r="AK130" i="5"/>
  <c r="AJ130" i="5"/>
  <c r="AJ169" i="5"/>
  <c r="AK440" i="5"/>
  <c r="AJ440" i="5"/>
  <c r="AK530" i="5"/>
  <c r="AJ530" i="5"/>
  <c r="AJ558" i="5"/>
  <c r="AK558" i="5"/>
  <c r="AK393" i="5"/>
  <c r="AJ393" i="5"/>
  <c r="AJ45" i="5"/>
  <c r="AJ109" i="5"/>
  <c r="AK109" i="5"/>
  <c r="AJ102" i="5"/>
  <c r="AK551" i="5"/>
  <c r="AJ551" i="5"/>
  <c r="AK553" i="5"/>
  <c r="AJ553" i="5"/>
  <c r="AJ527" i="5"/>
  <c r="AK527" i="5"/>
  <c r="AJ410" i="5"/>
  <c r="AK410" i="5"/>
  <c r="AJ510" i="5"/>
  <c r="AK510" i="5"/>
  <c r="AJ395" i="5"/>
  <c r="AK395" i="5"/>
  <c r="AJ256" i="5"/>
  <c r="AK256" i="5"/>
  <c r="AK207" i="5"/>
  <c r="AK120" i="5"/>
  <c r="AJ79" i="5"/>
  <c r="AK79" i="5"/>
  <c r="AK265" i="5"/>
  <c r="AJ265" i="5"/>
  <c r="AJ458" i="5"/>
  <c r="AK505" i="5"/>
  <c r="AJ518" i="5"/>
  <c r="AK518" i="5"/>
  <c r="AK269" i="5"/>
  <c r="AJ269" i="5"/>
  <c r="AK69" i="5"/>
  <c r="AJ69" i="5"/>
  <c r="AJ403" i="5"/>
  <c r="AK351" i="5"/>
  <c r="AJ351" i="5"/>
  <c r="AK545" i="5"/>
  <c r="AJ545" i="5"/>
  <c r="AJ470" i="5"/>
  <c r="AK470" i="5"/>
  <c r="AJ387" i="5"/>
  <c r="AK387" i="5"/>
  <c r="AJ516" i="5"/>
  <c r="AK516" i="5"/>
  <c r="AJ300" i="5"/>
  <c r="AK300" i="5"/>
  <c r="AK261" i="5"/>
  <c r="AJ261" i="5"/>
  <c r="AK386" i="5"/>
  <c r="AK92" i="5"/>
  <c r="AJ92" i="5"/>
  <c r="AJ108" i="5"/>
  <c r="AK179" i="5"/>
  <c r="AJ309" i="5"/>
  <c r="AJ447" i="5"/>
  <c r="AK447" i="5"/>
  <c r="AK315" i="5"/>
  <c r="AK548" i="5"/>
  <c r="AJ548" i="5"/>
  <c r="AJ396" i="5"/>
  <c r="AK396" i="5"/>
  <c r="AJ490" i="5"/>
  <c r="AK490" i="5"/>
  <c r="AK501" i="5"/>
  <c r="AJ501" i="5"/>
  <c r="AK385" i="5"/>
  <c r="AJ385" i="5"/>
  <c r="AK497" i="5"/>
  <c r="AJ497" i="5"/>
  <c r="AK426" i="5"/>
  <c r="AJ426" i="5"/>
  <c r="AK340" i="5"/>
  <c r="AJ340" i="5"/>
  <c r="AJ133" i="5"/>
  <c r="AK133" i="5"/>
  <c r="AJ335" i="5"/>
  <c r="AK164" i="5"/>
  <c r="AJ164" i="5"/>
  <c r="AK214" i="5"/>
  <c r="AJ214" i="5"/>
  <c r="AK68" i="5"/>
  <c r="AK418" i="5"/>
  <c r="AJ418" i="5"/>
  <c r="AK539" i="5"/>
  <c r="AJ539" i="5"/>
  <c r="AK178" i="5"/>
  <c r="AJ178" i="5"/>
  <c r="AK524" i="5"/>
  <c r="AJ524" i="5"/>
  <c r="AK507" i="5"/>
  <c r="AK263" i="5"/>
  <c r="AJ499" i="5"/>
  <c r="AK186" i="5"/>
  <c r="AK198" i="5"/>
  <c r="AJ74" i="5"/>
  <c r="AJ129" i="5"/>
  <c r="AJ349" i="5"/>
  <c r="AK180" i="5"/>
  <c r="AJ180" i="5"/>
  <c r="AK503" i="5"/>
  <c r="AJ503" i="5"/>
  <c r="AK432" i="5"/>
  <c r="AJ432" i="5"/>
  <c r="AK476" i="5"/>
  <c r="AJ476" i="5"/>
  <c r="AJ285" i="5"/>
  <c r="AK239" i="5"/>
  <c r="AJ187" i="5"/>
  <c r="AK187" i="5"/>
  <c r="AJ72" i="5"/>
  <c r="AJ246" i="5"/>
  <c r="AJ57" i="5"/>
  <c r="AK272" i="5"/>
  <c r="AJ203" i="5"/>
  <c r="AK203" i="5"/>
  <c r="AJ243" i="5"/>
  <c r="AK243" i="5"/>
  <c r="AJ121" i="5"/>
  <c r="AK193" i="5"/>
  <c r="AJ8" i="5"/>
  <c r="AJ496" i="5"/>
  <c r="AK496" i="5"/>
  <c r="AJ433" i="5"/>
  <c r="AK433" i="5"/>
  <c r="AK471" i="5"/>
  <c r="AJ471" i="5"/>
  <c r="AJ362" i="5"/>
  <c r="AK362" i="5"/>
  <c r="AK273" i="5"/>
  <c r="AJ273" i="5"/>
  <c r="AJ264" i="5"/>
  <c r="AK264" i="5"/>
  <c r="AK391" i="5"/>
  <c r="AJ391" i="5"/>
  <c r="AK90" i="5"/>
  <c r="AJ90" i="5"/>
  <c r="AK174" i="5"/>
  <c r="AJ174" i="5"/>
  <c r="AJ21" i="5"/>
  <c r="AJ401" i="5"/>
  <c r="AK205" i="5"/>
  <c r="AJ205" i="5"/>
  <c r="AK491" i="5"/>
  <c r="S392" i="5"/>
  <c r="S319" i="5"/>
  <c r="S194" i="5"/>
  <c r="S123" i="5"/>
  <c r="S38" i="5"/>
  <c r="S555" i="5"/>
  <c r="S475" i="5"/>
  <c r="S389" i="5"/>
  <c r="S370" i="5"/>
  <c r="S313" i="5"/>
  <c r="S258" i="5"/>
  <c r="S230" i="5"/>
  <c r="S172" i="5"/>
  <c r="S164" i="5"/>
  <c r="S152" i="5"/>
  <c r="S100" i="5"/>
  <c r="S89" i="5"/>
  <c r="S87" i="5"/>
  <c r="S57" i="5"/>
  <c r="S52" i="5"/>
  <c r="S50" i="5"/>
  <c r="S547" i="5"/>
  <c r="S479" i="5"/>
  <c r="S462" i="5"/>
  <c r="S375" i="5"/>
  <c r="S312" i="5"/>
  <c r="S246" i="5"/>
  <c r="S58" i="5"/>
  <c r="S34" i="5"/>
  <c r="S19" i="5"/>
  <c r="S560" i="5"/>
  <c r="S556" i="5"/>
  <c r="S536" i="5"/>
  <c r="S528" i="5"/>
  <c r="S526" i="5"/>
  <c r="S515" i="5"/>
  <c r="S509" i="5"/>
  <c r="S500" i="5"/>
  <c r="S496" i="5"/>
  <c r="S489" i="5"/>
  <c r="S442" i="5"/>
  <c r="S441" i="5"/>
  <c r="S420" i="5"/>
  <c r="S414" i="5"/>
  <c r="S381" i="5"/>
  <c r="S350" i="5"/>
  <c r="S337" i="5"/>
  <c r="S302" i="5"/>
  <c r="S291" i="5"/>
  <c r="S277" i="5"/>
  <c r="S269" i="5"/>
  <c r="S208" i="5"/>
  <c r="S149" i="5"/>
  <c r="S135" i="5"/>
  <c r="S127" i="5"/>
  <c r="S111" i="5"/>
  <c r="S106" i="5"/>
  <c r="S71" i="5"/>
  <c r="S63" i="5"/>
  <c r="S54" i="5"/>
  <c r="S39" i="5"/>
  <c r="S26" i="5"/>
  <c r="S329" i="5"/>
  <c r="S210" i="5"/>
  <c r="S60" i="5"/>
  <c r="S546" i="5"/>
  <c r="S525" i="5"/>
  <c r="S520" i="5"/>
  <c r="S468" i="5"/>
  <c r="S445" i="5"/>
  <c r="S428" i="5"/>
  <c r="S376" i="5"/>
  <c r="S361" i="5"/>
  <c r="S358" i="5"/>
  <c r="S341" i="5"/>
  <c r="S336" i="5"/>
  <c r="S325" i="5"/>
  <c r="S309" i="5"/>
  <c r="S294" i="5"/>
  <c r="S288" i="5"/>
  <c r="S266" i="5"/>
  <c r="S262" i="5"/>
  <c r="S261" i="5"/>
  <c r="S254" i="5"/>
  <c r="S252" i="5"/>
  <c r="S249" i="5"/>
  <c r="S218" i="5"/>
  <c r="S181" i="5"/>
  <c r="S173" i="5"/>
  <c r="S168" i="5"/>
  <c r="S133" i="5"/>
  <c r="S131" i="5"/>
  <c r="S108" i="5"/>
  <c r="S98" i="5"/>
  <c r="S91" i="5"/>
  <c r="S64" i="5"/>
  <c r="S49" i="5"/>
  <c r="S44" i="5"/>
  <c r="S42" i="5"/>
  <c r="S20" i="5"/>
  <c r="S552" i="5"/>
  <c r="S482" i="5"/>
  <c r="S457" i="5"/>
  <c r="S406" i="5"/>
  <c r="S250" i="5"/>
  <c r="S95" i="5"/>
  <c r="S65" i="5"/>
  <c r="S540" i="5"/>
  <c r="S503" i="5"/>
  <c r="S437" i="5"/>
  <c r="S434" i="5"/>
  <c r="S422" i="5"/>
  <c r="S394" i="5"/>
  <c r="S378" i="5"/>
  <c r="S333" i="5"/>
  <c r="S316" i="5"/>
  <c r="S299" i="5"/>
  <c r="S275" i="5"/>
  <c r="S270" i="5"/>
  <c r="S268" i="5"/>
  <c r="S221" i="5"/>
  <c r="S191" i="5"/>
  <c r="S160" i="5"/>
  <c r="S148" i="5"/>
  <c r="S144" i="5"/>
  <c r="S142" i="5"/>
  <c r="S125" i="5"/>
  <c r="S117" i="5"/>
  <c r="S103" i="5"/>
  <c r="S101" i="5"/>
  <c r="S80" i="5"/>
  <c r="S68" i="5"/>
  <c r="S55" i="5"/>
  <c r="S46" i="5"/>
  <c r="S28" i="5"/>
  <c r="S25" i="5"/>
  <c r="S22" i="5"/>
  <c r="S544" i="5"/>
  <c r="S541" i="5"/>
  <c r="S527" i="5"/>
  <c r="S512" i="5"/>
  <c r="S466" i="5"/>
  <c r="S454" i="5"/>
  <c r="S430" i="5"/>
  <c r="S425" i="5"/>
  <c r="S408" i="5"/>
  <c r="S405" i="5"/>
  <c r="S403" i="5"/>
  <c r="S400" i="5"/>
  <c r="S390" i="5"/>
  <c r="S366" i="5"/>
  <c r="S349" i="5"/>
  <c r="S321" i="5"/>
  <c r="S320" i="5"/>
  <c r="S317" i="5"/>
  <c r="S296" i="5"/>
  <c r="S243" i="5"/>
  <c r="S235" i="5"/>
  <c r="S232" i="5"/>
  <c r="S212" i="5"/>
  <c r="S197" i="5"/>
  <c r="S192" i="5"/>
  <c r="S179" i="5"/>
  <c r="S163" i="5"/>
  <c r="S159" i="5"/>
  <c r="S143" i="5"/>
  <c r="S118" i="5"/>
  <c r="S102" i="5"/>
  <c r="S85" i="5"/>
  <c r="S66" i="5"/>
  <c r="S56" i="5"/>
  <c r="S41" i="5"/>
  <c r="S33" i="5"/>
  <c r="S30" i="5"/>
  <c r="S498" i="5"/>
  <c r="S467" i="5"/>
  <c r="S448" i="5"/>
  <c r="S367" i="5"/>
  <c r="S308" i="5"/>
  <c r="S265" i="5"/>
  <c r="S84" i="5"/>
  <c r="S36" i="5"/>
  <c r="S534" i="5"/>
  <c r="S532" i="5"/>
  <c r="S529" i="5"/>
  <c r="S523" i="5"/>
  <c r="S517" i="5"/>
  <c r="S487" i="5"/>
  <c r="S486" i="5"/>
  <c r="S463" i="5"/>
  <c r="S458" i="5"/>
  <c r="S456" i="5"/>
  <c r="S450" i="5"/>
  <c r="S417" i="5"/>
  <c r="S409" i="5"/>
  <c r="S404" i="5"/>
  <c r="S382" i="5"/>
  <c r="S368" i="5"/>
  <c r="S365" i="5"/>
  <c r="S343" i="5"/>
  <c r="S327" i="5"/>
  <c r="S280" i="5"/>
  <c r="S278" i="5"/>
  <c r="S272" i="5"/>
  <c r="S260" i="5"/>
  <c r="S237" i="5"/>
  <c r="S233" i="5"/>
  <c r="S226" i="5"/>
  <c r="S224" i="5"/>
  <c r="S209" i="5"/>
  <c r="S205" i="5"/>
  <c r="S196" i="5"/>
  <c r="S184" i="5"/>
  <c r="S175" i="5"/>
  <c r="S171" i="5"/>
  <c r="S165" i="5"/>
  <c r="S139" i="5"/>
  <c r="S126" i="5"/>
  <c r="S94" i="5"/>
  <c r="S93" i="5"/>
  <c r="S86" i="5"/>
  <c r="S81" i="5"/>
  <c r="S47" i="5"/>
  <c r="S23" i="5"/>
  <c r="S550" i="5"/>
  <c r="S493" i="5"/>
  <c r="S398" i="5"/>
  <c r="S248" i="5"/>
  <c r="S119" i="5"/>
  <c r="S70" i="5"/>
  <c r="S31" i="5"/>
  <c r="S77" i="5"/>
  <c r="S67" i="5"/>
  <c r="S124" i="5"/>
  <c r="S104" i="5"/>
  <c r="S129" i="5"/>
  <c r="S146" i="5"/>
  <c r="S166" i="5"/>
  <c r="S145" i="5"/>
  <c r="S217" i="5"/>
  <c r="S190" i="5"/>
  <c r="S227" i="5"/>
  <c r="S328" i="5"/>
  <c r="S267" i="5"/>
  <c r="S281" i="5"/>
  <c r="S364" i="5"/>
  <c r="S369" i="5"/>
  <c r="S380" i="5"/>
  <c r="S410" i="5"/>
  <c r="S460" i="5"/>
  <c r="S485" i="5"/>
  <c r="S474" i="5"/>
  <c r="S492" i="5"/>
  <c r="S519" i="5"/>
  <c r="S549" i="5"/>
  <c r="S150" i="5"/>
  <c r="S204" i="5"/>
  <c r="S244" i="5"/>
  <c r="S415" i="5"/>
  <c r="S470" i="5"/>
  <c r="S21" i="5"/>
  <c r="S61" i="5"/>
  <c r="S216" i="5"/>
  <c r="S234" i="5"/>
  <c r="S502" i="5"/>
  <c r="S74" i="5"/>
  <c r="S75" i="5"/>
  <c r="S40" i="5"/>
  <c r="S43" i="5"/>
  <c r="S121" i="5"/>
  <c r="S137" i="5"/>
  <c r="S116" i="5"/>
  <c r="S134" i="5"/>
  <c r="S128" i="5"/>
  <c r="S161" i="5"/>
  <c r="S177" i="5"/>
  <c r="S188" i="5"/>
  <c r="S231" i="5"/>
  <c r="S263" i="5"/>
  <c r="S284" i="5"/>
  <c r="S335" i="5"/>
  <c r="S297" i="5"/>
  <c r="S354" i="5"/>
  <c r="S326" i="5"/>
  <c r="S314" i="5"/>
  <c r="S374" i="5"/>
  <c r="S379" i="5"/>
  <c r="S377" i="5"/>
  <c r="S411" i="5"/>
  <c r="S401" i="5"/>
  <c r="S413" i="5"/>
  <c r="S464" i="5"/>
  <c r="S438" i="5"/>
  <c r="S477" i="5"/>
  <c r="S497" i="5"/>
  <c r="S507" i="5"/>
  <c r="S521" i="5"/>
  <c r="S513" i="5"/>
  <c r="S531" i="5"/>
  <c r="S542" i="5"/>
  <c r="S554" i="5"/>
  <c r="S551" i="5"/>
  <c r="S79" i="5"/>
  <c r="S69" i="5"/>
  <c r="S92" i="5"/>
  <c r="S141" i="5"/>
  <c r="S120" i="5"/>
  <c r="S155" i="5"/>
  <c r="S220" i="5"/>
  <c r="S256" i="5"/>
  <c r="S292" i="5"/>
  <c r="S429" i="5"/>
  <c r="S418" i="5"/>
  <c r="S522" i="5"/>
  <c r="S548" i="5"/>
  <c r="S37" i="5"/>
  <c r="S24" i="5"/>
  <c r="S151" i="5"/>
  <c r="S211" i="5"/>
  <c r="S264" i="5"/>
  <c r="S90" i="5"/>
  <c r="S83" i="5"/>
  <c r="S113" i="5"/>
  <c r="S140" i="5"/>
  <c r="S130" i="5"/>
  <c r="S186" i="5"/>
  <c r="S153" i="5"/>
  <c r="S180" i="5"/>
  <c r="S178" i="5"/>
  <c r="S198" i="5"/>
  <c r="S201" i="5"/>
  <c r="S222" i="5"/>
  <c r="S259" i="5"/>
  <c r="S289" i="5"/>
  <c r="S300" i="5"/>
  <c r="S330" i="5"/>
  <c r="S339" i="5"/>
  <c r="S371" i="5"/>
  <c r="S399" i="5"/>
  <c r="S412" i="5"/>
  <c r="S431" i="5"/>
  <c r="S435" i="5"/>
  <c r="S439" i="5"/>
  <c r="S459" i="5"/>
  <c r="S469" i="5"/>
  <c r="S471" i="5"/>
  <c r="S504" i="5"/>
  <c r="S518" i="5"/>
  <c r="S537" i="5"/>
  <c r="S76" i="5"/>
  <c r="S59" i="5"/>
  <c r="S97" i="5"/>
  <c r="S122" i="5"/>
  <c r="S112" i="5"/>
  <c r="S174" i="5"/>
  <c r="S156" i="5"/>
  <c r="S183" i="5"/>
  <c r="S240" i="5"/>
  <c r="S228" i="5"/>
  <c r="S283" i="5"/>
  <c r="S279" i="5"/>
  <c r="S301" i="5"/>
  <c r="S307" i="5"/>
  <c r="S355" i="5"/>
  <c r="S303" i="5"/>
  <c r="S334" i="5"/>
  <c r="S346" i="5"/>
  <c r="S351" i="5"/>
  <c r="S363" i="5"/>
  <c r="S383" i="5"/>
  <c r="S386" i="5"/>
  <c r="S424" i="5"/>
  <c r="S447" i="5"/>
  <c r="S423" i="5"/>
  <c r="S416" i="5"/>
  <c r="S440" i="5"/>
  <c r="S480" i="5"/>
  <c r="S488" i="5"/>
  <c r="S494" i="5"/>
  <c r="S516" i="5"/>
  <c r="S514" i="5"/>
  <c r="S524" i="5"/>
  <c r="S533" i="5"/>
  <c r="S557" i="5"/>
  <c r="S78" i="5"/>
  <c r="S51" i="5"/>
  <c r="S187" i="5"/>
  <c r="S185" i="5"/>
  <c r="S215" i="5"/>
  <c r="S396" i="5"/>
  <c r="S29" i="5"/>
  <c r="S27" i="5"/>
  <c r="S138" i="5"/>
  <c r="S88" i="5"/>
  <c r="S35" i="5"/>
  <c r="S136" i="5"/>
  <c r="S158" i="5"/>
  <c r="S170" i="5"/>
  <c r="S147" i="5"/>
  <c r="S199" i="5"/>
  <c r="S223" i="5"/>
  <c r="S206" i="5"/>
  <c r="S242" i="5"/>
  <c r="S271" i="5"/>
  <c r="S253" i="5"/>
  <c r="S255" i="5"/>
  <c r="S273" i="5"/>
  <c r="S359" i="5"/>
  <c r="S323" i="5"/>
  <c r="S310" i="5"/>
  <c r="S332" i="5"/>
  <c r="S315" i="5"/>
  <c r="S311" i="5"/>
  <c r="S331" i="5"/>
  <c r="S352" i="5"/>
  <c r="S385" i="5"/>
  <c r="S395" i="5"/>
  <c r="S407" i="5"/>
  <c r="S387" i="5"/>
  <c r="S453" i="5"/>
  <c r="S490" i="5"/>
  <c r="S484" i="5"/>
  <c r="S476" i="5"/>
  <c r="S495" i="5"/>
  <c r="S501" i="5"/>
  <c r="S543" i="5"/>
  <c r="S107" i="5"/>
  <c r="S99" i="5"/>
  <c r="S109" i="5"/>
  <c r="S105" i="5"/>
  <c r="S132" i="5"/>
  <c r="S207" i="5"/>
  <c r="S203" i="5"/>
  <c r="S257" i="5"/>
  <c r="S340" i="5"/>
  <c r="S444" i="5"/>
  <c r="S510" i="5"/>
  <c r="S53" i="5"/>
  <c r="S114" i="5"/>
  <c r="S247" i="5"/>
  <c r="S96" i="5"/>
  <c r="S82" i="5"/>
  <c r="S72" i="5"/>
  <c r="S110" i="5"/>
  <c r="S167" i="5"/>
  <c r="S162" i="5"/>
  <c r="S154" i="5"/>
  <c r="S169" i="5"/>
  <c r="S195" i="5"/>
  <c r="S200" i="5"/>
  <c r="S219" i="5"/>
  <c r="S239" i="5"/>
  <c r="S287" i="5"/>
  <c r="S282" i="5"/>
  <c r="S295" i="5"/>
  <c r="S318" i="5"/>
  <c r="S342" i="5"/>
  <c r="S338" i="5"/>
  <c r="S347" i="5"/>
  <c r="S362" i="5"/>
  <c r="S402" i="5"/>
  <c r="S388" i="5"/>
  <c r="S426" i="5"/>
  <c r="S443" i="5"/>
  <c r="S451" i="5"/>
  <c r="S481" i="5"/>
  <c r="S530" i="5"/>
  <c r="S539" i="5"/>
  <c r="S558" i="5"/>
  <c r="S182" i="5"/>
  <c r="S193" i="5"/>
  <c r="S251" i="5"/>
  <c r="S285" i="5"/>
  <c r="S419" i="5"/>
  <c r="S452" i="5"/>
  <c r="S472" i="5"/>
  <c r="S45" i="5"/>
  <c r="S32" i="5"/>
  <c r="S225" i="5"/>
  <c r="S214" i="5"/>
  <c r="S393" i="5"/>
  <c r="S455" i="5"/>
  <c r="S535" i="5"/>
  <c r="S465" i="5"/>
  <c r="S391" i="5"/>
  <c r="S293" i="5"/>
  <c r="S446" i="5"/>
  <c r="S538" i="5"/>
  <c r="S559" i="5"/>
  <c r="S499" i="5"/>
  <c r="S322" i="5"/>
  <c r="S304" i="5"/>
  <c r="S357" i="5"/>
  <c r="S306" i="5"/>
  <c r="S511" i="5"/>
  <c r="S290" i="5"/>
  <c r="S421" i="5"/>
  <c r="S461" i="5"/>
  <c r="B23" i="5"/>
  <c r="B142" i="3"/>
  <c r="S7" i="5"/>
  <c r="BD12" i="5"/>
  <c r="BC12" i="5"/>
  <c r="BD7" i="5"/>
  <c r="BC7" i="5"/>
  <c r="BC8" i="5"/>
  <c r="BD8" i="5"/>
  <c r="BD13" i="5"/>
  <c r="BC13" i="5"/>
  <c r="S8" i="5"/>
  <c r="S13" i="5"/>
  <c r="S12" i="5"/>
  <c r="B21" i="5"/>
  <c r="J47" i="5"/>
  <c r="B124" i="3"/>
  <c r="B14" i="3"/>
  <c r="E43" i="1"/>
  <c r="B4" i="3"/>
  <c r="B5" i="3"/>
  <c r="B11" i="3"/>
  <c r="B3" i="3"/>
  <c r="AJ434" i="5" l="1"/>
  <c r="AJ366" i="5"/>
  <c r="AJ191" i="5"/>
  <c r="AJ152" i="5"/>
  <c r="AJ540" i="5"/>
  <c r="AK304" i="5"/>
  <c r="AK297" i="5"/>
  <c r="AJ480" i="5"/>
  <c r="AK346" i="5"/>
  <c r="AK286" i="5"/>
  <c r="AK156" i="5"/>
  <c r="AJ554" i="5"/>
  <c r="AJ488" i="5"/>
  <c r="AJ520" i="5"/>
  <c r="AK284" i="5"/>
  <c r="AJ23" i="5"/>
  <c r="AJ291" i="5"/>
  <c r="AK431" i="5"/>
  <c r="AJ509" i="5"/>
  <c r="AJ252" i="5"/>
  <c r="AK85" i="5"/>
  <c r="AJ212" i="5"/>
  <c r="AJ319" i="5"/>
  <c r="AJ33" i="5"/>
  <c r="AJ484" i="5"/>
  <c r="AJ43" i="5"/>
  <c r="AK525" i="5"/>
  <c r="AK235" i="5"/>
  <c r="AK400" i="5"/>
  <c r="AK310" i="5"/>
  <c r="AK97" i="5"/>
  <c r="AJ88" i="5"/>
  <c r="AJ559" i="5"/>
  <c r="AK329" i="5"/>
  <c r="AJ240" i="5"/>
  <c r="AK54" i="5"/>
  <c r="AK119" i="5"/>
  <c r="AJ270" i="5"/>
  <c r="AK228" i="5"/>
  <c r="AJ481" i="5"/>
  <c r="AJ19" i="5"/>
  <c r="AJ350" i="5"/>
  <c r="AJ34" i="5"/>
  <c r="AK389" i="5"/>
  <c r="AK115" i="5"/>
  <c r="AJ146" i="5"/>
  <c r="AK521" i="5"/>
  <c r="AK282" i="5"/>
  <c r="AJ100" i="5"/>
  <c r="AJ275" i="5"/>
  <c r="AK22" i="5"/>
  <c r="AJ493" i="5"/>
  <c r="AK64" i="5"/>
  <c r="AJ456" i="5"/>
  <c r="AK98" i="5"/>
  <c r="AJ555" i="5"/>
  <c r="AJ67" i="5"/>
  <c r="AK138" i="5"/>
  <c r="AJ24" i="5"/>
  <c r="AK89" i="5"/>
  <c r="AJ560" i="5"/>
  <c r="AK83" i="5"/>
  <c r="AJ44" i="5"/>
  <c r="AK467" i="5"/>
  <c r="AK63" i="5"/>
  <c r="AJ358" i="5"/>
  <c r="AJ451" i="5"/>
  <c r="AJ171" i="5"/>
  <c r="AJ114" i="5"/>
  <c r="AK137" i="5"/>
  <c r="AK487" i="5"/>
  <c r="AK25" i="5"/>
  <c r="AJ162" i="5"/>
  <c r="AJ161" i="5"/>
  <c r="AJ500" i="5"/>
  <c r="AK413" i="5"/>
  <c r="AJ213" i="5"/>
  <c r="AJ363" i="5"/>
  <c r="AJ492" i="5"/>
  <c r="AJ148" i="5"/>
  <c r="AJ312" i="5"/>
  <c r="AJ28" i="5"/>
  <c r="AK106" i="5"/>
  <c r="AJ116" i="5"/>
  <c r="AK306" i="5"/>
  <c r="AJ394" i="5"/>
  <c r="AJ341" i="5"/>
  <c r="AJ294" i="5"/>
  <c r="AJ76" i="5"/>
  <c r="AJ172" i="5"/>
  <c r="AJ357" i="5"/>
  <c r="AK443" i="5"/>
  <c r="AK430" i="5"/>
  <c r="AJ93" i="5"/>
  <c r="AK494" i="5"/>
  <c r="AJ184" i="5"/>
  <c r="AK557" i="5"/>
  <c r="AJ316" i="5"/>
  <c r="AK94" i="5"/>
  <c r="AK58" i="5"/>
  <c r="AK220" i="5"/>
  <c r="AJ27" i="5"/>
  <c r="AK367" i="5"/>
  <c r="AK268" i="5"/>
  <c r="AJ331" i="5"/>
  <c r="AJ330" i="5"/>
  <c r="AJ135" i="5"/>
  <c r="AJ531" i="5"/>
  <c r="AJ459" i="5"/>
  <c r="AJ429" i="5"/>
  <c r="AK450" i="5"/>
  <c r="AJ468" i="5"/>
  <c r="AJ189" i="5"/>
  <c r="AJ38" i="5"/>
  <c r="AK287" i="5"/>
  <c r="AK166" i="5"/>
  <c r="AK547" i="5"/>
  <c r="AJ485" i="5"/>
  <c r="AK36" i="5"/>
  <c r="AK145" i="5"/>
  <c r="AJ409" i="5"/>
  <c r="AJ517" i="5"/>
  <c r="AS10" i="5"/>
  <c r="AT10" i="5" s="1"/>
  <c r="AY10" i="5"/>
  <c r="BA10" i="5" s="1"/>
  <c r="AJ13" i="5"/>
  <c r="AK378" i="5"/>
  <c r="AK416" i="5"/>
  <c r="AK124" i="5"/>
  <c r="AJ347" i="5"/>
  <c r="AK411" i="5"/>
  <c r="AJ478" i="5"/>
  <c r="AJ408" i="5"/>
  <c r="AJ224" i="5"/>
  <c r="AJ250" i="5"/>
  <c r="AJ271" i="5"/>
  <c r="AJ364" i="5"/>
  <c r="AK26" i="5"/>
  <c r="AJ463" i="5"/>
  <c r="AK167" i="5"/>
  <c r="AK48" i="5"/>
  <c r="AK352" i="5"/>
  <c r="AJ117" i="5"/>
  <c r="AK177" i="5"/>
  <c r="AK422" i="5"/>
  <c r="AJ542" i="5"/>
  <c r="AJ457" i="5"/>
  <c r="AK407" i="5"/>
  <c r="AJ143" i="5"/>
  <c r="AJ225" i="5"/>
  <c r="AK326" i="5"/>
  <c r="AJ37" i="5"/>
  <c r="AJ86" i="5"/>
  <c r="AK435" i="5"/>
  <c r="AJ325" i="5"/>
  <c r="AK87" i="5"/>
  <c r="AJ150" i="5"/>
  <c r="AK50" i="5"/>
  <c r="AJ223" i="5"/>
  <c r="AK52" i="5"/>
  <c r="AK479" i="5"/>
  <c r="AK258" i="5"/>
  <c r="AJ534" i="5"/>
  <c r="AJ427" i="5"/>
  <c r="AJ303" i="5"/>
  <c r="AJ511" i="5"/>
  <c r="AJ296" i="5"/>
  <c r="AJ423" i="5"/>
  <c r="AK317" i="5"/>
  <c r="AJ51" i="5"/>
  <c r="AJ154" i="5"/>
  <c r="AJ314" i="5"/>
  <c r="AK80" i="5"/>
  <c r="AK489" i="5"/>
  <c r="AJ237" i="5"/>
  <c r="AJ7" i="5"/>
  <c r="I82" i="2"/>
  <c r="T39" i="6" s="1"/>
  <c r="V39" i="6" s="1"/>
  <c r="AM39" i="6" s="1"/>
  <c r="B21" i="3"/>
  <c r="AS88" i="8"/>
  <c r="AS126" i="8"/>
  <c r="AS153" i="8"/>
  <c r="AS52" i="8"/>
  <c r="AS90" i="8"/>
  <c r="AS117" i="8"/>
  <c r="AS16" i="8"/>
  <c r="AS54" i="8"/>
  <c r="AS17" i="8"/>
  <c r="AS63" i="8"/>
  <c r="AS74" i="8"/>
  <c r="AS72" i="8"/>
  <c r="AS110" i="8"/>
  <c r="AS37" i="8"/>
  <c r="AS83" i="8"/>
  <c r="AS100" i="8"/>
  <c r="AS124" i="8"/>
  <c r="AS15" i="8"/>
  <c r="AS138" i="8"/>
  <c r="AS38" i="8"/>
  <c r="AS84" i="8"/>
  <c r="AS156" i="8"/>
  <c r="AS157" i="8"/>
  <c r="AS56" i="8"/>
  <c r="AS94" i="8"/>
  <c r="AS121" i="8"/>
  <c r="AS20" i="8"/>
  <c r="AS58" i="8"/>
  <c r="AS85" i="8"/>
  <c r="AS131" i="8"/>
  <c r="AS22" i="8"/>
  <c r="AS140" i="8"/>
  <c r="AS31" i="8"/>
  <c r="AS141" i="8"/>
  <c r="AS40" i="8"/>
  <c r="AS78" i="8"/>
  <c r="AS7" i="8"/>
  <c r="AS51" i="8"/>
  <c r="AS87" i="8"/>
  <c r="AS92" i="8"/>
  <c r="AS130" i="8"/>
  <c r="AS151" i="8"/>
  <c r="AS118" i="8"/>
  <c r="AS127" i="8"/>
  <c r="AS18" i="8"/>
  <c r="AS101" i="8"/>
  <c r="AS9" i="8"/>
  <c r="AS48" i="8"/>
  <c r="AS49" i="8"/>
  <c r="AS105" i="8"/>
  <c r="AS69" i="8"/>
  <c r="AS42" i="8"/>
  <c r="AS125" i="8"/>
  <c r="AS24" i="8"/>
  <c r="AS62" i="8"/>
  <c r="AS89" i="8"/>
  <c r="AS135" i="8"/>
  <c r="AS26" i="8"/>
  <c r="AS53" i="8"/>
  <c r="AS99" i="8"/>
  <c r="AS73" i="8"/>
  <c r="AS108" i="8"/>
  <c r="AS146" i="8"/>
  <c r="AS109" i="8"/>
  <c r="AS155" i="8"/>
  <c r="AS46" i="8"/>
  <c r="AS128" i="8"/>
  <c r="AS19" i="8"/>
  <c r="AS8" i="8"/>
  <c r="AS60" i="8"/>
  <c r="AS98" i="8"/>
  <c r="AS152" i="8"/>
  <c r="AS27" i="8"/>
  <c r="AS55" i="8"/>
  <c r="AS23" i="8"/>
  <c r="AS115" i="8"/>
  <c r="AS93" i="8"/>
  <c r="AS139" i="8"/>
  <c r="AS30" i="8"/>
  <c r="AS57" i="8"/>
  <c r="AS103" i="8"/>
  <c r="AS10" i="8"/>
  <c r="AS21" i="8"/>
  <c r="AS67" i="8"/>
  <c r="AS106" i="8"/>
  <c r="AS76" i="8"/>
  <c r="AS114" i="8"/>
  <c r="AS77" i="8"/>
  <c r="AS123" i="8"/>
  <c r="AS11" i="8"/>
  <c r="AS96" i="8"/>
  <c r="AS134" i="8"/>
  <c r="AS129" i="8"/>
  <c r="AS28" i="8"/>
  <c r="AS66" i="8"/>
  <c r="AS154" i="8"/>
  <c r="AS147" i="8"/>
  <c r="AS122" i="8"/>
  <c r="AS14" i="8"/>
  <c r="AS61" i="8"/>
  <c r="AS107" i="8"/>
  <c r="AS41" i="8"/>
  <c r="AS25" i="8"/>
  <c r="AS71" i="8"/>
  <c r="AS68" i="8"/>
  <c r="AS144" i="8"/>
  <c r="AS35" i="8"/>
  <c r="AS145" i="8"/>
  <c r="AS44" i="8"/>
  <c r="AS82" i="8"/>
  <c r="AS45" i="8"/>
  <c r="AS91" i="8"/>
  <c r="AS137" i="8"/>
  <c r="AS64" i="8"/>
  <c r="AS102" i="8"/>
  <c r="AS97" i="8"/>
  <c r="AS143" i="8"/>
  <c r="AS34" i="8"/>
  <c r="AS116" i="8"/>
  <c r="AS79" i="8"/>
  <c r="AS149" i="8"/>
  <c r="AS29" i="8"/>
  <c r="AS75" i="8"/>
  <c r="AS36" i="8"/>
  <c r="AS148" i="8"/>
  <c r="AS39" i="8"/>
  <c r="AS119" i="8"/>
  <c r="AS112" i="8"/>
  <c r="AS150" i="8"/>
  <c r="AS113" i="8"/>
  <c r="AS12" i="8"/>
  <c r="AS50" i="8"/>
  <c r="AS13" i="8"/>
  <c r="AS59" i="8"/>
  <c r="AS133" i="8"/>
  <c r="AS32" i="8"/>
  <c r="AS70" i="8"/>
  <c r="AS65" i="8"/>
  <c r="AS111" i="8"/>
  <c r="AS132" i="8"/>
  <c r="AS43" i="8"/>
  <c r="AS80" i="8"/>
  <c r="AS81" i="8"/>
  <c r="AS136" i="8"/>
  <c r="AS33" i="8"/>
  <c r="AS120" i="8"/>
  <c r="AS86" i="8"/>
  <c r="AS95" i="8"/>
  <c r="AS104" i="8"/>
  <c r="AS142" i="8"/>
  <c r="AS47" i="8"/>
  <c r="AK123" i="5"/>
  <c r="AK498" i="5"/>
  <c r="AK370" i="5"/>
  <c r="AK266" i="5"/>
  <c r="O12" i="8"/>
  <c r="T118" i="8" s="1"/>
  <c r="V118" i="8" s="1"/>
  <c r="AM118" i="8" s="1"/>
  <c r="AK292" i="5"/>
  <c r="AK307" i="5"/>
  <c r="AK308" i="5"/>
  <c r="AK221" i="5"/>
  <c r="AK249" i="5"/>
  <c r="AK201" i="5"/>
  <c r="AK449" i="5"/>
  <c r="AJ343" i="5"/>
  <c r="AJ53" i="5"/>
  <c r="AK147" i="5"/>
  <c r="AJ461" i="5"/>
  <c r="AJ371" i="5"/>
  <c r="AK295" i="5"/>
  <c r="AJ474" i="5"/>
  <c r="AK118" i="5"/>
  <c r="AJ354" i="5"/>
  <c r="AJ259" i="5"/>
  <c r="AK260" i="5"/>
  <c r="AK441" i="5"/>
  <c r="AK141" i="5"/>
  <c r="AJ334" i="5"/>
  <c r="AJ465" i="5"/>
  <c r="AK39" i="5"/>
  <c r="AJ73" i="5"/>
  <c r="AK244" i="5"/>
  <c r="AJ439" i="5"/>
  <c r="AK288" i="5"/>
  <c r="AK231" i="5"/>
  <c r="AJ550" i="5"/>
  <c r="AK345" i="5"/>
  <c r="AJ194" i="5"/>
  <c r="AK107" i="5"/>
  <c r="AJ549" i="5"/>
  <c r="AJ226" i="5"/>
  <c r="AJ47" i="5"/>
  <c r="AK35" i="5"/>
  <c r="AJ519" i="5"/>
  <c r="AJ515" i="5"/>
  <c r="AK42" i="5"/>
  <c r="AK254" i="5"/>
  <c r="AK182" i="5"/>
  <c r="AJ247" i="5"/>
  <c r="AK59" i="5"/>
  <c r="AK412" i="5"/>
  <c r="AK538" i="5"/>
  <c r="AJ199" i="5"/>
  <c r="AK556" i="5"/>
  <c r="AK140" i="5"/>
  <c r="AK195" i="5"/>
  <c r="AK197" i="5"/>
  <c r="AJ348" i="5"/>
  <c r="AJ544" i="5"/>
  <c r="AK104" i="5"/>
  <c r="AJ31" i="5"/>
  <c r="AJ390" i="5"/>
  <c r="AJ132" i="5"/>
  <c r="AJ320" i="5"/>
  <c r="AK342" i="5"/>
  <c r="AK77" i="5"/>
  <c r="AJ402" i="5"/>
  <c r="AJ415" i="5"/>
  <c r="AJ170" i="5"/>
  <c r="AJ281" i="5"/>
  <c r="AJ219" i="5"/>
  <c r="AJ126" i="5"/>
  <c r="AJ103" i="5"/>
  <c r="AK513" i="5"/>
  <c r="AJ101" i="5"/>
  <c r="AJ206" i="5"/>
  <c r="AK466" i="5"/>
  <c r="AK61" i="5"/>
  <c r="AJ279" i="5"/>
  <c r="AJ157" i="5"/>
  <c r="AJ377" i="5"/>
  <c r="AJ200" i="5"/>
  <c r="AJ455" i="5"/>
  <c r="AJ313" i="5"/>
  <c r="AJ253" i="5"/>
  <c r="AK158" i="5"/>
  <c r="AJ113" i="5"/>
  <c r="AJ216" i="5"/>
  <c r="AK514" i="5"/>
  <c r="AJ81" i="5"/>
  <c r="AJ78" i="5"/>
  <c r="AK32" i="5"/>
  <c r="AJ289" i="5"/>
  <c r="AJ12" i="5"/>
  <c r="AJ293" i="5"/>
  <c r="AK406" i="5"/>
  <c r="AJ419" i="5"/>
  <c r="AJ355" i="5"/>
  <c r="AJ526" i="5"/>
  <c r="AJ278" i="5"/>
  <c r="AK229" i="5"/>
  <c r="AJ255" i="5"/>
  <c r="AK211" i="5"/>
  <c r="AJ444" i="5"/>
  <c r="AK446" i="5"/>
  <c r="AK222" i="5"/>
  <c r="AK136" i="5"/>
  <c r="AK537" i="5"/>
  <c r="AJ469" i="5"/>
  <c r="AK482" i="5"/>
  <c r="AK495" i="5"/>
  <c r="AK242" i="5"/>
  <c r="AJ105" i="5"/>
  <c r="AK339" i="5"/>
  <c r="AJ55" i="5"/>
  <c r="AJ399" i="5"/>
  <c r="AJ183" i="5"/>
  <c r="AJ318" i="5"/>
  <c r="AJ196" i="5"/>
  <c r="AJ421" i="5"/>
  <c r="AJ185" i="5"/>
  <c r="AJ448" i="5"/>
  <c r="AJ383" i="5"/>
  <c r="AJ374" i="5"/>
  <c r="AJ227" i="5"/>
  <c r="AJ139" i="5"/>
  <c r="AK274" i="5"/>
  <c r="AK127" i="5"/>
  <c r="AJ328" i="5"/>
  <c r="AJ75" i="5"/>
  <c r="AK165" i="5"/>
  <c r="AK159" i="5"/>
  <c r="AJ30" i="5"/>
  <c r="AJ163" i="5"/>
  <c r="AK151" i="5"/>
  <c r="AJ71" i="5"/>
  <c r="AK168" i="5"/>
  <c r="AJ327" i="5"/>
  <c r="AJ532" i="5"/>
  <c r="AJ241" i="5"/>
  <c r="AK29" i="5"/>
  <c r="AK398" i="5"/>
  <c r="AJ336" i="5"/>
  <c r="AJ215" i="5"/>
  <c r="AJ464" i="5"/>
  <c r="AJ369" i="5"/>
  <c r="AK99" i="5"/>
  <c r="AJ131" i="5"/>
  <c r="AK257" i="5"/>
  <c r="AJ283" i="5"/>
  <c r="AJ217" i="5"/>
  <c r="AJ533" i="5"/>
  <c r="AK381" i="5"/>
  <c r="AJ267" i="5"/>
  <c r="AJ251" i="5"/>
  <c r="AJ311" i="5"/>
  <c r="AJ452" i="5"/>
  <c r="AK128" i="5"/>
  <c r="AK323" i="5"/>
  <c r="AK424" i="5"/>
  <c r="AJ160" i="5"/>
  <c r="AJ82" i="5"/>
  <c r="AJ91" i="5"/>
  <c r="AK236" i="5"/>
  <c r="AK322" i="5"/>
  <c r="AJ234" i="5"/>
  <c r="AJ379" i="5"/>
  <c r="AK190" i="5"/>
  <c r="AK438" i="5"/>
  <c r="AK173" i="5"/>
  <c r="AK359" i="5"/>
  <c r="AJ380" i="5"/>
  <c r="AJ112" i="5"/>
  <c r="AJ338" i="5"/>
  <c r="AK332" i="5"/>
  <c r="AK437" i="5"/>
  <c r="AK392" i="5"/>
  <c r="AJ218" i="5"/>
  <c r="AK504" i="5"/>
  <c r="AK301" i="5"/>
  <c r="AJ277" i="5"/>
  <c r="AK40" i="5"/>
  <c r="AJ384" i="5"/>
  <c r="AK66" i="5"/>
  <c r="AJ65" i="5"/>
  <c r="AJ376" i="5"/>
  <c r="AJ122" i="5"/>
  <c r="AJ353" i="5"/>
  <c r="AK360" i="5"/>
  <c r="AK414" i="5"/>
  <c r="AK95" i="5"/>
  <c r="AJ333" i="5"/>
  <c r="AJ188" i="5"/>
  <c r="AJ110" i="5"/>
  <c r="AJ528" i="5"/>
  <c r="AJ473" i="5"/>
  <c r="AJ49" i="5"/>
  <c r="AJ248" i="5"/>
  <c r="AK20" i="5"/>
  <c r="AK280" i="5"/>
  <c r="AJ96" i="5"/>
  <c r="AK262" i="5"/>
  <c r="AJ321" i="5"/>
  <c r="AJ144" i="5"/>
  <c r="AK454" i="5"/>
  <c r="AJ208" i="5"/>
  <c r="AJ232" i="5"/>
  <c r="AJ230" i="5"/>
  <c r="AK238" i="5"/>
  <c r="AK299" i="5"/>
  <c r="AJ84" i="5"/>
  <c r="AK62" i="5"/>
  <c r="AJ290" i="5"/>
  <c r="AJ210" i="5"/>
  <c r="AJ420" i="5"/>
  <c r="AJ428" i="5"/>
  <c r="AK382" i="5"/>
  <c r="AK405" i="5"/>
  <c r="AK546" i="5"/>
  <c r="AJ373" i="5"/>
  <c r="AJ425" i="5"/>
  <c r="AJ305" i="5"/>
  <c r="AK543" i="5"/>
  <c r="AK155" i="5"/>
  <c r="AJ529" i="5"/>
  <c r="AK149" i="5"/>
  <c r="AJ536" i="5"/>
  <c r="AK70" i="5"/>
  <c r="AJ302" i="5"/>
  <c r="AK541" i="5"/>
  <c r="AJ209" i="5"/>
  <c r="AJ233" i="5"/>
  <c r="AK508" i="5"/>
  <c r="AK175" i="5"/>
  <c r="AJ356" i="5"/>
  <c r="AK142" i="5"/>
  <c r="AK153" i="5"/>
  <c r="AK46" i="5"/>
  <c r="AJ502" i="5"/>
  <c r="AJ298" i="5"/>
  <c r="AK125" i="5"/>
  <c r="AJ535" i="5"/>
  <c r="AJ202" i="5"/>
  <c r="AJ442" i="5"/>
  <c r="AK404" i="5"/>
  <c r="AJ41" i="5"/>
  <c r="AJ475" i="5"/>
  <c r="AJ552" i="5"/>
  <c r="AJ134" i="5"/>
  <c r="AK512" i="5"/>
  <c r="AJ192" i="5"/>
  <c r="AJ324" i="5"/>
  <c r="AJ344" i="5"/>
  <c r="AJ60" i="5"/>
  <c r="AK56" i="5"/>
  <c r="AJ365" i="5"/>
  <c r="AJ176" i="5"/>
  <c r="AJ462" i="5"/>
  <c r="AK181" i="5"/>
  <c r="AK483" i="5"/>
  <c r="AJ436" i="5"/>
  <c r="AJ111" i="5"/>
  <c r="AK397" i="5"/>
  <c r="AJ372" i="5"/>
  <c r="AJ375" i="5"/>
  <c r="AK368" i="5"/>
  <c r="AJ477" i="5"/>
  <c r="AJ417" i="5"/>
  <c r="AJ522" i="5"/>
  <c r="AJ453" i="5"/>
  <c r="AJ361" i="5"/>
  <c r="AK388" i="5"/>
  <c r="AK337" i="5"/>
  <c r="AJ506" i="5"/>
  <c r="AJ245" i="5"/>
  <c r="AK445" i="5"/>
  <c r="AK523" i="5"/>
  <c r="S276" i="5"/>
  <c r="T276" i="5" s="1"/>
  <c r="S373" i="5"/>
  <c r="U373" i="5" s="1"/>
  <c r="S491" i="5"/>
  <c r="U491" i="5" s="1"/>
  <c r="S73" i="5"/>
  <c r="T73" i="5" s="1"/>
  <c r="S229" i="5"/>
  <c r="U229" i="5" s="1"/>
  <c r="S505" i="5"/>
  <c r="U505" i="5" s="1"/>
  <c r="S298" i="5"/>
  <c r="U298" i="5" s="1"/>
  <c r="S384" i="5"/>
  <c r="T384" i="5" s="1"/>
  <c r="S553" i="5"/>
  <c r="U553" i="5" s="1"/>
  <c r="S115" i="5"/>
  <c r="U115" i="5" s="1"/>
  <c r="S305" i="5"/>
  <c r="T305" i="5" s="1"/>
  <c r="S506" i="5"/>
  <c r="U506" i="5" s="1"/>
  <c r="S236" i="5"/>
  <c r="T236" i="5" s="1"/>
  <c r="S345" i="5"/>
  <c r="U345" i="5" s="1"/>
  <c r="S397" i="5"/>
  <c r="U397" i="5" s="1"/>
  <c r="S48" i="5"/>
  <c r="T48" i="5" s="1"/>
  <c r="S157" i="5"/>
  <c r="T157" i="5" s="1"/>
  <c r="S344" i="5"/>
  <c r="T344" i="5" s="1"/>
  <c r="S241" i="5"/>
  <c r="U241" i="5" s="1"/>
  <c r="S353" i="5"/>
  <c r="U353" i="5" s="1"/>
  <c r="S427" i="5"/>
  <c r="T427" i="5" s="1"/>
  <c r="S202" i="5"/>
  <c r="T202" i="5" s="1"/>
  <c r="S176" i="5"/>
  <c r="U176" i="5" s="1"/>
  <c r="S348" i="5"/>
  <c r="U348" i="5" s="1"/>
  <c r="S245" i="5"/>
  <c r="T245" i="5" s="1"/>
  <c r="S356" i="5"/>
  <c r="T356" i="5" s="1"/>
  <c r="S432" i="5"/>
  <c r="U432" i="5" s="1"/>
  <c r="S238" i="5"/>
  <c r="U238" i="5" s="1"/>
  <c r="S189" i="5"/>
  <c r="U189" i="5" s="1"/>
  <c r="S360" i="5"/>
  <c r="T360" i="5" s="1"/>
  <c r="S274" i="5"/>
  <c r="T274" i="5" s="1"/>
  <c r="S372" i="5"/>
  <c r="T372" i="5" s="1"/>
  <c r="S483" i="5"/>
  <c r="U483" i="5" s="1"/>
  <c r="S62" i="5"/>
  <c r="T62" i="5" s="1"/>
  <c r="S213" i="5"/>
  <c r="U213" i="5" s="1"/>
  <c r="S436" i="5"/>
  <c r="T436" i="5" s="1"/>
  <c r="S508" i="5"/>
  <c r="U508" i="5" s="1"/>
  <c r="S286" i="5"/>
  <c r="T286" i="5" s="1"/>
  <c r="S433" i="5"/>
  <c r="U433" i="5" s="1"/>
  <c r="S545" i="5"/>
  <c r="U545" i="5" s="1"/>
  <c r="S449" i="5"/>
  <c r="T449" i="5" s="1"/>
  <c r="S324" i="5"/>
  <c r="T324" i="5" s="1"/>
  <c r="S473" i="5"/>
  <c r="U473" i="5" s="1"/>
  <c r="S478" i="5"/>
  <c r="U478" i="5" s="1"/>
  <c r="AI10" i="5"/>
  <c r="AK10" i="5" s="1"/>
  <c r="C183" i="3"/>
  <c r="B183" i="3" s="1"/>
  <c r="I69" i="2" s="1"/>
  <c r="B113" i="3"/>
  <c r="B112" i="3"/>
  <c r="I57" i="2" s="1"/>
  <c r="AV10" i="5"/>
  <c r="AW10" i="5" s="1"/>
  <c r="E124" i="1"/>
  <c r="B228" i="3"/>
  <c r="B211" i="3"/>
  <c r="AS115" i="6"/>
  <c r="AS98" i="6"/>
  <c r="AS24" i="6"/>
  <c r="AS143" i="6"/>
  <c r="AS127" i="6"/>
  <c r="AS16" i="6"/>
  <c r="AS130" i="6"/>
  <c r="AS125" i="6"/>
  <c r="AS86" i="6"/>
  <c r="AS122" i="6"/>
  <c r="AS23" i="6"/>
  <c r="AS157" i="6"/>
  <c r="AS102" i="6"/>
  <c r="AS128" i="6"/>
  <c r="AS62" i="6"/>
  <c r="AS59" i="6"/>
  <c r="AS7" i="6"/>
  <c r="AS131" i="6"/>
  <c r="AS52" i="6"/>
  <c r="AS105" i="6"/>
  <c r="AS65" i="6"/>
  <c r="AS93" i="6"/>
  <c r="AS132" i="6"/>
  <c r="AS33" i="6"/>
  <c r="AS56" i="6"/>
  <c r="AS78" i="6"/>
  <c r="AS8" i="6"/>
  <c r="AS51" i="6"/>
  <c r="AS11" i="6"/>
  <c r="AS74" i="6"/>
  <c r="AS110" i="6"/>
  <c r="AS26" i="6"/>
  <c r="AS103" i="6"/>
  <c r="AS154" i="6"/>
  <c r="AS137" i="6"/>
  <c r="AS97" i="6"/>
  <c r="AS139" i="6"/>
  <c r="AS151" i="6"/>
  <c r="AS67" i="6"/>
  <c r="AS39" i="6"/>
  <c r="AS38" i="6"/>
  <c r="AS114" i="6"/>
  <c r="AS46" i="6"/>
  <c r="AS156" i="6"/>
  <c r="AS22" i="6"/>
  <c r="AS88" i="6"/>
  <c r="AS45" i="6"/>
  <c r="AS57" i="6"/>
  <c r="AS85" i="6"/>
  <c r="AS149" i="6"/>
  <c r="AS96" i="6"/>
  <c r="AS64" i="6"/>
  <c r="AS40" i="6"/>
  <c r="AS84" i="6"/>
  <c r="AS54" i="6"/>
  <c r="AS89" i="6"/>
  <c r="AS53" i="6"/>
  <c r="AS21" i="6"/>
  <c r="AS108" i="6"/>
  <c r="AS109" i="6"/>
  <c r="AS104" i="6"/>
  <c r="AS118" i="6"/>
  <c r="AS55" i="6"/>
  <c r="AS124" i="6"/>
  <c r="AS19" i="6"/>
  <c r="AS15" i="6"/>
  <c r="AS134" i="6"/>
  <c r="AS116" i="6"/>
  <c r="AS60" i="6"/>
  <c r="AS100" i="6"/>
  <c r="AS152" i="6"/>
  <c r="AS113" i="6"/>
  <c r="AS155" i="6"/>
  <c r="AS73" i="6"/>
  <c r="AS41" i="6"/>
  <c r="AS31" i="6"/>
  <c r="AS111" i="6"/>
  <c r="AS79" i="6"/>
  <c r="AS90" i="6"/>
  <c r="AS150" i="6"/>
  <c r="AS80" i="6"/>
  <c r="AS129" i="6"/>
  <c r="AS30" i="6"/>
  <c r="AS63" i="6"/>
  <c r="AS145" i="6"/>
  <c r="AS29" i="6"/>
  <c r="AS77" i="6"/>
  <c r="AS153" i="6"/>
  <c r="AS147" i="6"/>
  <c r="AS75" i="6"/>
  <c r="AS34" i="6"/>
  <c r="AS92" i="6"/>
  <c r="AS10" i="6"/>
  <c r="AS136" i="6"/>
  <c r="AS20" i="6"/>
  <c r="AS82" i="6"/>
  <c r="AS35" i="6"/>
  <c r="AS32" i="6"/>
  <c r="AS133" i="6"/>
  <c r="AS99" i="6"/>
  <c r="AS117" i="6"/>
  <c r="AS50" i="6"/>
  <c r="AS70" i="6"/>
  <c r="AS119" i="6"/>
  <c r="AS135" i="6"/>
  <c r="AS142" i="6"/>
  <c r="AS47" i="6"/>
  <c r="AS43" i="6"/>
  <c r="AS144" i="6"/>
  <c r="AS107" i="6"/>
  <c r="AS58" i="6"/>
  <c r="AS66" i="6"/>
  <c r="AS44" i="6"/>
  <c r="AS13" i="6"/>
  <c r="AS42" i="6"/>
  <c r="AS120" i="6"/>
  <c r="AS14" i="6"/>
  <c r="AS87" i="6"/>
  <c r="AS68" i="6"/>
  <c r="AS76" i="6"/>
  <c r="AS123" i="6"/>
  <c r="AS95" i="6"/>
  <c r="AS72" i="6"/>
  <c r="AS12" i="6"/>
  <c r="AS106" i="6"/>
  <c r="AS140" i="6"/>
  <c r="AS121" i="6"/>
  <c r="AS71" i="6"/>
  <c r="AS126" i="6"/>
  <c r="AS141" i="6"/>
  <c r="AS146" i="6"/>
  <c r="AS28" i="6"/>
  <c r="AS9" i="6"/>
  <c r="AS112" i="6"/>
  <c r="AS83" i="6"/>
  <c r="AS27" i="6"/>
  <c r="AS36" i="6"/>
  <c r="AS81" i="6"/>
  <c r="AS148" i="6"/>
  <c r="AS94" i="6"/>
  <c r="AS138" i="6"/>
  <c r="AS17" i="6"/>
  <c r="AS91" i="6"/>
  <c r="AS69" i="6"/>
  <c r="AS37" i="6"/>
  <c r="AS25" i="6"/>
  <c r="AS18" i="6"/>
  <c r="AS61" i="6"/>
  <c r="AS49" i="6"/>
  <c r="AS48" i="6"/>
  <c r="AS101" i="6"/>
  <c r="U285" i="5"/>
  <c r="T285" i="5"/>
  <c r="U501" i="5"/>
  <c r="T501" i="5"/>
  <c r="U363" i="5"/>
  <c r="T363" i="5"/>
  <c r="T418" i="5"/>
  <c r="U418" i="5"/>
  <c r="T502" i="5"/>
  <c r="U502" i="5"/>
  <c r="U139" i="5"/>
  <c r="T139" i="5"/>
  <c r="T448" i="5"/>
  <c r="U448" i="5"/>
  <c r="U103" i="5"/>
  <c r="T103" i="5"/>
  <c r="U266" i="5"/>
  <c r="T266" i="5"/>
  <c r="U536" i="5"/>
  <c r="T536" i="5"/>
  <c r="U290" i="5"/>
  <c r="T290" i="5"/>
  <c r="U169" i="5"/>
  <c r="T169" i="5"/>
  <c r="U199" i="5"/>
  <c r="T199" i="5"/>
  <c r="U97" i="5"/>
  <c r="T97" i="5"/>
  <c r="U69" i="5"/>
  <c r="T69" i="5"/>
  <c r="T150" i="5"/>
  <c r="U150" i="5"/>
  <c r="T226" i="5"/>
  <c r="U226" i="5"/>
  <c r="T212" i="5"/>
  <c r="U212" i="5"/>
  <c r="U422" i="5"/>
  <c r="T422" i="5"/>
  <c r="U210" i="5"/>
  <c r="T210" i="5"/>
  <c r="T100" i="5"/>
  <c r="U100" i="5"/>
  <c r="U38" i="5"/>
  <c r="T38" i="5"/>
  <c r="U322" i="5"/>
  <c r="T322" i="5"/>
  <c r="U535" i="5"/>
  <c r="T535" i="5"/>
  <c r="U452" i="5"/>
  <c r="T452" i="5"/>
  <c r="T530" i="5"/>
  <c r="U530" i="5"/>
  <c r="U347" i="5"/>
  <c r="T347" i="5"/>
  <c r="U219" i="5"/>
  <c r="T219" i="5"/>
  <c r="U72" i="5"/>
  <c r="T72" i="5"/>
  <c r="U340" i="5"/>
  <c r="T340" i="5"/>
  <c r="T107" i="5"/>
  <c r="U107" i="5"/>
  <c r="T387" i="5"/>
  <c r="U387" i="5"/>
  <c r="U332" i="5"/>
  <c r="T332" i="5"/>
  <c r="T242" i="5"/>
  <c r="U242" i="5"/>
  <c r="U35" i="5"/>
  <c r="T35" i="5"/>
  <c r="T187" i="5"/>
  <c r="U187" i="5"/>
  <c r="T494" i="5"/>
  <c r="U494" i="5"/>
  <c r="U386" i="5"/>
  <c r="T386" i="5"/>
  <c r="U307" i="5"/>
  <c r="T307" i="5"/>
  <c r="U174" i="5"/>
  <c r="T174" i="5"/>
  <c r="T504" i="5"/>
  <c r="U504" i="5"/>
  <c r="U399" i="5"/>
  <c r="T399" i="5"/>
  <c r="U201" i="5"/>
  <c r="T201" i="5"/>
  <c r="U113" i="5"/>
  <c r="T113" i="5"/>
  <c r="T548" i="5"/>
  <c r="U548" i="5"/>
  <c r="U120" i="5"/>
  <c r="T120" i="5"/>
  <c r="U531" i="5"/>
  <c r="T531" i="5"/>
  <c r="U413" i="5"/>
  <c r="T413" i="5"/>
  <c r="U354" i="5"/>
  <c r="T354" i="5"/>
  <c r="U161" i="5"/>
  <c r="T161" i="5"/>
  <c r="T75" i="5"/>
  <c r="U75" i="5"/>
  <c r="U415" i="5"/>
  <c r="T415" i="5"/>
  <c r="T485" i="5"/>
  <c r="U485" i="5"/>
  <c r="U328" i="5"/>
  <c r="T328" i="5"/>
  <c r="T104" i="5"/>
  <c r="U104" i="5"/>
  <c r="U398" i="5"/>
  <c r="T398" i="5"/>
  <c r="U94" i="5"/>
  <c r="T94" i="5"/>
  <c r="U205" i="5"/>
  <c r="T205" i="5"/>
  <c r="T278" i="5"/>
  <c r="U278" i="5"/>
  <c r="U409" i="5"/>
  <c r="T409" i="5"/>
  <c r="U517" i="5"/>
  <c r="T517" i="5"/>
  <c r="U308" i="5"/>
  <c r="T308" i="5"/>
  <c r="T56" i="5"/>
  <c r="U56" i="5"/>
  <c r="T179" i="5"/>
  <c r="U179" i="5"/>
  <c r="U317" i="5"/>
  <c r="T317" i="5"/>
  <c r="U405" i="5"/>
  <c r="T405" i="5"/>
  <c r="T541" i="5"/>
  <c r="U541" i="5"/>
  <c r="U80" i="5"/>
  <c r="T80" i="5"/>
  <c r="U160" i="5"/>
  <c r="T160" i="5"/>
  <c r="U333" i="5"/>
  <c r="T333" i="5"/>
  <c r="U65" i="5"/>
  <c r="T65" i="5"/>
  <c r="T42" i="5"/>
  <c r="U42" i="5"/>
  <c r="T133" i="5"/>
  <c r="U133" i="5"/>
  <c r="U261" i="5"/>
  <c r="T261" i="5"/>
  <c r="U341" i="5"/>
  <c r="T341" i="5"/>
  <c r="U525" i="5"/>
  <c r="T525" i="5"/>
  <c r="U63" i="5"/>
  <c r="T63" i="5"/>
  <c r="U269" i="5"/>
  <c r="T269" i="5"/>
  <c r="U420" i="5"/>
  <c r="T420" i="5"/>
  <c r="T526" i="5"/>
  <c r="U526" i="5"/>
  <c r="U246" i="5"/>
  <c r="T246" i="5"/>
  <c r="T57" i="5"/>
  <c r="U57" i="5"/>
  <c r="T319" i="5"/>
  <c r="U319" i="5"/>
  <c r="U393" i="5"/>
  <c r="T393" i="5"/>
  <c r="T203" i="5"/>
  <c r="U203" i="5"/>
  <c r="U78" i="5"/>
  <c r="T78" i="5"/>
  <c r="U339" i="5"/>
  <c r="T339" i="5"/>
  <c r="U411" i="5"/>
  <c r="T411" i="5"/>
  <c r="U190" i="5"/>
  <c r="T190" i="5"/>
  <c r="T450" i="5"/>
  <c r="U450" i="5"/>
  <c r="U425" i="5"/>
  <c r="T425" i="5"/>
  <c r="U49" i="5"/>
  <c r="T49" i="5"/>
  <c r="U291" i="5"/>
  <c r="T291" i="5"/>
  <c r="U214" i="5"/>
  <c r="T214" i="5"/>
  <c r="U247" i="5"/>
  <c r="T247" i="5"/>
  <c r="U27" i="5"/>
  <c r="T27" i="5"/>
  <c r="T330" i="5"/>
  <c r="U330" i="5"/>
  <c r="T284" i="5"/>
  <c r="U284" i="5"/>
  <c r="U77" i="5"/>
  <c r="T77" i="5"/>
  <c r="U532" i="5"/>
  <c r="T532" i="5"/>
  <c r="U430" i="5"/>
  <c r="T430" i="5"/>
  <c r="T64" i="5"/>
  <c r="U64" i="5"/>
  <c r="T302" i="5"/>
  <c r="U302" i="5"/>
  <c r="U461" i="5"/>
  <c r="T461" i="5"/>
  <c r="U499" i="5"/>
  <c r="T499" i="5"/>
  <c r="T455" i="5"/>
  <c r="U455" i="5"/>
  <c r="U419" i="5"/>
  <c r="T419" i="5"/>
  <c r="T481" i="5"/>
  <c r="U481" i="5"/>
  <c r="U338" i="5"/>
  <c r="T338" i="5"/>
  <c r="U200" i="5"/>
  <c r="T200" i="5"/>
  <c r="U82" i="5"/>
  <c r="T82" i="5"/>
  <c r="U257" i="5"/>
  <c r="T257" i="5"/>
  <c r="U543" i="5"/>
  <c r="T543" i="5"/>
  <c r="T407" i="5"/>
  <c r="U407" i="5"/>
  <c r="T310" i="5"/>
  <c r="U310" i="5"/>
  <c r="U206" i="5"/>
  <c r="T206" i="5"/>
  <c r="U88" i="5"/>
  <c r="T88" i="5"/>
  <c r="T51" i="5"/>
  <c r="U51" i="5"/>
  <c r="U488" i="5"/>
  <c r="T488" i="5"/>
  <c r="U383" i="5"/>
  <c r="T383" i="5"/>
  <c r="U301" i="5"/>
  <c r="T301" i="5"/>
  <c r="U112" i="5"/>
  <c r="T112" i="5"/>
  <c r="U471" i="5"/>
  <c r="T471" i="5"/>
  <c r="U371" i="5"/>
  <c r="T371" i="5"/>
  <c r="U198" i="5"/>
  <c r="T198" i="5"/>
  <c r="U83" i="5"/>
  <c r="T83" i="5"/>
  <c r="T522" i="5"/>
  <c r="U522" i="5"/>
  <c r="U141" i="5"/>
  <c r="T141" i="5"/>
  <c r="U513" i="5"/>
  <c r="T513" i="5"/>
  <c r="U401" i="5"/>
  <c r="T401" i="5"/>
  <c r="U297" i="5"/>
  <c r="T297" i="5"/>
  <c r="T128" i="5"/>
  <c r="U128" i="5"/>
  <c r="U74" i="5"/>
  <c r="T74" i="5"/>
  <c r="T244" i="5"/>
  <c r="U244" i="5"/>
  <c r="U460" i="5"/>
  <c r="T460" i="5"/>
  <c r="U227" i="5"/>
  <c r="T227" i="5"/>
  <c r="T124" i="5"/>
  <c r="U124" i="5"/>
  <c r="U493" i="5"/>
  <c r="T493" i="5"/>
  <c r="U126" i="5"/>
  <c r="T126" i="5"/>
  <c r="U209" i="5"/>
  <c r="T209" i="5"/>
  <c r="T280" i="5"/>
  <c r="U280" i="5"/>
  <c r="U417" i="5"/>
  <c r="T417" i="5"/>
  <c r="T523" i="5"/>
  <c r="U523" i="5"/>
  <c r="T367" i="5"/>
  <c r="U367" i="5"/>
  <c r="T66" i="5"/>
  <c r="U66" i="5"/>
  <c r="U192" i="5"/>
  <c r="T192" i="5"/>
  <c r="U320" i="5"/>
  <c r="T320" i="5"/>
  <c r="T408" i="5"/>
  <c r="U408" i="5"/>
  <c r="T544" i="5"/>
  <c r="U544" i="5"/>
  <c r="T101" i="5"/>
  <c r="U101" i="5"/>
  <c r="T191" i="5"/>
  <c r="U191" i="5"/>
  <c r="T378" i="5"/>
  <c r="U378" i="5"/>
  <c r="T95" i="5"/>
  <c r="U95" i="5"/>
  <c r="U44" i="5"/>
  <c r="T44" i="5"/>
  <c r="U168" i="5"/>
  <c r="T168" i="5"/>
  <c r="U262" i="5"/>
  <c r="T262" i="5"/>
  <c r="U358" i="5"/>
  <c r="T358" i="5"/>
  <c r="T546" i="5"/>
  <c r="U546" i="5"/>
  <c r="T71" i="5"/>
  <c r="U71" i="5"/>
  <c r="U277" i="5"/>
  <c r="T277" i="5"/>
  <c r="T441" i="5"/>
  <c r="U441" i="5"/>
  <c r="U528" i="5"/>
  <c r="T528" i="5"/>
  <c r="U312" i="5"/>
  <c r="T312" i="5"/>
  <c r="T87" i="5"/>
  <c r="U87" i="5"/>
  <c r="T451" i="5"/>
  <c r="U451" i="5"/>
  <c r="T323" i="5"/>
  <c r="U323" i="5"/>
  <c r="U480" i="5"/>
  <c r="T480" i="5"/>
  <c r="U178" i="5"/>
  <c r="T178" i="5"/>
  <c r="T335" i="5"/>
  <c r="U335" i="5"/>
  <c r="U67" i="5"/>
  <c r="T67" i="5"/>
  <c r="T529" i="5"/>
  <c r="U529" i="5"/>
  <c r="T22" i="5"/>
  <c r="U22" i="5"/>
  <c r="T173" i="5"/>
  <c r="U173" i="5"/>
  <c r="U442" i="5"/>
  <c r="T442" i="5"/>
  <c r="U538" i="5"/>
  <c r="T538" i="5"/>
  <c r="T207" i="5"/>
  <c r="U207" i="5"/>
  <c r="U557" i="5"/>
  <c r="T557" i="5"/>
  <c r="U180" i="5"/>
  <c r="T180" i="5"/>
  <c r="U116" i="5"/>
  <c r="T116" i="5"/>
  <c r="U23" i="5"/>
  <c r="T23" i="5"/>
  <c r="T467" i="5"/>
  <c r="U467" i="5"/>
  <c r="U25" i="5"/>
  <c r="T25" i="5"/>
  <c r="T181" i="5"/>
  <c r="U181" i="5"/>
  <c r="T489" i="5"/>
  <c r="U489" i="5"/>
  <c r="T511" i="5"/>
  <c r="U511" i="5"/>
  <c r="U446" i="5"/>
  <c r="T446" i="5"/>
  <c r="T225" i="5"/>
  <c r="U225" i="5"/>
  <c r="U193" i="5"/>
  <c r="T193" i="5"/>
  <c r="U426" i="5"/>
  <c r="T426" i="5"/>
  <c r="U295" i="5"/>
  <c r="T295" i="5"/>
  <c r="U154" i="5"/>
  <c r="T154" i="5"/>
  <c r="U114" i="5"/>
  <c r="T114" i="5"/>
  <c r="U132" i="5"/>
  <c r="T132" i="5"/>
  <c r="U476" i="5"/>
  <c r="T476" i="5"/>
  <c r="U352" i="5"/>
  <c r="T352" i="5"/>
  <c r="U273" i="5"/>
  <c r="T273" i="5"/>
  <c r="U147" i="5"/>
  <c r="T147" i="5"/>
  <c r="U29" i="5"/>
  <c r="T29" i="5"/>
  <c r="T533" i="5"/>
  <c r="U533" i="5"/>
  <c r="T416" i="5"/>
  <c r="U416" i="5"/>
  <c r="U346" i="5"/>
  <c r="T346" i="5"/>
  <c r="U228" i="5"/>
  <c r="T228" i="5"/>
  <c r="U59" i="5"/>
  <c r="T59" i="5"/>
  <c r="U439" i="5"/>
  <c r="T439" i="5"/>
  <c r="T300" i="5"/>
  <c r="U300" i="5"/>
  <c r="U153" i="5"/>
  <c r="T153" i="5"/>
  <c r="T211" i="5"/>
  <c r="U211" i="5"/>
  <c r="T292" i="5"/>
  <c r="U292" i="5"/>
  <c r="T79" i="5"/>
  <c r="U79" i="5"/>
  <c r="T497" i="5"/>
  <c r="U497" i="5"/>
  <c r="U379" i="5"/>
  <c r="T379" i="5"/>
  <c r="U263" i="5"/>
  <c r="T263" i="5"/>
  <c r="U137" i="5"/>
  <c r="T137" i="5"/>
  <c r="U216" i="5"/>
  <c r="T216" i="5"/>
  <c r="T549" i="5"/>
  <c r="U549" i="5"/>
  <c r="U369" i="5"/>
  <c r="T369" i="5"/>
  <c r="T145" i="5"/>
  <c r="U145" i="5"/>
  <c r="U31" i="5"/>
  <c r="T31" i="5"/>
  <c r="U47" i="5"/>
  <c r="T47" i="5"/>
  <c r="U171" i="5"/>
  <c r="T171" i="5"/>
  <c r="U233" i="5"/>
  <c r="T233" i="5"/>
  <c r="T365" i="5"/>
  <c r="U365" i="5"/>
  <c r="U458" i="5"/>
  <c r="T458" i="5"/>
  <c r="T534" i="5"/>
  <c r="U534" i="5"/>
  <c r="U498" i="5"/>
  <c r="T498" i="5"/>
  <c r="U118" i="5"/>
  <c r="T118" i="5"/>
  <c r="T232" i="5"/>
  <c r="U232" i="5"/>
  <c r="U366" i="5"/>
  <c r="T366" i="5"/>
  <c r="T454" i="5"/>
  <c r="U454" i="5"/>
  <c r="U28" i="5"/>
  <c r="T28" i="5"/>
  <c r="T125" i="5"/>
  <c r="U125" i="5"/>
  <c r="U270" i="5"/>
  <c r="T270" i="5"/>
  <c r="T434" i="5"/>
  <c r="U434" i="5"/>
  <c r="U457" i="5"/>
  <c r="T457" i="5"/>
  <c r="U91" i="5"/>
  <c r="T91" i="5"/>
  <c r="U218" i="5"/>
  <c r="T218" i="5"/>
  <c r="U294" i="5"/>
  <c r="T294" i="5"/>
  <c r="U428" i="5"/>
  <c r="T428" i="5"/>
  <c r="T329" i="5"/>
  <c r="U329" i="5"/>
  <c r="T127" i="5"/>
  <c r="U127" i="5"/>
  <c r="T337" i="5"/>
  <c r="U337" i="5"/>
  <c r="T496" i="5"/>
  <c r="U496" i="5"/>
  <c r="U560" i="5"/>
  <c r="T560" i="5"/>
  <c r="U479" i="5"/>
  <c r="T479" i="5"/>
  <c r="U152" i="5"/>
  <c r="T152" i="5"/>
  <c r="U342" i="5"/>
  <c r="T342" i="5"/>
  <c r="U395" i="5"/>
  <c r="T395" i="5"/>
  <c r="U279" i="5"/>
  <c r="T279" i="5"/>
  <c r="U90" i="5"/>
  <c r="T90" i="5"/>
  <c r="U134" i="5"/>
  <c r="T134" i="5"/>
  <c r="U550" i="5"/>
  <c r="T550" i="5"/>
  <c r="T85" i="5"/>
  <c r="U85" i="5"/>
  <c r="U221" i="5"/>
  <c r="T221" i="5"/>
  <c r="U361" i="5"/>
  <c r="T361" i="5"/>
  <c r="U375" i="5"/>
  <c r="T375" i="5"/>
  <c r="T443" i="5"/>
  <c r="U443" i="5"/>
  <c r="U385" i="5"/>
  <c r="T385" i="5"/>
  <c r="T351" i="5"/>
  <c r="U351" i="5"/>
  <c r="T264" i="5"/>
  <c r="U264" i="5"/>
  <c r="U377" i="5"/>
  <c r="T377" i="5"/>
  <c r="U217" i="5"/>
  <c r="T217" i="5"/>
  <c r="T343" i="5"/>
  <c r="U343" i="5"/>
  <c r="U349" i="5"/>
  <c r="T349" i="5"/>
  <c r="T406" i="5"/>
  <c r="U406" i="5"/>
  <c r="U111" i="5"/>
  <c r="T111" i="5"/>
  <c r="U258" i="5"/>
  <c r="T258" i="5"/>
  <c r="U194" i="5"/>
  <c r="T194" i="5"/>
  <c r="U306" i="5"/>
  <c r="T306" i="5"/>
  <c r="T293" i="5"/>
  <c r="U293" i="5"/>
  <c r="T32" i="5"/>
  <c r="U32" i="5"/>
  <c r="U182" i="5"/>
  <c r="T182" i="5"/>
  <c r="U388" i="5"/>
  <c r="T388" i="5"/>
  <c r="U282" i="5"/>
  <c r="T282" i="5"/>
  <c r="U162" i="5"/>
  <c r="T162" i="5"/>
  <c r="U53" i="5"/>
  <c r="T53" i="5"/>
  <c r="U105" i="5"/>
  <c r="T105" i="5"/>
  <c r="T484" i="5"/>
  <c r="U484" i="5"/>
  <c r="T331" i="5"/>
  <c r="U331" i="5"/>
  <c r="U255" i="5"/>
  <c r="T255" i="5"/>
  <c r="T170" i="5"/>
  <c r="U170" i="5"/>
  <c r="T396" i="5"/>
  <c r="U396" i="5"/>
  <c r="U524" i="5"/>
  <c r="T524" i="5"/>
  <c r="U423" i="5"/>
  <c r="T423" i="5"/>
  <c r="U334" i="5"/>
  <c r="T334" i="5"/>
  <c r="T240" i="5"/>
  <c r="U240" i="5"/>
  <c r="U76" i="5"/>
  <c r="T76" i="5"/>
  <c r="T435" i="5"/>
  <c r="U435" i="5"/>
  <c r="U289" i="5"/>
  <c r="T289" i="5"/>
  <c r="T186" i="5"/>
  <c r="U186" i="5"/>
  <c r="U151" i="5"/>
  <c r="T151" i="5"/>
  <c r="T256" i="5"/>
  <c r="U256" i="5"/>
  <c r="U551" i="5"/>
  <c r="T551" i="5"/>
  <c r="T477" i="5"/>
  <c r="U477" i="5"/>
  <c r="T374" i="5"/>
  <c r="U374" i="5"/>
  <c r="T231" i="5"/>
  <c r="U231" i="5"/>
  <c r="T121" i="5"/>
  <c r="U121" i="5"/>
  <c r="T61" i="5"/>
  <c r="U61" i="5"/>
  <c r="U519" i="5"/>
  <c r="T519" i="5"/>
  <c r="U364" i="5"/>
  <c r="T364" i="5"/>
  <c r="T166" i="5"/>
  <c r="U166" i="5"/>
  <c r="U70" i="5"/>
  <c r="T70" i="5"/>
  <c r="T81" i="5"/>
  <c r="U81" i="5"/>
  <c r="T175" i="5"/>
  <c r="U175" i="5"/>
  <c r="U237" i="5"/>
  <c r="T237" i="5"/>
  <c r="U368" i="5"/>
  <c r="T368" i="5"/>
  <c r="U463" i="5"/>
  <c r="T463" i="5"/>
  <c r="U36" i="5"/>
  <c r="T36" i="5"/>
  <c r="U30" i="5"/>
  <c r="T30" i="5"/>
  <c r="T143" i="5"/>
  <c r="U143" i="5"/>
  <c r="U235" i="5"/>
  <c r="T235" i="5"/>
  <c r="U390" i="5"/>
  <c r="T390" i="5"/>
  <c r="T466" i="5"/>
  <c r="U466" i="5"/>
  <c r="U46" i="5"/>
  <c r="T46" i="5"/>
  <c r="T142" i="5"/>
  <c r="U142" i="5"/>
  <c r="T275" i="5"/>
  <c r="U275" i="5"/>
  <c r="U437" i="5"/>
  <c r="T437" i="5"/>
  <c r="U482" i="5"/>
  <c r="T482" i="5"/>
  <c r="U98" i="5"/>
  <c r="T98" i="5"/>
  <c r="U249" i="5"/>
  <c r="T249" i="5"/>
  <c r="U309" i="5"/>
  <c r="T309" i="5"/>
  <c r="U445" i="5"/>
  <c r="T445" i="5"/>
  <c r="T26" i="5"/>
  <c r="U26" i="5"/>
  <c r="U135" i="5"/>
  <c r="T135" i="5"/>
  <c r="U350" i="5"/>
  <c r="T350" i="5"/>
  <c r="T500" i="5"/>
  <c r="U500" i="5"/>
  <c r="T19" i="5"/>
  <c r="U19" i="5"/>
  <c r="T547" i="5"/>
  <c r="U547" i="5"/>
  <c r="U164" i="5"/>
  <c r="T164" i="5"/>
  <c r="T392" i="5"/>
  <c r="U392" i="5"/>
  <c r="U421" i="5"/>
  <c r="T421" i="5"/>
  <c r="T195" i="5"/>
  <c r="U195" i="5"/>
  <c r="U138" i="5"/>
  <c r="T138" i="5"/>
  <c r="U469" i="5"/>
  <c r="T469" i="5"/>
  <c r="T92" i="5"/>
  <c r="U92" i="5"/>
  <c r="U204" i="5"/>
  <c r="T204" i="5"/>
  <c r="T224" i="5"/>
  <c r="U224" i="5"/>
  <c r="U197" i="5"/>
  <c r="T197" i="5"/>
  <c r="U394" i="5"/>
  <c r="T394" i="5"/>
  <c r="U106" i="5"/>
  <c r="T106" i="5"/>
  <c r="U251" i="5"/>
  <c r="T251" i="5"/>
  <c r="T495" i="5"/>
  <c r="U495" i="5"/>
  <c r="U440" i="5"/>
  <c r="T440" i="5"/>
  <c r="U459" i="5"/>
  <c r="T459" i="5"/>
  <c r="T507" i="5"/>
  <c r="U507" i="5"/>
  <c r="T380" i="5"/>
  <c r="U380" i="5"/>
  <c r="T456" i="5"/>
  <c r="U456" i="5"/>
  <c r="T117" i="5"/>
  <c r="U117" i="5"/>
  <c r="U288" i="5"/>
  <c r="T288" i="5"/>
  <c r="T556" i="5"/>
  <c r="U556" i="5"/>
  <c r="U475" i="5"/>
  <c r="T475" i="5"/>
  <c r="T357" i="5"/>
  <c r="U357" i="5"/>
  <c r="U391" i="5"/>
  <c r="T391" i="5"/>
  <c r="U45" i="5"/>
  <c r="T45" i="5"/>
  <c r="U558" i="5"/>
  <c r="T558" i="5"/>
  <c r="U402" i="5"/>
  <c r="T402" i="5"/>
  <c r="T287" i="5"/>
  <c r="U287" i="5"/>
  <c r="T167" i="5"/>
  <c r="U167" i="5"/>
  <c r="U510" i="5"/>
  <c r="T510" i="5"/>
  <c r="T109" i="5"/>
  <c r="U109" i="5"/>
  <c r="U490" i="5"/>
  <c r="T490" i="5"/>
  <c r="T311" i="5"/>
  <c r="U311" i="5"/>
  <c r="U253" i="5"/>
  <c r="T253" i="5"/>
  <c r="T158" i="5"/>
  <c r="U158" i="5"/>
  <c r="U215" i="5"/>
  <c r="T215" i="5"/>
  <c r="U514" i="5"/>
  <c r="T514" i="5"/>
  <c r="U447" i="5"/>
  <c r="T447" i="5"/>
  <c r="U303" i="5"/>
  <c r="T303" i="5"/>
  <c r="T183" i="5"/>
  <c r="U183" i="5"/>
  <c r="U537" i="5"/>
  <c r="T537" i="5"/>
  <c r="U431" i="5"/>
  <c r="T431" i="5"/>
  <c r="T259" i="5"/>
  <c r="U259" i="5"/>
  <c r="U130" i="5"/>
  <c r="T130" i="5"/>
  <c r="T24" i="5"/>
  <c r="U24" i="5"/>
  <c r="T220" i="5"/>
  <c r="U220" i="5"/>
  <c r="T554" i="5"/>
  <c r="U554" i="5"/>
  <c r="U438" i="5"/>
  <c r="T438" i="5"/>
  <c r="U314" i="5"/>
  <c r="T314" i="5"/>
  <c r="U188" i="5"/>
  <c r="T188" i="5"/>
  <c r="T43" i="5"/>
  <c r="U43" i="5"/>
  <c r="U21" i="5"/>
  <c r="T21" i="5"/>
  <c r="U492" i="5"/>
  <c r="T492" i="5"/>
  <c r="U281" i="5"/>
  <c r="T281" i="5"/>
  <c r="U146" i="5"/>
  <c r="T146" i="5"/>
  <c r="T119" i="5"/>
  <c r="U119" i="5"/>
  <c r="T86" i="5"/>
  <c r="U86" i="5"/>
  <c r="U184" i="5"/>
  <c r="T184" i="5"/>
  <c r="U260" i="5"/>
  <c r="T260" i="5"/>
  <c r="U382" i="5"/>
  <c r="T382" i="5"/>
  <c r="U486" i="5"/>
  <c r="T486" i="5"/>
  <c r="U84" i="5"/>
  <c r="T84" i="5"/>
  <c r="U33" i="5"/>
  <c r="T33" i="5"/>
  <c r="T159" i="5"/>
  <c r="U159" i="5"/>
  <c r="U243" i="5"/>
  <c r="T243" i="5"/>
  <c r="U400" i="5"/>
  <c r="T400" i="5"/>
  <c r="U512" i="5"/>
  <c r="T512" i="5"/>
  <c r="U55" i="5"/>
  <c r="T55" i="5"/>
  <c r="U144" i="5"/>
  <c r="T144" i="5"/>
  <c r="U299" i="5"/>
  <c r="T299" i="5"/>
  <c r="U503" i="5"/>
  <c r="T503" i="5"/>
  <c r="U552" i="5"/>
  <c r="T552" i="5"/>
  <c r="U108" i="5"/>
  <c r="T108" i="5"/>
  <c r="T252" i="5"/>
  <c r="U252" i="5"/>
  <c r="U325" i="5"/>
  <c r="T325" i="5"/>
  <c r="T468" i="5"/>
  <c r="U468" i="5"/>
  <c r="U39" i="5"/>
  <c r="T39" i="5"/>
  <c r="U149" i="5"/>
  <c r="T149" i="5"/>
  <c r="T381" i="5"/>
  <c r="U381" i="5"/>
  <c r="T509" i="5"/>
  <c r="U509" i="5"/>
  <c r="T34" i="5"/>
  <c r="U34" i="5"/>
  <c r="T50" i="5"/>
  <c r="U50" i="5"/>
  <c r="U172" i="5"/>
  <c r="T172" i="5"/>
  <c r="U559" i="5"/>
  <c r="T559" i="5"/>
  <c r="T96" i="5"/>
  <c r="U96" i="5"/>
  <c r="U223" i="5"/>
  <c r="T223" i="5"/>
  <c r="U122" i="5"/>
  <c r="T122" i="5"/>
  <c r="T521" i="5"/>
  <c r="U521" i="5"/>
  <c r="U410" i="5"/>
  <c r="T410" i="5"/>
  <c r="T327" i="5"/>
  <c r="U327" i="5"/>
  <c r="U321" i="5"/>
  <c r="T321" i="5"/>
  <c r="U250" i="5"/>
  <c r="T250" i="5"/>
  <c r="U60" i="5"/>
  <c r="T60" i="5"/>
  <c r="T89" i="5"/>
  <c r="U89" i="5"/>
  <c r="U318" i="5"/>
  <c r="T318" i="5"/>
  <c r="T359" i="5"/>
  <c r="U359" i="5"/>
  <c r="U283" i="5"/>
  <c r="T283" i="5"/>
  <c r="T429" i="5"/>
  <c r="U429" i="5"/>
  <c r="T234" i="5"/>
  <c r="U234" i="5"/>
  <c r="U165" i="5"/>
  <c r="T165" i="5"/>
  <c r="T102" i="5"/>
  <c r="U102" i="5"/>
  <c r="T268" i="5"/>
  <c r="U268" i="5"/>
  <c r="U376" i="5"/>
  <c r="T376" i="5"/>
  <c r="U462" i="5"/>
  <c r="T462" i="5"/>
  <c r="U370" i="5"/>
  <c r="T370" i="5"/>
  <c r="U304" i="5"/>
  <c r="T304" i="5"/>
  <c r="U465" i="5"/>
  <c r="T465" i="5"/>
  <c r="U472" i="5"/>
  <c r="T472" i="5"/>
  <c r="T539" i="5"/>
  <c r="U539" i="5"/>
  <c r="U362" i="5"/>
  <c r="T362" i="5"/>
  <c r="U239" i="5"/>
  <c r="T239" i="5"/>
  <c r="U110" i="5"/>
  <c r="T110" i="5"/>
  <c r="U444" i="5"/>
  <c r="T444" i="5"/>
  <c r="U99" i="5"/>
  <c r="T99" i="5"/>
  <c r="U453" i="5"/>
  <c r="T453" i="5"/>
  <c r="T315" i="5"/>
  <c r="U315" i="5"/>
  <c r="U271" i="5"/>
  <c r="T271" i="5"/>
  <c r="U136" i="5"/>
  <c r="T136" i="5"/>
  <c r="U185" i="5"/>
  <c r="T185" i="5"/>
  <c r="T516" i="5"/>
  <c r="U516" i="5"/>
  <c r="U424" i="5"/>
  <c r="T424" i="5"/>
  <c r="T355" i="5"/>
  <c r="U355" i="5"/>
  <c r="T156" i="5"/>
  <c r="U156" i="5"/>
  <c r="T518" i="5"/>
  <c r="U518" i="5"/>
  <c r="T412" i="5"/>
  <c r="U412" i="5"/>
  <c r="U222" i="5"/>
  <c r="T222" i="5"/>
  <c r="T140" i="5"/>
  <c r="U140" i="5"/>
  <c r="U37" i="5"/>
  <c r="T37" i="5"/>
  <c r="T155" i="5"/>
  <c r="U155" i="5"/>
  <c r="U542" i="5"/>
  <c r="T542" i="5"/>
  <c r="U464" i="5"/>
  <c r="T464" i="5"/>
  <c r="U326" i="5"/>
  <c r="T326" i="5"/>
  <c r="T177" i="5"/>
  <c r="U177" i="5"/>
  <c r="T40" i="5"/>
  <c r="U40" i="5"/>
  <c r="U470" i="5"/>
  <c r="T470" i="5"/>
  <c r="T474" i="5"/>
  <c r="U474" i="5"/>
  <c r="T267" i="5"/>
  <c r="U267" i="5"/>
  <c r="T129" i="5"/>
  <c r="U129" i="5"/>
  <c r="U248" i="5"/>
  <c r="T248" i="5"/>
  <c r="T93" i="5"/>
  <c r="U93" i="5"/>
  <c r="U196" i="5"/>
  <c r="T196" i="5"/>
  <c r="U272" i="5"/>
  <c r="T272" i="5"/>
  <c r="U404" i="5"/>
  <c r="T404" i="5"/>
  <c r="T487" i="5"/>
  <c r="U487" i="5"/>
  <c r="T265" i="5"/>
  <c r="U265" i="5"/>
  <c r="U41" i="5"/>
  <c r="T41" i="5"/>
  <c r="U163" i="5"/>
  <c r="T163" i="5"/>
  <c r="U296" i="5"/>
  <c r="T296" i="5"/>
  <c r="T403" i="5"/>
  <c r="U403" i="5"/>
  <c r="U527" i="5"/>
  <c r="T527" i="5"/>
  <c r="U68" i="5"/>
  <c r="T68" i="5"/>
  <c r="T148" i="5"/>
  <c r="U148" i="5"/>
  <c r="U316" i="5"/>
  <c r="T316" i="5"/>
  <c r="T540" i="5"/>
  <c r="U540" i="5"/>
  <c r="U20" i="5"/>
  <c r="T20" i="5"/>
  <c r="U131" i="5"/>
  <c r="T131" i="5"/>
  <c r="U254" i="5"/>
  <c r="T254" i="5"/>
  <c r="T336" i="5"/>
  <c r="U336" i="5"/>
  <c r="U520" i="5"/>
  <c r="T520" i="5"/>
  <c r="U54" i="5"/>
  <c r="T54" i="5"/>
  <c r="U208" i="5"/>
  <c r="T208" i="5"/>
  <c r="U414" i="5"/>
  <c r="T414" i="5"/>
  <c r="T515" i="5"/>
  <c r="U515" i="5"/>
  <c r="T58" i="5"/>
  <c r="U58" i="5"/>
  <c r="T52" i="5"/>
  <c r="U52" i="5"/>
  <c r="U230" i="5"/>
  <c r="T230" i="5"/>
  <c r="U313" i="5"/>
  <c r="T313" i="5"/>
  <c r="T389" i="5"/>
  <c r="U389" i="5"/>
  <c r="U555" i="5"/>
  <c r="T555" i="5"/>
  <c r="U123" i="5"/>
  <c r="T123" i="5"/>
  <c r="B130" i="3"/>
  <c r="B150" i="3"/>
  <c r="U7" i="5"/>
  <c r="T7" i="5"/>
  <c r="B161" i="3"/>
  <c r="I63" i="2" s="1"/>
  <c r="B43" i="5"/>
  <c r="S10" i="5"/>
  <c r="T12" i="5"/>
  <c r="U12" i="5"/>
  <c r="T13" i="5"/>
  <c r="U13" i="5"/>
  <c r="U8" i="5"/>
  <c r="T8" i="5"/>
  <c r="B10" i="5"/>
  <c r="B9" i="5"/>
  <c r="B11" i="5"/>
  <c r="E49" i="3"/>
  <c r="E47" i="3"/>
  <c r="B17" i="5"/>
  <c r="B107" i="3"/>
  <c r="B105" i="3"/>
  <c r="B103" i="3"/>
  <c r="B128" i="3" s="1"/>
  <c r="B100" i="3"/>
  <c r="I52" i="2" s="1"/>
  <c r="B99" i="3"/>
  <c r="B5" i="4"/>
  <c r="E9" i="3"/>
  <c r="I8" i="4"/>
  <c r="I12" i="4"/>
  <c r="I16" i="4"/>
  <c r="I20" i="4"/>
  <c r="I24" i="4"/>
  <c r="I28" i="4"/>
  <c r="I32" i="4"/>
  <c r="I36" i="4"/>
  <c r="I40" i="4"/>
  <c r="I44" i="4"/>
  <c r="I48" i="4"/>
  <c r="I52" i="4"/>
  <c r="I56" i="4"/>
  <c r="I60" i="4"/>
  <c r="I64" i="4"/>
  <c r="I68" i="4"/>
  <c r="I72" i="4"/>
  <c r="I76" i="4"/>
  <c r="I80" i="4"/>
  <c r="I84" i="4"/>
  <c r="I88" i="4"/>
  <c r="I92" i="4"/>
  <c r="I96" i="4"/>
  <c r="I100" i="4"/>
  <c r="I104" i="4"/>
  <c r="I26" i="4"/>
  <c r="I11" i="4"/>
  <c r="I38" i="4"/>
  <c r="I65" i="4"/>
  <c r="I10" i="4"/>
  <c r="I58" i="4"/>
  <c r="I90" i="4"/>
  <c r="I27" i="4"/>
  <c r="I54" i="4"/>
  <c r="I22" i="4"/>
  <c r="I49" i="4"/>
  <c r="I70" i="4"/>
  <c r="I7" i="4"/>
  <c r="I13" i="4"/>
  <c r="I18" i="4"/>
  <c r="I23" i="4"/>
  <c r="I29" i="4"/>
  <c r="I34" i="4"/>
  <c r="I39" i="4"/>
  <c r="I45" i="4"/>
  <c r="I50" i="4"/>
  <c r="I55" i="4"/>
  <c r="I61" i="4"/>
  <c r="I66" i="4"/>
  <c r="I71" i="4"/>
  <c r="I77" i="4"/>
  <c r="I82" i="4"/>
  <c r="I87" i="4"/>
  <c r="I93" i="4"/>
  <c r="I98" i="4"/>
  <c r="I103" i="4"/>
  <c r="I9" i="4"/>
  <c r="I14" i="4"/>
  <c r="I19" i="4"/>
  <c r="I25" i="4"/>
  <c r="I30" i="4"/>
  <c r="I35" i="4"/>
  <c r="I41" i="4"/>
  <c r="I46" i="4"/>
  <c r="I51" i="4"/>
  <c r="I57" i="4"/>
  <c r="I62" i="4"/>
  <c r="I67" i="4"/>
  <c r="I73" i="4"/>
  <c r="I78" i="4"/>
  <c r="I83" i="4"/>
  <c r="I89" i="4"/>
  <c r="I94" i="4"/>
  <c r="I99" i="4"/>
  <c r="I4" i="4"/>
  <c r="I5" i="4"/>
  <c r="I15" i="4"/>
  <c r="I21" i="4"/>
  <c r="I31" i="4"/>
  <c r="I37" i="4"/>
  <c r="I42" i="4"/>
  <c r="I47" i="4"/>
  <c r="I53" i="4"/>
  <c r="I63" i="4"/>
  <c r="I69" i="4"/>
  <c r="I74" i="4"/>
  <c r="I79" i="4"/>
  <c r="I85" i="4"/>
  <c r="I95" i="4"/>
  <c r="I101" i="4"/>
  <c r="I6" i="4"/>
  <c r="I17" i="4"/>
  <c r="I33" i="4"/>
  <c r="I43" i="4"/>
  <c r="I59" i="4"/>
  <c r="I91" i="4"/>
  <c r="I97" i="4"/>
  <c r="I102" i="4"/>
  <c r="I75" i="4"/>
  <c r="I81" i="4"/>
  <c r="I86" i="4"/>
  <c r="B8" i="4"/>
  <c r="B6" i="4"/>
  <c r="B4" i="4"/>
  <c r="B27" i="3"/>
  <c r="I22" i="2" s="1"/>
  <c r="E6" i="3"/>
  <c r="B34" i="3"/>
  <c r="B35" i="3" s="1"/>
  <c r="B36" i="3" s="1"/>
  <c r="E14" i="3"/>
  <c r="E3" i="3"/>
  <c r="E5" i="3"/>
  <c r="E4" i="3"/>
  <c r="B31" i="3"/>
  <c r="B32" i="3" s="1"/>
  <c r="B33" i="3" s="1"/>
  <c r="B12" i="3"/>
  <c r="B24" i="3"/>
  <c r="I20" i="2" s="1"/>
  <c r="B26" i="3"/>
  <c r="I21" i="2" s="1"/>
  <c r="U356" i="5" l="1"/>
  <c r="U62" i="5"/>
  <c r="U344" i="5"/>
  <c r="T87" i="8"/>
  <c r="V87" i="8" s="1"/>
  <c r="AM87" i="8" s="1"/>
  <c r="T31" i="8"/>
  <c r="V31" i="8" s="1"/>
  <c r="AM31" i="8" s="1"/>
  <c r="T189" i="5"/>
  <c r="T229" i="5"/>
  <c r="U427" i="5"/>
  <c r="U73" i="5"/>
  <c r="T506" i="5"/>
  <c r="U436" i="5"/>
  <c r="T79" i="8"/>
  <c r="V79" i="8" s="1"/>
  <c r="AM79" i="8" s="1"/>
  <c r="AZ10" i="5"/>
  <c r="J46" i="5"/>
  <c r="T80" i="8"/>
  <c r="V80" i="8" s="1"/>
  <c r="AM80" i="8" s="1"/>
  <c r="T112" i="8"/>
  <c r="V112" i="8" s="1"/>
  <c r="AM112" i="8" s="1"/>
  <c r="T66" i="8"/>
  <c r="V66" i="8" s="1"/>
  <c r="AM66" i="8" s="1"/>
  <c r="T7" i="8"/>
  <c r="V7" i="8" s="1"/>
  <c r="AM7" i="8" s="1"/>
  <c r="T23" i="8"/>
  <c r="V23" i="8" s="1"/>
  <c r="AM23" i="8" s="1"/>
  <c r="BB10" i="5"/>
  <c r="T135" i="8"/>
  <c r="V135" i="8" s="1"/>
  <c r="AM135" i="8" s="1"/>
  <c r="T82" i="8"/>
  <c r="V82" i="8" s="1"/>
  <c r="AM82" i="8" s="1"/>
  <c r="T151" i="8"/>
  <c r="V151" i="8" s="1"/>
  <c r="AM151" i="8" s="1"/>
  <c r="T127" i="8"/>
  <c r="V127" i="8" s="1"/>
  <c r="AM127" i="8" s="1"/>
  <c r="T120" i="8"/>
  <c r="V120" i="8" s="1"/>
  <c r="AM120" i="8" s="1"/>
  <c r="T18" i="8"/>
  <c r="V18" i="8" s="1"/>
  <c r="AM18" i="8" s="1"/>
  <c r="T122" i="8"/>
  <c r="V122" i="8" s="1"/>
  <c r="AM122" i="8" s="1"/>
  <c r="T56" i="8"/>
  <c r="V56" i="8" s="1"/>
  <c r="AM56" i="8" s="1"/>
  <c r="T11" i="8"/>
  <c r="V11" i="8" s="1"/>
  <c r="AM11" i="8" s="1"/>
  <c r="T107" i="8"/>
  <c r="V107" i="8" s="1"/>
  <c r="AM107" i="8" s="1"/>
  <c r="T103" i="8"/>
  <c r="V103" i="8" s="1"/>
  <c r="AM103" i="8" s="1"/>
  <c r="T39" i="8"/>
  <c r="V39" i="8" s="1"/>
  <c r="AM39" i="8" s="1"/>
  <c r="T8" i="8"/>
  <c r="V8" i="8" s="1"/>
  <c r="AM8" i="8" s="1"/>
  <c r="T136" i="8"/>
  <c r="V136" i="8" s="1"/>
  <c r="AM136" i="8" s="1"/>
  <c r="T130" i="8"/>
  <c r="V130" i="8" s="1"/>
  <c r="AM130" i="8" s="1"/>
  <c r="T55" i="8"/>
  <c r="V55" i="8" s="1"/>
  <c r="AM55" i="8" s="1"/>
  <c r="T71" i="8"/>
  <c r="V71" i="8" s="1"/>
  <c r="AM71" i="8" s="1"/>
  <c r="T16" i="8"/>
  <c r="V16" i="8" s="1"/>
  <c r="AM16" i="8" s="1"/>
  <c r="T65" i="8"/>
  <c r="V65" i="8" s="1"/>
  <c r="AM65" i="8" s="1"/>
  <c r="T146" i="8"/>
  <c r="V146" i="8" s="1"/>
  <c r="AM146" i="8" s="1"/>
  <c r="T63" i="8"/>
  <c r="V63" i="8" s="1"/>
  <c r="AM63" i="8" s="1"/>
  <c r="T15" i="8"/>
  <c r="V15" i="8" s="1"/>
  <c r="AM15" i="8" s="1"/>
  <c r="T48" i="8"/>
  <c r="V48" i="8" s="1"/>
  <c r="AM48" i="8" s="1"/>
  <c r="T145" i="8"/>
  <c r="V145" i="8" s="1"/>
  <c r="AM145" i="8" s="1"/>
  <c r="T137" i="8"/>
  <c r="V137" i="8" s="1"/>
  <c r="AM137" i="8" s="1"/>
  <c r="T47" i="8"/>
  <c r="V47" i="8" s="1"/>
  <c r="AM47" i="8" s="1"/>
  <c r="T95" i="8"/>
  <c r="V95" i="8" s="1"/>
  <c r="AM95" i="8" s="1"/>
  <c r="T72" i="8"/>
  <c r="V72" i="8" s="1"/>
  <c r="AM72" i="8" s="1"/>
  <c r="T58" i="8"/>
  <c r="V58" i="8" s="1"/>
  <c r="AM58" i="8" s="1"/>
  <c r="T99" i="8"/>
  <c r="V99" i="8" s="1"/>
  <c r="AM99" i="8" s="1"/>
  <c r="T143" i="8"/>
  <c r="V143" i="8" s="1"/>
  <c r="AM143" i="8" s="1"/>
  <c r="T64" i="8"/>
  <c r="V64" i="8" s="1"/>
  <c r="AM64" i="8" s="1"/>
  <c r="T128" i="8"/>
  <c r="V128" i="8" s="1"/>
  <c r="AM128" i="8" s="1"/>
  <c r="T10" i="8"/>
  <c r="V10" i="8" s="1"/>
  <c r="AM10" i="8" s="1"/>
  <c r="T74" i="8"/>
  <c r="V74" i="8" s="1"/>
  <c r="AM74" i="8" s="1"/>
  <c r="T138" i="8"/>
  <c r="V138" i="8" s="1"/>
  <c r="AM138" i="8" s="1"/>
  <c r="T19" i="8"/>
  <c r="V19" i="8" s="1"/>
  <c r="AM19" i="8" s="1"/>
  <c r="T147" i="8"/>
  <c r="V147" i="8" s="1"/>
  <c r="AM147" i="8" s="1"/>
  <c r="T27" i="8"/>
  <c r="V27" i="8" s="1"/>
  <c r="AM27" i="8" s="1"/>
  <c r="T155" i="8"/>
  <c r="V155" i="8" s="1"/>
  <c r="AM155" i="8" s="1"/>
  <c r="T144" i="8"/>
  <c r="V144" i="8" s="1"/>
  <c r="AM144" i="8" s="1"/>
  <c r="T26" i="8"/>
  <c r="V26" i="8" s="1"/>
  <c r="AM26" i="8" s="1"/>
  <c r="T90" i="8"/>
  <c r="V90" i="8" s="1"/>
  <c r="AM90" i="8" s="1"/>
  <c r="T154" i="8"/>
  <c r="V154" i="8" s="1"/>
  <c r="AM154" i="8" s="1"/>
  <c r="T35" i="8"/>
  <c r="V35" i="8" s="1"/>
  <c r="AM35" i="8" s="1"/>
  <c r="T33" i="8"/>
  <c r="V33" i="8" s="1"/>
  <c r="AM33" i="8" s="1"/>
  <c r="T24" i="8"/>
  <c r="V24" i="8" s="1"/>
  <c r="AM24" i="8" s="1"/>
  <c r="T88" i="8"/>
  <c r="V88" i="8" s="1"/>
  <c r="AM88" i="8" s="1"/>
  <c r="T152" i="8"/>
  <c r="V152" i="8" s="1"/>
  <c r="AM152" i="8" s="1"/>
  <c r="T34" i="8"/>
  <c r="V34" i="8" s="1"/>
  <c r="AM34" i="8" s="1"/>
  <c r="T98" i="8"/>
  <c r="V98" i="8" s="1"/>
  <c r="AM98" i="8" s="1"/>
  <c r="T17" i="8"/>
  <c r="V17" i="8" s="1"/>
  <c r="AM17" i="8" s="1"/>
  <c r="T43" i="8"/>
  <c r="V43" i="8" s="1"/>
  <c r="AM43" i="8" s="1"/>
  <c r="T73" i="8"/>
  <c r="V73" i="8" s="1"/>
  <c r="AM73" i="8" s="1"/>
  <c r="T111" i="8"/>
  <c r="V111" i="8" s="1"/>
  <c r="AM111" i="8" s="1"/>
  <c r="T32" i="8"/>
  <c r="V32" i="8" s="1"/>
  <c r="AM32" i="8" s="1"/>
  <c r="T96" i="8"/>
  <c r="V96" i="8" s="1"/>
  <c r="AM96" i="8" s="1"/>
  <c r="T153" i="8"/>
  <c r="V153" i="8" s="1"/>
  <c r="AM153" i="8" s="1"/>
  <c r="T42" i="8"/>
  <c r="V42" i="8" s="1"/>
  <c r="AM42" i="8" s="1"/>
  <c r="T106" i="8"/>
  <c r="V106" i="8" s="1"/>
  <c r="AM106" i="8" s="1"/>
  <c r="T57" i="8"/>
  <c r="V57" i="8" s="1"/>
  <c r="AM57" i="8" s="1"/>
  <c r="T83" i="8"/>
  <c r="V83" i="8" s="1"/>
  <c r="AM83" i="8" s="1"/>
  <c r="T44" i="8"/>
  <c r="V44" i="8" s="1"/>
  <c r="AM44" i="8" s="1"/>
  <c r="T119" i="8"/>
  <c r="V119" i="8" s="1"/>
  <c r="AM119" i="8" s="1"/>
  <c r="T40" i="8"/>
  <c r="V40" i="8" s="1"/>
  <c r="AM40" i="8" s="1"/>
  <c r="T104" i="8"/>
  <c r="V104" i="8" s="1"/>
  <c r="AM104" i="8" s="1"/>
  <c r="T9" i="8"/>
  <c r="V9" i="8" s="1"/>
  <c r="AM9" i="8" s="1"/>
  <c r="T50" i="8"/>
  <c r="V50" i="8" s="1"/>
  <c r="AM50" i="8" s="1"/>
  <c r="T114" i="8"/>
  <c r="V114" i="8" s="1"/>
  <c r="AM114" i="8" s="1"/>
  <c r="T97" i="8"/>
  <c r="V97" i="8" s="1"/>
  <c r="AM97" i="8" s="1"/>
  <c r="T91" i="8"/>
  <c r="V91" i="8" s="1"/>
  <c r="AM91" i="8" s="1"/>
  <c r="T52" i="8"/>
  <c r="V52" i="8" s="1"/>
  <c r="AM52" i="8" s="1"/>
  <c r="T36" i="8"/>
  <c r="V36" i="8" s="1"/>
  <c r="AM36" i="8" s="1"/>
  <c r="T100" i="8"/>
  <c r="V100" i="8" s="1"/>
  <c r="AM100" i="8" s="1"/>
  <c r="T108" i="8"/>
  <c r="V108" i="8" s="1"/>
  <c r="AM108" i="8" s="1"/>
  <c r="T116" i="8"/>
  <c r="V116" i="8" s="1"/>
  <c r="AM116" i="8" s="1"/>
  <c r="T41" i="8"/>
  <c r="V41" i="8" s="1"/>
  <c r="AM41" i="8" s="1"/>
  <c r="T81" i="8"/>
  <c r="V81" i="8" s="1"/>
  <c r="AM81" i="8" s="1"/>
  <c r="T89" i="8"/>
  <c r="V89" i="8" s="1"/>
  <c r="AM89" i="8" s="1"/>
  <c r="T105" i="8"/>
  <c r="V105" i="8" s="1"/>
  <c r="AM105" i="8" s="1"/>
  <c r="T53" i="8"/>
  <c r="V53" i="8" s="1"/>
  <c r="AM53" i="8" s="1"/>
  <c r="T61" i="8"/>
  <c r="V61" i="8" s="1"/>
  <c r="AM61" i="8" s="1"/>
  <c r="T117" i="8"/>
  <c r="V117" i="8" s="1"/>
  <c r="AM117" i="8" s="1"/>
  <c r="T125" i="8"/>
  <c r="V125" i="8" s="1"/>
  <c r="AM125" i="8" s="1"/>
  <c r="T113" i="8"/>
  <c r="V113" i="8" s="1"/>
  <c r="AM113" i="8" s="1"/>
  <c r="T69" i="8"/>
  <c r="V69" i="8" s="1"/>
  <c r="AM69" i="8" s="1"/>
  <c r="T133" i="8"/>
  <c r="V133" i="8" s="1"/>
  <c r="AM133" i="8" s="1"/>
  <c r="T121" i="8"/>
  <c r="V121" i="8" s="1"/>
  <c r="AM121" i="8" s="1"/>
  <c r="T60" i="8"/>
  <c r="V60" i="8" s="1"/>
  <c r="AM60" i="8" s="1"/>
  <c r="T124" i="8"/>
  <c r="V124" i="8" s="1"/>
  <c r="AM124" i="8" s="1"/>
  <c r="T13" i="8"/>
  <c r="V13" i="8" s="1"/>
  <c r="AM13" i="8" s="1"/>
  <c r="T77" i="8"/>
  <c r="V77" i="8" s="1"/>
  <c r="AM77" i="8" s="1"/>
  <c r="T141" i="8"/>
  <c r="V141" i="8" s="1"/>
  <c r="AM141" i="8" s="1"/>
  <c r="T14" i="8"/>
  <c r="V14" i="8" s="1"/>
  <c r="AM14" i="8" s="1"/>
  <c r="T51" i="8"/>
  <c r="V51" i="8" s="1"/>
  <c r="AM51" i="8" s="1"/>
  <c r="T115" i="8"/>
  <c r="V115" i="8" s="1"/>
  <c r="AM115" i="8" s="1"/>
  <c r="T129" i="8"/>
  <c r="V129" i="8" s="1"/>
  <c r="AM129" i="8" s="1"/>
  <c r="T68" i="8"/>
  <c r="V68" i="8" s="1"/>
  <c r="AM68" i="8" s="1"/>
  <c r="T132" i="8"/>
  <c r="V132" i="8" s="1"/>
  <c r="AM132" i="8" s="1"/>
  <c r="T21" i="8"/>
  <c r="V21" i="8" s="1"/>
  <c r="AM21" i="8" s="1"/>
  <c r="T85" i="8"/>
  <c r="V85" i="8" s="1"/>
  <c r="AM85" i="8" s="1"/>
  <c r="T149" i="8"/>
  <c r="V149" i="8" s="1"/>
  <c r="AM149" i="8" s="1"/>
  <c r="T22" i="8"/>
  <c r="V22" i="8" s="1"/>
  <c r="AM22" i="8" s="1"/>
  <c r="T59" i="8"/>
  <c r="V59" i="8" s="1"/>
  <c r="AM59" i="8" s="1"/>
  <c r="T123" i="8"/>
  <c r="V123" i="8" s="1"/>
  <c r="AM123" i="8" s="1"/>
  <c r="T12" i="8"/>
  <c r="V12" i="8" s="1"/>
  <c r="AM12" i="8" s="1"/>
  <c r="T76" i="8"/>
  <c r="V76" i="8" s="1"/>
  <c r="AM76" i="8" s="1"/>
  <c r="T140" i="8"/>
  <c r="V140" i="8" s="1"/>
  <c r="AM140" i="8" s="1"/>
  <c r="T29" i="8"/>
  <c r="V29" i="8" s="1"/>
  <c r="AM29" i="8" s="1"/>
  <c r="T93" i="8"/>
  <c r="V93" i="8" s="1"/>
  <c r="AM93" i="8" s="1"/>
  <c r="T157" i="8"/>
  <c r="V157" i="8" s="1"/>
  <c r="AM157" i="8" s="1"/>
  <c r="T30" i="8"/>
  <c r="V30" i="8" s="1"/>
  <c r="AM30" i="8" s="1"/>
  <c r="T67" i="8"/>
  <c r="V67" i="8" s="1"/>
  <c r="AM67" i="8" s="1"/>
  <c r="T131" i="8"/>
  <c r="V131" i="8" s="1"/>
  <c r="AM131" i="8" s="1"/>
  <c r="T20" i="8"/>
  <c r="V20" i="8" s="1"/>
  <c r="AM20" i="8" s="1"/>
  <c r="T84" i="8"/>
  <c r="V84" i="8" s="1"/>
  <c r="AM84" i="8" s="1"/>
  <c r="T148" i="8"/>
  <c r="V148" i="8" s="1"/>
  <c r="AM148" i="8" s="1"/>
  <c r="T37" i="8"/>
  <c r="V37" i="8" s="1"/>
  <c r="AM37" i="8" s="1"/>
  <c r="T101" i="8"/>
  <c r="V101" i="8" s="1"/>
  <c r="AM101" i="8" s="1"/>
  <c r="T25" i="8"/>
  <c r="V25" i="8" s="1"/>
  <c r="AM25" i="8" s="1"/>
  <c r="T62" i="8"/>
  <c r="V62" i="8" s="1"/>
  <c r="AM62" i="8" s="1"/>
  <c r="T75" i="8"/>
  <c r="V75" i="8" s="1"/>
  <c r="AM75" i="8" s="1"/>
  <c r="T139" i="8"/>
  <c r="V139" i="8" s="1"/>
  <c r="AM139" i="8" s="1"/>
  <c r="T28" i="8"/>
  <c r="V28" i="8" s="1"/>
  <c r="AM28" i="8" s="1"/>
  <c r="T92" i="8"/>
  <c r="V92" i="8" s="1"/>
  <c r="AM92" i="8" s="1"/>
  <c r="T156" i="8"/>
  <c r="V156" i="8" s="1"/>
  <c r="AM156" i="8" s="1"/>
  <c r="T45" i="8"/>
  <c r="V45" i="8" s="1"/>
  <c r="AM45" i="8" s="1"/>
  <c r="T109" i="8"/>
  <c r="V109" i="8" s="1"/>
  <c r="AM109" i="8" s="1"/>
  <c r="T49" i="8"/>
  <c r="V49" i="8" s="1"/>
  <c r="AM49" i="8" s="1"/>
  <c r="T150" i="8"/>
  <c r="V150" i="8" s="1"/>
  <c r="AM150" i="8" s="1"/>
  <c r="T95" i="6"/>
  <c r="V95" i="6" s="1"/>
  <c r="AM95" i="6" s="1"/>
  <c r="T71" i="6"/>
  <c r="V71" i="6" s="1"/>
  <c r="AM71" i="6" s="1"/>
  <c r="T61" i="6"/>
  <c r="V61" i="6" s="1"/>
  <c r="AM61" i="6" s="1"/>
  <c r="T113" i="6"/>
  <c r="V113" i="6" s="1"/>
  <c r="AM113" i="6" s="1"/>
  <c r="T134" i="6"/>
  <c r="V134" i="6" s="1"/>
  <c r="AM134" i="6" s="1"/>
  <c r="T147" i="6"/>
  <c r="V147" i="6" s="1"/>
  <c r="AM147" i="6" s="1"/>
  <c r="T126" i="6"/>
  <c r="V126" i="6" s="1"/>
  <c r="AM126" i="6" s="1"/>
  <c r="T97" i="6"/>
  <c r="V97" i="6" s="1"/>
  <c r="AM97" i="6" s="1"/>
  <c r="T136" i="6"/>
  <c r="V136" i="6" s="1"/>
  <c r="AM136" i="6" s="1"/>
  <c r="T45" i="6"/>
  <c r="V45" i="6" s="1"/>
  <c r="AM45" i="6" s="1"/>
  <c r="T138" i="6"/>
  <c r="V138" i="6" s="1"/>
  <c r="AM138" i="6" s="1"/>
  <c r="T120" i="6"/>
  <c r="V120" i="6" s="1"/>
  <c r="AM120" i="6" s="1"/>
  <c r="T21" i="6"/>
  <c r="V21" i="6" s="1"/>
  <c r="AM21" i="6" s="1"/>
  <c r="T122" i="6"/>
  <c r="V122" i="6" s="1"/>
  <c r="AM122" i="6" s="1"/>
  <c r="T112" i="6"/>
  <c r="V112" i="6" s="1"/>
  <c r="AM112" i="6" s="1"/>
  <c r="T68" i="6"/>
  <c r="V68" i="6" s="1"/>
  <c r="AM68" i="6" s="1"/>
  <c r="T34" i="6"/>
  <c r="V34" i="6" s="1"/>
  <c r="AM34" i="6" s="1"/>
  <c r="T8" i="6"/>
  <c r="V8" i="6" s="1"/>
  <c r="AM8" i="6" s="1"/>
  <c r="T12" i="6"/>
  <c r="V12" i="6" s="1"/>
  <c r="AM12" i="6" s="1"/>
  <c r="T93" i="6"/>
  <c r="V93" i="6" s="1"/>
  <c r="AM93" i="6" s="1"/>
  <c r="T111" i="6"/>
  <c r="V111" i="6" s="1"/>
  <c r="AM111" i="6" s="1"/>
  <c r="T118" i="6"/>
  <c r="V118" i="6" s="1"/>
  <c r="AM118" i="6" s="1"/>
  <c r="T91" i="6"/>
  <c r="V91" i="6" s="1"/>
  <c r="AM91" i="6" s="1"/>
  <c r="T49" i="6"/>
  <c r="V49" i="6" s="1"/>
  <c r="AM49" i="6" s="1"/>
  <c r="U384" i="5"/>
  <c r="U48" i="5"/>
  <c r="B127" i="3"/>
  <c r="T46" i="8"/>
  <c r="V46" i="8" s="1"/>
  <c r="AM46" i="8" s="1"/>
  <c r="T70" i="8"/>
  <c r="V70" i="8" s="1"/>
  <c r="AM70" i="8" s="1"/>
  <c r="T78" i="8"/>
  <c r="V78" i="8" s="1"/>
  <c r="AM78" i="8" s="1"/>
  <c r="T126" i="8"/>
  <c r="V126" i="8" s="1"/>
  <c r="AM126" i="8" s="1"/>
  <c r="T142" i="8"/>
  <c r="V142" i="8" s="1"/>
  <c r="AM142" i="8" s="1"/>
  <c r="B66" i="5"/>
  <c r="T142" i="6"/>
  <c r="V142" i="6" s="1"/>
  <c r="AM142" i="6" s="1"/>
  <c r="T131" i="6"/>
  <c r="V131" i="6" s="1"/>
  <c r="AM131" i="6" s="1"/>
  <c r="T114" i="6"/>
  <c r="V114" i="6" s="1"/>
  <c r="AM114" i="6" s="1"/>
  <c r="T73" i="6"/>
  <c r="V73" i="6" s="1"/>
  <c r="AM73" i="6" s="1"/>
  <c r="T48" i="6"/>
  <c r="T55" i="6"/>
  <c r="V55" i="6" s="1"/>
  <c r="AM55" i="6" s="1"/>
  <c r="B32" i="5"/>
  <c r="T78" i="6"/>
  <c r="V78" i="6" s="1"/>
  <c r="AM78" i="6" s="1"/>
  <c r="T107" i="6"/>
  <c r="V107" i="6" s="1"/>
  <c r="AM107" i="6" s="1"/>
  <c r="T50" i="6"/>
  <c r="V50" i="6" s="1"/>
  <c r="AM50" i="6" s="1"/>
  <c r="T57" i="6"/>
  <c r="V57" i="6" s="1"/>
  <c r="AM57" i="6" s="1"/>
  <c r="T32" i="6"/>
  <c r="V32" i="6" s="1"/>
  <c r="AM32" i="6" s="1"/>
  <c r="T47" i="6"/>
  <c r="U47" i="6" s="1"/>
  <c r="T54" i="6"/>
  <c r="V54" i="6" s="1"/>
  <c r="AM54" i="6" s="1"/>
  <c r="T52" i="6"/>
  <c r="V52" i="6" s="1"/>
  <c r="AM52" i="6" s="1"/>
  <c r="T83" i="6"/>
  <c r="V83" i="6" s="1"/>
  <c r="AM83" i="6" s="1"/>
  <c r="T10" i="6"/>
  <c r="V10" i="6" s="1"/>
  <c r="AM10" i="6" s="1"/>
  <c r="T125" i="6"/>
  <c r="V125" i="6" s="1"/>
  <c r="AM125" i="6" s="1"/>
  <c r="T133" i="6"/>
  <c r="V133" i="6" s="1"/>
  <c r="AM133" i="6" s="1"/>
  <c r="O9" i="8"/>
  <c r="T46" i="6"/>
  <c r="V46" i="6" s="1"/>
  <c r="T28" i="6"/>
  <c r="V28" i="6" s="1"/>
  <c r="AM28" i="6" s="1"/>
  <c r="T19" i="6"/>
  <c r="V19" i="6" s="1"/>
  <c r="AM19" i="6" s="1"/>
  <c r="T86" i="6"/>
  <c r="V86" i="6" s="1"/>
  <c r="AM86" i="6" s="1"/>
  <c r="T116" i="6"/>
  <c r="V116" i="6" s="1"/>
  <c r="AM116" i="6" s="1"/>
  <c r="T85" i="6"/>
  <c r="V85" i="6" s="1"/>
  <c r="AM85" i="6" s="1"/>
  <c r="T30" i="6"/>
  <c r="V30" i="6" s="1"/>
  <c r="AM30" i="6" s="1"/>
  <c r="T109" i="6"/>
  <c r="V109" i="6" s="1"/>
  <c r="AM109" i="6" s="1"/>
  <c r="T149" i="6"/>
  <c r="V149" i="6" s="1"/>
  <c r="T67" i="6"/>
  <c r="V67" i="6" s="1"/>
  <c r="AM67" i="6" s="1"/>
  <c r="T98" i="6"/>
  <c r="V98" i="6" s="1"/>
  <c r="AM98" i="6" s="1"/>
  <c r="T146" i="6"/>
  <c r="V146" i="6" s="1"/>
  <c r="AM146" i="6" s="1"/>
  <c r="T33" i="6"/>
  <c r="V33" i="6" s="1"/>
  <c r="AM33" i="6" s="1"/>
  <c r="T96" i="6"/>
  <c r="V96" i="6" s="1"/>
  <c r="AM96" i="6" s="1"/>
  <c r="T154" i="6"/>
  <c r="V154" i="6" s="1"/>
  <c r="AM154" i="6" s="1"/>
  <c r="T31" i="6"/>
  <c r="V31" i="6" s="1"/>
  <c r="AM31" i="6" s="1"/>
  <c r="T102" i="6"/>
  <c r="V102" i="6" s="1"/>
  <c r="T92" i="6"/>
  <c r="V92" i="6" s="1"/>
  <c r="AM92" i="6" s="1"/>
  <c r="T108" i="6"/>
  <c r="V108" i="6" s="1"/>
  <c r="AM108" i="6" s="1"/>
  <c r="T43" i="6"/>
  <c r="V43" i="6" s="1"/>
  <c r="AM43" i="6" s="1"/>
  <c r="T74" i="6"/>
  <c r="V74" i="6" s="1"/>
  <c r="AM74" i="6" s="1"/>
  <c r="T137" i="6"/>
  <c r="V137" i="6" s="1"/>
  <c r="AM137" i="6" s="1"/>
  <c r="T9" i="6"/>
  <c r="V9" i="6" s="1"/>
  <c r="AM9" i="6" s="1"/>
  <c r="T72" i="6"/>
  <c r="V72" i="6" s="1"/>
  <c r="AM72" i="6" s="1"/>
  <c r="T135" i="6"/>
  <c r="U135" i="6" s="1"/>
  <c r="E169" i="3"/>
  <c r="B46" i="5"/>
  <c r="B49" i="5" s="1"/>
  <c r="Y52" i="5" s="1"/>
  <c r="AA52" i="5" s="1"/>
  <c r="T69" i="6"/>
  <c r="V69" i="6" s="1"/>
  <c r="AM69" i="6" s="1"/>
  <c r="T76" i="6"/>
  <c r="V76" i="6" s="1"/>
  <c r="AM76" i="6" s="1"/>
  <c r="T155" i="6"/>
  <c r="V155" i="6" s="1"/>
  <c r="AM155" i="6" s="1"/>
  <c r="T27" i="6"/>
  <c r="V27" i="6" s="1"/>
  <c r="AM27" i="6" s="1"/>
  <c r="T58" i="6"/>
  <c r="V58" i="6" s="1"/>
  <c r="AM58" i="6" s="1"/>
  <c r="T121" i="6"/>
  <c r="V121" i="6" s="1"/>
  <c r="T70" i="6"/>
  <c r="V70" i="6" s="1"/>
  <c r="AM70" i="6" s="1"/>
  <c r="T56" i="6"/>
  <c r="V56" i="6" s="1"/>
  <c r="AM56" i="6" s="1"/>
  <c r="T119" i="6"/>
  <c r="V119" i="6" s="1"/>
  <c r="AM119" i="6" s="1"/>
  <c r="B14" i="5"/>
  <c r="T22" i="6"/>
  <c r="V22" i="6" s="1"/>
  <c r="AM22" i="6" s="1"/>
  <c r="T37" i="6"/>
  <c r="V37" i="6" s="1"/>
  <c r="AM37" i="6" s="1"/>
  <c r="T124" i="6"/>
  <c r="V124" i="6" s="1"/>
  <c r="AM124" i="6" s="1"/>
  <c r="T44" i="6"/>
  <c r="T117" i="6"/>
  <c r="V117" i="6" s="1"/>
  <c r="AM117" i="6" s="1"/>
  <c r="T123" i="6"/>
  <c r="V123" i="6" s="1"/>
  <c r="AM123" i="6" s="1"/>
  <c r="T59" i="6"/>
  <c r="V59" i="6" s="1"/>
  <c r="AM59" i="6" s="1"/>
  <c r="T157" i="6"/>
  <c r="V157" i="6" s="1"/>
  <c r="AM157" i="6" s="1"/>
  <c r="T90" i="6"/>
  <c r="V90" i="6" s="1"/>
  <c r="AM90" i="6" s="1"/>
  <c r="T26" i="6"/>
  <c r="V26" i="6" s="1"/>
  <c r="AM26" i="6" s="1"/>
  <c r="T153" i="6"/>
  <c r="V153" i="6" s="1"/>
  <c r="AM153" i="6" s="1"/>
  <c r="T89" i="6"/>
  <c r="T25" i="6"/>
  <c r="V25" i="6" s="1"/>
  <c r="AM25" i="6" s="1"/>
  <c r="T152" i="6"/>
  <c r="V152" i="6" s="1"/>
  <c r="AM152" i="6" s="1"/>
  <c r="T88" i="6"/>
  <c r="V88" i="6" s="1"/>
  <c r="AM88" i="6" s="1"/>
  <c r="T24" i="6"/>
  <c r="V24" i="6" s="1"/>
  <c r="AM24" i="6" s="1"/>
  <c r="T151" i="6"/>
  <c r="V151" i="6" s="1"/>
  <c r="AM151" i="6" s="1"/>
  <c r="T87" i="6"/>
  <c r="V87" i="6" s="1"/>
  <c r="AM87" i="6" s="1"/>
  <c r="T23" i="6"/>
  <c r="V23" i="6" s="1"/>
  <c r="AM23" i="6" s="1"/>
  <c r="T14" i="6"/>
  <c r="V14" i="6" s="1"/>
  <c r="T29" i="6"/>
  <c r="V29" i="6" s="1"/>
  <c r="AM29" i="6" s="1"/>
  <c r="T100" i="6"/>
  <c r="V100" i="6" s="1"/>
  <c r="AM100" i="6" s="1"/>
  <c r="T36" i="6"/>
  <c r="V36" i="6" s="1"/>
  <c r="AM36" i="6" s="1"/>
  <c r="T148" i="6"/>
  <c r="V148" i="6" s="1"/>
  <c r="AM148" i="6" s="1"/>
  <c r="T115" i="6"/>
  <c r="V115" i="6" s="1"/>
  <c r="AM115" i="6" s="1"/>
  <c r="T51" i="6"/>
  <c r="V51" i="6" s="1"/>
  <c r="AM51" i="6" s="1"/>
  <c r="T77" i="6"/>
  <c r="V77" i="6" s="1"/>
  <c r="AM77" i="6" s="1"/>
  <c r="T82" i="6"/>
  <c r="U82" i="6" s="1"/>
  <c r="T18" i="6"/>
  <c r="V18" i="6" s="1"/>
  <c r="AM18" i="6" s="1"/>
  <c r="T145" i="6"/>
  <c r="V145" i="6" s="1"/>
  <c r="AM145" i="6" s="1"/>
  <c r="T81" i="6"/>
  <c r="V81" i="6" s="1"/>
  <c r="AM81" i="6" s="1"/>
  <c r="T17" i="6"/>
  <c r="V17" i="6" s="1"/>
  <c r="AM17" i="6" s="1"/>
  <c r="T144" i="6"/>
  <c r="V144" i="6" s="1"/>
  <c r="AM144" i="6" s="1"/>
  <c r="T80" i="6"/>
  <c r="V80" i="6" s="1"/>
  <c r="AM80" i="6" s="1"/>
  <c r="T16" i="6"/>
  <c r="V16" i="6" s="1"/>
  <c r="AM16" i="6" s="1"/>
  <c r="T143" i="6"/>
  <c r="T79" i="6"/>
  <c r="V79" i="6" s="1"/>
  <c r="AM79" i="6" s="1"/>
  <c r="T15" i="6"/>
  <c r="V15" i="6" s="1"/>
  <c r="AM15" i="6" s="1"/>
  <c r="T62" i="6"/>
  <c r="V62" i="6" s="1"/>
  <c r="AM62" i="6" s="1"/>
  <c r="T101" i="6"/>
  <c r="V101" i="6" s="1"/>
  <c r="AM101" i="6" s="1"/>
  <c r="T13" i="6"/>
  <c r="V13" i="6" s="1"/>
  <c r="AM13" i="6" s="1"/>
  <c r="T84" i="6"/>
  <c r="V84" i="6" s="1"/>
  <c r="AM84" i="6" s="1"/>
  <c r="T20" i="6"/>
  <c r="V20" i="6" s="1"/>
  <c r="AM20" i="6" s="1"/>
  <c r="O9" i="6"/>
  <c r="T99" i="6"/>
  <c r="V99" i="6" s="1"/>
  <c r="AM99" i="6" s="1"/>
  <c r="T35" i="6"/>
  <c r="V35" i="6" s="1"/>
  <c r="AM35" i="6" s="1"/>
  <c r="T130" i="6"/>
  <c r="V130" i="6" s="1"/>
  <c r="AM130" i="6" s="1"/>
  <c r="T66" i="6"/>
  <c r="V66" i="6" s="1"/>
  <c r="AM66" i="6" s="1"/>
  <c r="T150" i="6"/>
  <c r="V150" i="6" s="1"/>
  <c r="AM150" i="6" s="1"/>
  <c r="T129" i="6"/>
  <c r="V129" i="6" s="1"/>
  <c r="AM129" i="6" s="1"/>
  <c r="T65" i="6"/>
  <c r="V65" i="6" s="1"/>
  <c r="AM65" i="6" s="1"/>
  <c r="T7" i="6"/>
  <c r="T128" i="6"/>
  <c r="V128" i="6" s="1"/>
  <c r="AM128" i="6" s="1"/>
  <c r="T64" i="6"/>
  <c r="V64" i="6" s="1"/>
  <c r="AM64" i="6" s="1"/>
  <c r="T110" i="6"/>
  <c r="V110" i="6" s="1"/>
  <c r="AM110" i="6" s="1"/>
  <c r="T127" i="6"/>
  <c r="V127" i="6" s="1"/>
  <c r="AM127" i="6" s="1"/>
  <c r="T63" i="6"/>
  <c r="V63" i="6" s="1"/>
  <c r="AM63" i="6" s="1"/>
  <c r="T38" i="6"/>
  <c r="V38" i="6" s="1"/>
  <c r="AM38" i="6" s="1"/>
  <c r="T53" i="6"/>
  <c r="V53" i="6" s="1"/>
  <c r="AM53" i="6" s="1"/>
  <c r="T141" i="6"/>
  <c r="T60" i="6"/>
  <c r="V60" i="6" s="1"/>
  <c r="AM60" i="6" s="1"/>
  <c r="T94" i="6"/>
  <c r="V94" i="6" s="1"/>
  <c r="AM94" i="6" s="1"/>
  <c r="T139" i="6"/>
  <c r="V139" i="6" s="1"/>
  <c r="AM139" i="6" s="1"/>
  <c r="T75" i="6"/>
  <c r="V75" i="6" s="1"/>
  <c r="AM75" i="6" s="1"/>
  <c r="T11" i="6"/>
  <c r="V11" i="6" s="1"/>
  <c r="AM11" i="6" s="1"/>
  <c r="T106" i="6"/>
  <c r="V106" i="6" s="1"/>
  <c r="AM106" i="6" s="1"/>
  <c r="T42" i="6"/>
  <c r="V42" i="6" s="1"/>
  <c r="AM42" i="6" s="1"/>
  <c r="T132" i="6"/>
  <c r="T105" i="6"/>
  <c r="V105" i="6" s="1"/>
  <c r="AM105" i="6" s="1"/>
  <c r="T41" i="6"/>
  <c r="V41" i="6" s="1"/>
  <c r="AM41" i="6" s="1"/>
  <c r="T156" i="6"/>
  <c r="V156" i="6" s="1"/>
  <c r="AM156" i="6" s="1"/>
  <c r="T104" i="6"/>
  <c r="V104" i="6" s="1"/>
  <c r="AM104" i="6" s="1"/>
  <c r="T40" i="6"/>
  <c r="V40" i="6" s="1"/>
  <c r="AM40" i="6" s="1"/>
  <c r="T140" i="6"/>
  <c r="V140" i="6" s="1"/>
  <c r="AM140" i="6" s="1"/>
  <c r="T103" i="6"/>
  <c r="V103" i="6" s="1"/>
  <c r="AM103" i="6" s="1"/>
  <c r="T134" i="8"/>
  <c r="V134" i="8" s="1"/>
  <c r="AM134" i="8" s="1"/>
  <c r="T86" i="8"/>
  <c r="V86" i="8" s="1"/>
  <c r="AM86" i="8" s="1"/>
  <c r="T94" i="8"/>
  <c r="V94" i="8" s="1"/>
  <c r="AM94" i="8" s="1"/>
  <c r="T110" i="8"/>
  <c r="V110" i="8" s="1"/>
  <c r="AM110" i="8" s="1"/>
  <c r="T38" i="8"/>
  <c r="V38" i="8" s="1"/>
  <c r="AM38" i="8" s="1"/>
  <c r="T102" i="8"/>
  <c r="V102" i="8" s="1"/>
  <c r="AM102" i="8" s="1"/>
  <c r="T54" i="8"/>
  <c r="V54" i="8" s="1"/>
  <c r="AM54" i="8" s="1"/>
  <c r="U32" i="8"/>
  <c r="W31" i="8"/>
  <c r="U31" i="8"/>
  <c r="U305" i="5"/>
  <c r="U39" i="8"/>
  <c r="U80" i="8"/>
  <c r="W118" i="8"/>
  <c r="Y118" i="8" s="1"/>
  <c r="AR118" i="8" s="1"/>
  <c r="U118" i="8"/>
  <c r="U139" i="8"/>
  <c r="U145" i="8"/>
  <c r="W151" i="8"/>
  <c r="U151" i="8"/>
  <c r="U236" i="5"/>
  <c r="U52" i="8"/>
  <c r="U63" i="8"/>
  <c r="U103" i="8"/>
  <c r="U85" i="8"/>
  <c r="U66" i="8"/>
  <c r="U138" i="8"/>
  <c r="U7" i="8"/>
  <c r="U20" i="8"/>
  <c r="U79" i="8"/>
  <c r="U88" i="8"/>
  <c r="U154" i="8"/>
  <c r="T241" i="5"/>
  <c r="W9" i="8"/>
  <c r="Y9" i="8" s="1"/>
  <c r="AR9" i="8" s="1"/>
  <c r="U9" i="8"/>
  <c r="U13" i="8"/>
  <c r="U55" i="8"/>
  <c r="W112" i="8"/>
  <c r="Y112" i="8" s="1"/>
  <c r="AR112" i="8" s="1"/>
  <c r="U112" i="8"/>
  <c r="U74" i="8"/>
  <c r="U90" i="8"/>
  <c r="U42" i="8"/>
  <c r="U56" i="8"/>
  <c r="U119" i="8"/>
  <c r="U155" i="8"/>
  <c r="W87" i="8"/>
  <c r="U87" i="8"/>
  <c r="U98" i="8"/>
  <c r="U117" i="8"/>
  <c r="T508" i="5"/>
  <c r="U50" i="8"/>
  <c r="AT72" i="8"/>
  <c r="U72" i="8"/>
  <c r="U57" i="8"/>
  <c r="U127" i="8"/>
  <c r="W95" i="8"/>
  <c r="Y95" i="8" s="1"/>
  <c r="AR95" i="8" s="1"/>
  <c r="U95" i="8"/>
  <c r="W146" i="8"/>
  <c r="U146" i="8"/>
  <c r="U64" i="8"/>
  <c r="W65" i="8"/>
  <c r="U65" i="8"/>
  <c r="AT106" i="8"/>
  <c r="U106" i="8"/>
  <c r="U108" i="8"/>
  <c r="U141" i="8"/>
  <c r="U324" i="5"/>
  <c r="T115" i="5"/>
  <c r="T373" i="5"/>
  <c r="U360" i="5"/>
  <c r="U202" i="5"/>
  <c r="W39" i="6"/>
  <c r="X39" i="6" s="1"/>
  <c r="U39" i="6"/>
  <c r="T348" i="5"/>
  <c r="T545" i="5"/>
  <c r="U372" i="5"/>
  <c r="T433" i="5"/>
  <c r="U274" i="5"/>
  <c r="U449" i="5"/>
  <c r="T345" i="5"/>
  <c r="T505" i="5"/>
  <c r="U286" i="5"/>
  <c r="AX10" i="5"/>
  <c r="T483" i="5"/>
  <c r="U276" i="5"/>
  <c r="U245" i="5"/>
  <c r="U157" i="5"/>
  <c r="T553" i="5"/>
  <c r="T298" i="5"/>
  <c r="T176" i="5"/>
  <c r="T397" i="5"/>
  <c r="T491" i="5"/>
  <c r="T213" i="5"/>
  <c r="T473" i="5"/>
  <c r="T432" i="5"/>
  <c r="T238" i="5"/>
  <c r="T478" i="5"/>
  <c r="T353" i="5"/>
  <c r="E48" i="3"/>
  <c r="B214" i="3"/>
  <c r="B215" i="3" s="1"/>
  <c r="B121" i="3"/>
  <c r="B122" i="3" s="1"/>
  <c r="B167" i="3" s="1"/>
  <c r="I79" i="2" s="1"/>
  <c r="B144" i="3"/>
  <c r="V7" i="5" s="1"/>
  <c r="B125" i="3"/>
  <c r="B36" i="5" s="1"/>
  <c r="P557" i="5" s="1"/>
  <c r="B232" i="3"/>
  <c r="B233" i="3" s="1"/>
  <c r="AJ10" i="5"/>
  <c r="AU10" i="5"/>
  <c r="B41" i="3"/>
  <c r="I26" i="2" s="1"/>
  <c r="U10" i="5"/>
  <c r="T10" i="5"/>
  <c r="B46" i="3"/>
  <c r="B18" i="5"/>
  <c r="C184" i="3"/>
  <c r="B184" i="3" s="1"/>
  <c r="I68" i="2" s="1"/>
  <c r="I51" i="2"/>
  <c r="E101" i="3"/>
  <c r="B47" i="3"/>
  <c r="B51" i="3" s="1"/>
  <c r="B45" i="3"/>
  <c r="B49" i="3" s="1"/>
  <c r="I15" i="2"/>
  <c r="J4" i="4"/>
  <c r="J8" i="4"/>
  <c r="J12" i="4"/>
  <c r="J16" i="4"/>
  <c r="J20" i="4"/>
  <c r="J24" i="4"/>
  <c r="J28" i="4"/>
  <c r="J32" i="4"/>
  <c r="J36" i="4"/>
  <c r="J40" i="4"/>
  <c r="J44" i="4"/>
  <c r="J48" i="4"/>
  <c r="J52" i="4"/>
  <c r="J56" i="4"/>
  <c r="J60" i="4"/>
  <c r="J64" i="4"/>
  <c r="J68" i="4"/>
  <c r="J72" i="4"/>
  <c r="J76" i="4"/>
  <c r="J80" i="4"/>
  <c r="J84" i="4"/>
  <c r="J88" i="4"/>
  <c r="J92" i="4"/>
  <c r="J96" i="4"/>
  <c r="J100" i="4"/>
  <c r="J104" i="4"/>
  <c r="J74" i="4"/>
  <c r="J101" i="4"/>
  <c r="J37" i="4"/>
  <c r="J69" i="4"/>
  <c r="J90" i="4"/>
  <c r="J5" i="4"/>
  <c r="J10" i="4"/>
  <c r="J15" i="4"/>
  <c r="J21" i="4"/>
  <c r="J26" i="4"/>
  <c r="J42" i="4"/>
  <c r="J58" i="4"/>
  <c r="J85" i="4"/>
  <c r="J6" i="4"/>
  <c r="J11" i="4"/>
  <c r="J17" i="4"/>
  <c r="J22" i="4"/>
  <c r="J27" i="4"/>
  <c r="J33" i="4"/>
  <c r="J38" i="4"/>
  <c r="J43" i="4"/>
  <c r="J49" i="4"/>
  <c r="J54" i="4"/>
  <c r="J59" i="4"/>
  <c r="J65" i="4"/>
  <c r="J70" i="4"/>
  <c r="J75" i="4"/>
  <c r="J81" i="4"/>
  <c r="J86" i="4"/>
  <c r="J91" i="4"/>
  <c r="J97" i="4"/>
  <c r="J102" i="4"/>
  <c r="J7" i="4"/>
  <c r="J13" i="4"/>
  <c r="J18" i="4"/>
  <c r="J23" i="4"/>
  <c r="J29" i="4"/>
  <c r="J34" i="4"/>
  <c r="J39" i="4"/>
  <c r="J45" i="4"/>
  <c r="J50" i="4"/>
  <c r="J55" i="4"/>
  <c r="J61" i="4"/>
  <c r="J66" i="4"/>
  <c r="J71" i="4"/>
  <c r="J77" i="4"/>
  <c r="J82" i="4"/>
  <c r="J87" i="4"/>
  <c r="J93" i="4"/>
  <c r="J98" i="4"/>
  <c r="J103" i="4"/>
  <c r="J9" i="4"/>
  <c r="J14" i="4"/>
  <c r="J19" i="4"/>
  <c r="J25" i="4"/>
  <c r="J30" i="4"/>
  <c r="J35" i="4"/>
  <c r="J41" i="4"/>
  <c r="J46" i="4"/>
  <c r="J51" i="4"/>
  <c r="J57" i="4"/>
  <c r="J62" i="4"/>
  <c r="J67" i="4"/>
  <c r="J73" i="4"/>
  <c r="J78" i="4"/>
  <c r="J83" i="4"/>
  <c r="J89" i="4"/>
  <c r="J94" i="4"/>
  <c r="J99" i="4"/>
  <c r="J31" i="4"/>
  <c r="J47" i="4"/>
  <c r="J53" i="4"/>
  <c r="J63" i="4"/>
  <c r="J79" i="4"/>
  <c r="J95" i="4"/>
  <c r="G88" i="4"/>
  <c r="G71" i="4"/>
  <c r="G54" i="4"/>
  <c r="G15" i="4"/>
  <c r="G64" i="4"/>
  <c r="G69" i="4"/>
  <c r="G5" i="4"/>
  <c r="G44" i="4"/>
  <c r="G75" i="4"/>
  <c r="G11" i="4"/>
  <c r="G42" i="4"/>
  <c r="G81" i="4"/>
  <c r="G17" i="4"/>
  <c r="G55" i="4"/>
  <c r="G94" i="4"/>
  <c r="G72" i="4"/>
  <c r="G38" i="4"/>
  <c r="G46" i="4"/>
  <c r="G61" i="4"/>
  <c r="G100" i="4"/>
  <c r="G36" i="4"/>
  <c r="G67" i="4"/>
  <c r="G98" i="4"/>
  <c r="G34" i="4"/>
  <c r="G73" i="4"/>
  <c r="G16" i="4"/>
  <c r="G32" i="4"/>
  <c r="G95" i="4"/>
  <c r="G56" i="4"/>
  <c r="G23" i="4"/>
  <c r="G53" i="4"/>
  <c r="G92" i="4"/>
  <c r="G28" i="4"/>
  <c r="G59" i="4"/>
  <c r="G90" i="4"/>
  <c r="G26" i="4"/>
  <c r="G65" i="4"/>
  <c r="G103" i="4"/>
  <c r="G78" i="4"/>
  <c r="G14" i="4"/>
  <c r="G79" i="4"/>
  <c r="G9" i="4"/>
  <c r="G45" i="4"/>
  <c r="G84" i="4"/>
  <c r="G20" i="4"/>
  <c r="G51" i="4"/>
  <c r="G82" i="4"/>
  <c r="G18" i="4"/>
  <c r="G57" i="4"/>
  <c r="G6" i="4"/>
  <c r="G40" i="4"/>
  <c r="G39" i="4"/>
  <c r="G96" i="4"/>
  <c r="G102" i="4"/>
  <c r="G101" i="4"/>
  <c r="G37" i="4"/>
  <c r="G76" i="4"/>
  <c r="G12" i="4"/>
  <c r="G43" i="4"/>
  <c r="G74" i="4"/>
  <c r="G10" i="4"/>
  <c r="G49" i="4"/>
  <c r="G24" i="4"/>
  <c r="G7" i="4"/>
  <c r="G63" i="4"/>
  <c r="G62" i="4"/>
  <c r="G80" i="4"/>
  <c r="G93" i="4"/>
  <c r="G29" i="4"/>
  <c r="G68" i="4"/>
  <c r="G99" i="4"/>
  <c r="G35" i="4"/>
  <c r="G66" i="4"/>
  <c r="G4" i="4"/>
  <c r="G41" i="4"/>
  <c r="G47" i="4"/>
  <c r="G30" i="4"/>
  <c r="G8" i="4"/>
  <c r="G22" i="4"/>
  <c r="G86" i="4"/>
  <c r="G85" i="4"/>
  <c r="G21" i="4"/>
  <c r="G60" i="4"/>
  <c r="G91" i="4"/>
  <c r="G27" i="4"/>
  <c r="G58" i="4"/>
  <c r="G97" i="4"/>
  <c r="G33" i="4"/>
  <c r="G70" i="4"/>
  <c r="G48" i="4"/>
  <c r="G31" i="4"/>
  <c r="G104" i="4"/>
  <c r="G87" i="4"/>
  <c r="G77" i="4"/>
  <c r="G13" i="4"/>
  <c r="G52" i="4"/>
  <c r="G83" i="4"/>
  <c r="G19" i="4"/>
  <c r="G50" i="4"/>
  <c r="G89" i="4"/>
  <c r="G25" i="4"/>
  <c r="D108" i="1"/>
  <c r="D107" i="1"/>
  <c r="E103" i="1"/>
  <c r="D103" i="1"/>
  <c r="D99" i="1"/>
  <c r="C99" i="1"/>
  <c r="D94" i="1"/>
  <c r="D93" i="1"/>
  <c r="D86" i="1"/>
  <c r="D85" i="1"/>
  <c r="D84" i="1"/>
  <c r="E83" i="1"/>
  <c r="D83" i="1"/>
  <c r="C83" i="1"/>
  <c r="E75" i="1"/>
  <c r="D75" i="1"/>
  <c r="C75" i="1"/>
  <c r="D76" i="1"/>
  <c r="D74" i="1"/>
  <c r="D73" i="1"/>
  <c r="E71" i="1"/>
  <c r="C71" i="1"/>
  <c r="D71" i="1"/>
  <c r="E69" i="1"/>
  <c r="D69" i="1"/>
  <c r="C69" i="1"/>
  <c r="D70" i="1"/>
  <c r="E68" i="1"/>
  <c r="D68" i="1"/>
  <c r="B85" i="3" s="1"/>
  <c r="C68" i="1"/>
  <c r="D64" i="1"/>
  <c r="D63" i="1"/>
  <c r="D62" i="1"/>
  <c r="E62" i="1"/>
  <c r="E61" i="1"/>
  <c r="B23" i="3" s="1"/>
  <c r="E23" i="3" s="1"/>
  <c r="D61" i="1"/>
  <c r="E58" i="1"/>
  <c r="D58" i="1"/>
  <c r="C58" i="1"/>
  <c r="C47" i="1"/>
  <c r="E42" i="1"/>
  <c r="C42" i="1"/>
  <c r="D42" i="1"/>
  <c r="E41" i="1"/>
  <c r="D41" i="1"/>
  <c r="C41" i="1"/>
  <c r="D38" i="1"/>
  <c r="D33" i="1"/>
  <c r="D30" i="1"/>
  <c r="E27" i="1"/>
  <c r="D27" i="1"/>
  <c r="C27" i="1"/>
  <c r="C21" i="1"/>
  <c r="D21" i="1"/>
  <c r="E21" i="1"/>
  <c r="E15" i="1"/>
  <c r="D15" i="1"/>
  <c r="E14" i="1"/>
  <c r="D14" i="1"/>
  <c r="C13" i="1"/>
  <c r="D13" i="1"/>
  <c r="E6" i="1"/>
  <c r="D6" i="1"/>
  <c r="E5" i="1"/>
  <c r="D5" i="1"/>
  <c r="U23" i="8" l="1"/>
  <c r="AT23" i="8"/>
  <c r="U143" i="8"/>
  <c r="U27" i="8"/>
  <c r="U44" i="8"/>
  <c r="W125" i="8"/>
  <c r="W106" i="8"/>
  <c r="Y106" i="8" s="1"/>
  <c r="AR106" i="8" s="1"/>
  <c r="W79" i="8"/>
  <c r="AE79" i="8" s="1"/>
  <c r="W136" i="8"/>
  <c r="W7" i="8"/>
  <c r="Y7" i="8" s="1"/>
  <c r="AR7" i="8" s="1"/>
  <c r="U101" i="8"/>
  <c r="U92" i="8"/>
  <c r="U41" i="8"/>
  <c r="U15" i="8"/>
  <c r="W80" i="8"/>
  <c r="AE80" i="8" s="1"/>
  <c r="W127" i="8"/>
  <c r="Y127" i="8" s="1"/>
  <c r="AR127" i="8" s="1"/>
  <c r="W66" i="8"/>
  <c r="Y66" i="8" s="1"/>
  <c r="AR66" i="8" s="1"/>
  <c r="W23" i="8"/>
  <c r="Y23" i="8" s="1"/>
  <c r="AR23" i="8" s="1"/>
  <c r="W98" i="8"/>
  <c r="W39" i="8"/>
  <c r="X39" i="8" s="1"/>
  <c r="W55" i="8"/>
  <c r="Y55" i="8" s="1"/>
  <c r="AR55" i="8" s="1"/>
  <c r="W76" i="8"/>
  <c r="Y76" i="8" s="1"/>
  <c r="AR76" i="8" s="1"/>
  <c r="W72" i="8"/>
  <c r="X72" i="8" s="1"/>
  <c r="W50" i="8"/>
  <c r="Y50" i="8" s="1"/>
  <c r="AR50" i="8" s="1"/>
  <c r="W154" i="8"/>
  <c r="AE154" i="8" s="1"/>
  <c r="W138" i="8"/>
  <c r="Y138" i="8" s="1"/>
  <c r="AR138" i="8" s="1"/>
  <c r="W116" i="8"/>
  <c r="Y116" i="8" s="1"/>
  <c r="AR116" i="8" s="1"/>
  <c r="U35" i="8"/>
  <c r="U43" i="8"/>
  <c r="U123" i="8"/>
  <c r="U128" i="8"/>
  <c r="U60" i="8"/>
  <c r="U135" i="8"/>
  <c r="W36" i="8"/>
  <c r="X36" i="8" s="1"/>
  <c r="W135" i="8"/>
  <c r="W128" i="8"/>
  <c r="U36" i="8"/>
  <c r="W62" i="8"/>
  <c r="X62" i="8" s="1"/>
  <c r="AT135" i="8"/>
  <c r="U113" i="8"/>
  <c r="W90" i="8"/>
  <c r="Y90" i="8" s="1"/>
  <c r="AR90" i="8" s="1"/>
  <c r="W13" i="8"/>
  <c r="AE13" i="8" s="1"/>
  <c r="W117" i="8"/>
  <c r="Y117" i="8" s="1"/>
  <c r="AR117" i="8" s="1"/>
  <c r="W42" i="8"/>
  <c r="Y42" i="8" s="1"/>
  <c r="AR42" i="8" s="1"/>
  <c r="W74" i="8"/>
  <c r="AE74" i="8" s="1"/>
  <c r="W103" i="8"/>
  <c r="Y103" i="8" s="1"/>
  <c r="AR103" i="8" s="1"/>
  <c r="W122" i="8"/>
  <c r="Y122" i="8" s="1"/>
  <c r="AR122" i="8" s="1"/>
  <c r="W114" i="8"/>
  <c r="X114" i="8" s="1"/>
  <c r="W113" i="8"/>
  <c r="Y113" i="8" s="1"/>
  <c r="AR113" i="8" s="1"/>
  <c r="W57" i="8"/>
  <c r="AE57" i="8" s="1"/>
  <c r="W19" i="8"/>
  <c r="Y19" i="8" s="1"/>
  <c r="AR19" i="8" s="1"/>
  <c r="W29" i="8"/>
  <c r="X29" i="8" s="1"/>
  <c r="W141" i="8"/>
  <c r="Y141" i="8" s="1"/>
  <c r="AR141" i="8" s="1"/>
  <c r="W8" i="8"/>
  <c r="Y8" i="8" s="1"/>
  <c r="AR8" i="8" s="1"/>
  <c r="W18" i="8"/>
  <c r="Y18" i="8" s="1"/>
  <c r="AR18" i="8" s="1"/>
  <c r="W92" i="8"/>
  <c r="Y92" i="8" s="1"/>
  <c r="AR92" i="8" s="1"/>
  <c r="W43" i="8"/>
  <c r="U32" i="6"/>
  <c r="U147" i="6"/>
  <c r="U83" i="6"/>
  <c r="U138" i="6"/>
  <c r="U61" i="6"/>
  <c r="U125" i="6"/>
  <c r="AT20" i="6"/>
  <c r="U53" i="6"/>
  <c r="U77" i="6"/>
  <c r="AT134" i="6"/>
  <c r="U70" i="6"/>
  <c r="W126" i="6"/>
  <c r="X126" i="6" s="1"/>
  <c r="W113" i="6"/>
  <c r="X113" i="6" s="1"/>
  <c r="U126" i="6"/>
  <c r="U28" i="6"/>
  <c r="U67" i="6"/>
  <c r="U73" i="6"/>
  <c r="U92" i="6"/>
  <c r="U109" i="6"/>
  <c r="U65" i="6"/>
  <c r="U134" i="6"/>
  <c r="U84" i="6"/>
  <c r="AT117" i="6"/>
  <c r="AT103" i="6"/>
  <c r="P421" i="5"/>
  <c r="R421" i="5" s="1"/>
  <c r="W147" i="6"/>
  <c r="X147" i="6" s="1"/>
  <c r="AJ147" i="6" s="1"/>
  <c r="W111" i="6"/>
  <c r="X111" i="6" s="1"/>
  <c r="W119" i="8"/>
  <c r="Y119" i="8" s="1"/>
  <c r="AR119" i="8" s="1"/>
  <c r="W138" i="6"/>
  <c r="X138" i="6" s="1"/>
  <c r="W111" i="8"/>
  <c r="Y111" i="8" s="1"/>
  <c r="AR111" i="8" s="1"/>
  <c r="W155" i="8"/>
  <c r="Y155" i="8" s="1"/>
  <c r="AR155" i="8" s="1"/>
  <c r="W88" i="8"/>
  <c r="AE88" i="8" s="1"/>
  <c r="W24" i="8"/>
  <c r="Y24" i="8" s="1"/>
  <c r="AR24" i="8" s="1"/>
  <c r="W125" i="6"/>
  <c r="X125" i="6" s="1"/>
  <c r="W64" i="8"/>
  <c r="X64" i="8" s="1"/>
  <c r="W48" i="8"/>
  <c r="Y48" i="8" s="1"/>
  <c r="AR48" i="8" s="1"/>
  <c r="W52" i="8"/>
  <c r="Y52" i="8" s="1"/>
  <c r="AR52" i="8" s="1"/>
  <c r="W145" i="8"/>
  <c r="AE145" i="8" s="1"/>
  <c r="W122" i="6"/>
  <c r="X122" i="6" s="1"/>
  <c r="W56" i="8"/>
  <c r="Y56" i="8" s="1"/>
  <c r="AR56" i="8" s="1"/>
  <c r="W32" i="8"/>
  <c r="Y32" i="8" s="1"/>
  <c r="AR32" i="8" s="1"/>
  <c r="P12" i="5"/>
  <c r="R12" i="5" s="1"/>
  <c r="P453" i="5"/>
  <c r="P408" i="5"/>
  <c r="P555" i="5"/>
  <c r="Q555" i="5" s="1"/>
  <c r="P304" i="5"/>
  <c r="Q304" i="5" s="1"/>
  <c r="P43" i="5"/>
  <c r="Q43" i="5" s="1"/>
  <c r="W42" i="6"/>
  <c r="X42" i="6" s="1"/>
  <c r="P13" i="5"/>
  <c r="R13" i="5" s="1"/>
  <c r="P438" i="5"/>
  <c r="P343" i="5"/>
  <c r="P478" i="5"/>
  <c r="P264" i="5"/>
  <c r="R264" i="5" s="1"/>
  <c r="P235" i="5"/>
  <c r="R235" i="5" s="1"/>
  <c r="W21" i="6"/>
  <c r="Y21" i="6" s="1"/>
  <c r="AR21" i="6" s="1"/>
  <c r="P470" i="5"/>
  <c r="R470" i="5" s="1"/>
  <c r="P252" i="5"/>
  <c r="R252" i="5" s="1"/>
  <c r="B37" i="5"/>
  <c r="P293" i="5"/>
  <c r="P520" i="5"/>
  <c r="P200" i="5"/>
  <c r="R200" i="5" s="1"/>
  <c r="P251" i="5"/>
  <c r="R251" i="5" s="1"/>
  <c r="P443" i="5"/>
  <c r="Q443" i="5" s="1"/>
  <c r="P318" i="5"/>
  <c r="Q318" i="5" s="1"/>
  <c r="P373" i="5"/>
  <c r="R373" i="5" s="1"/>
  <c r="P312" i="5"/>
  <c r="P340" i="5"/>
  <c r="P185" i="5"/>
  <c r="P526" i="5"/>
  <c r="R526" i="5" s="1"/>
  <c r="P284" i="5"/>
  <c r="R284" i="5" s="1"/>
  <c r="W77" i="6"/>
  <c r="X77" i="6" s="1"/>
  <c r="P548" i="5"/>
  <c r="Q548" i="5" s="1"/>
  <c r="P519" i="5"/>
  <c r="R519" i="5" s="1"/>
  <c r="P24" i="5"/>
  <c r="P167" i="5"/>
  <c r="P541" i="5"/>
  <c r="W153" i="6"/>
  <c r="X153" i="6" s="1"/>
  <c r="P538" i="5"/>
  <c r="Q538" i="5" s="1"/>
  <c r="P531" i="5"/>
  <c r="Q531" i="5" s="1"/>
  <c r="P351" i="5"/>
  <c r="R351" i="5" s="1"/>
  <c r="P72" i="5"/>
  <c r="Q72" i="5" s="1"/>
  <c r="P77" i="5"/>
  <c r="W60" i="8"/>
  <c r="W96" i="8"/>
  <c r="X96" i="8" s="1"/>
  <c r="P137" i="5"/>
  <c r="R137" i="5" s="1"/>
  <c r="P530" i="5"/>
  <c r="R530" i="5" s="1"/>
  <c r="P504" i="5"/>
  <c r="R504" i="5" s="1"/>
  <c r="P380" i="5"/>
  <c r="Q380" i="5" s="1"/>
  <c r="P362" i="5"/>
  <c r="Q362" i="5" s="1"/>
  <c r="P36" i="5"/>
  <c r="W31" i="6"/>
  <c r="Y31" i="6" s="1"/>
  <c r="AR31" i="6" s="1"/>
  <c r="U24" i="8"/>
  <c r="U48" i="8"/>
  <c r="W130" i="8"/>
  <c r="Y130" i="8" s="1"/>
  <c r="AR130" i="8" s="1"/>
  <c r="U122" i="8"/>
  <c r="AT44" i="8"/>
  <c r="U22" i="8"/>
  <c r="W82" i="8"/>
  <c r="X82" i="8" s="1"/>
  <c r="W51" i="8"/>
  <c r="Y51" i="8" s="1"/>
  <c r="AR51" i="8" s="1"/>
  <c r="W143" i="8"/>
  <c r="Y143" i="8" s="1"/>
  <c r="AR143" i="8" s="1"/>
  <c r="U45" i="8"/>
  <c r="U82" i="8"/>
  <c r="W157" i="8"/>
  <c r="U91" i="8"/>
  <c r="W45" i="8"/>
  <c r="Y45" i="8" s="1"/>
  <c r="AR45" i="8" s="1"/>
  <c r="U111" i="8"/>
  <c r="U49" i="8"/>
  <c r="W91" i="8"/>
  <c r="Y91" i="8" s="1"/>
  <c r="AR91" i="8" s="1"/>
  <c r="W44" i="8"/>
  <c r="Y44" i="8" s="1"/>
  <c r="AR44" i="8" s="1"/>
  <c r="W27" i="8"/>
  <c r="Y27" i="8" s="1"/>
  <c r="AR27" i="8" s="1"/>
  <c r="U130" i="8"/>
  <c r="U71" i="6"/>
  <c r="U91" i="6"/>
  <c r="U72" i="6"/>
  <c r="W124" i="6"/>
  <c r="X124" i="6" s="1"/>
  <c r="AT67" i="6"/>
  <c r="U69" i="6"/>
  <c r="W91" i="6"/>
  <c r="X91" i="6" s="1"/>
  <c r="U112" i="6"/>
  <c r="U99" i="6"/>
  <c r="W136" i="6"/>
  <c r="X136" i="6" s="1"/>
  <c r="U16" i="6"/>
  <c r="U95" i="6"/>
  <c r="W109" i="6"/>
  <c r="X109" i="6" s="1"/>
  <c r="U136" i="6"/>
  <c r="U79" i="6"/>
  <c r="U54" i="6"/>
  <c r="W20" i="6"/>
  <c r="Y20" i="6" s="1"/>
  <c r="AR20" i="6" s="1"/>
  <c r="W95" i="6"/>
  <c r="X95" i="6" s="1"/>
  <c r="U55" i="6"/>
  <c r="U67" i="8"/>
  <c r="U137" i="8"/>
  <c r="U142" i="8"/>
  <c r="U114" i="8"/>
  <c r="U8" i="8"/>
  <c r="U71" i="8"/>
  <c r="U99" i="8"/>
  <c r="U47" i="8"/>
  <c r="U152" i="8"/>
  <c r="W63" i="8"/>
  <c r="Y63" i="8" s="1"/>
  <c r="AR63" i="8" s="1"/>
  <c r="U40" i="8"/>
  <c r="U144" i="8"/>
  <c r="W67" i="8"/>
  <c r="Y67" i="8" s="1"/>
  <c r="AR67" i="8" s="1"/>
  <c r="W137" i="8"/>
  <c r="Y137" i="8" s="1"/>
  <c r="AR137" i="8" s="1"/>
  <c r="U62" i="8"/>
  <c r="U136" i="8"/>
  <c r="AE136" i="8" s="1"/>
  <c r="W71" i="8"/>
  <c r="X71" i="8" s="1"/>
  <c r="U18" i="8"/>
  <c r="W99" i="8"/>
  <c r="Y99" i="8" s="1"/>
  <c r="AR99" i="8" s="1"/>
  <c r="W152" i="8"/>
  <c r="Y152" i="8" s="1"/>
  <c r="AR152" i="8" s="1"/>
  <c r="U126" i="8"/>
  <c r="W40" i="8"/>
  <c r="X40" i="8" s="1"/>
  <c r="W144" i="8"/>
  <c r="Y144" i="8" s="1"/>
  <c r="AR144" i="8" s="1"/>
  <c r="U107" i="8"/>
  <c r="W61" i="8"/>
  <c r="X61" i="8" s="1"/>
  <c r="U148" i="8"/>
  <c r="W15" i="8"/>
  <c r="Y15" i="8" s="1"/>
  <c r="AR15" i="8" s="1"/>
  <c r="W123" i="8"/>
  <c r="Y123" i="8" s="1"/>
  <c r="AR123" i="8" s="1"/>
  <c r="U129" i="8"/>
  <c r="W53" i="8"/>
  <c r="Y53" i="8" s="1"/>
  <c r="AR53" i="8" s="1"/>
  <c r="U58" i="8"/>
  <c r="W85" i="8"/>
  <c r="AE85" i="8" s="1"/>
  <c r="W49" i="8"/>
  <c r="Y49" i="8" s="1"/>
  <c r="AR49" i="8" s="1"/>
  <c r="W41" i="8"/>
  <c r="X41" i="8" s="1"/>
  <c r="U120" i="8"/>
  <c r="W35" i="8"/>
  <c r="X35" i="8" s="1"/>
  <c r="W11" i="8"/>
  <c r="X11" i="8" s="1"/>
  <c r="W107" i="8"/>
  <c r="X107" i="8" s="1"/>
  <c r="W148" i="8"/>
  <c r="Y148" i="8" s="1"/>
  <c r="AR148" i="8" s="1"/>
  <c r="U19" i="8"/>
  <c r="U29" i="8"/>
  <c r="AE29" i="8" s="1"/>
  <c r="W129" i="8"/>
  <c r="X129" i="8" s="1"/>
  <c r="U53" i="8"/>
  <c r="W58" i="8"/>
  <c r="Y58" i="8" s="1"/>
  <c r="AR58" i="8" s="1"/>
  <c r="U96" i="8"/>
  <c r="W26" i="8"/>
  <c r="Y26" i="8" s="1"/>
  <c r="AR26" i="8" s="1"/>
  <c r="W16" i="8"/>
  <c r="X16" i="8" s="1"/>
  <c r="W120" i="8"/>
  <c r="Y120" i="8" s="1"/>
  <c r="AR120" i="8" s="1"/>
  <c r="U11" i="8"/>
  <c r="AT99" i="6"/>
  <c r="AT72" i="6"/>
  <c r="AT79" i="6"/>
  <c r="AT126" i="6"/>
  <c r="AT112" i="6"/>
  <c r="AT147" i="6"/>
  <c r="AT65" i="8"/>
  <c r="AT64" i="8"/>
  <c r="AT137" i="8"/>
  <c r="AT62" i="8"/>
  <c r="AT98" i="8"/>
  <c r="AT42" i="8"/>
  <c r="AT71" i="8"/>
  <c r="AT92" i="8"/>
  <c r="AT96" i="8"/>
  <c r="AT63" i="8"/>
  <c r="AT41" i="8"/>
  <c r="AT126" i="8"/>
  <c r="AT80" i="8"/>
  <c r="AT28" i="6"/>
  <c r="AT153" i="6"/>
  <c r="AT95" i="6"/>
  <c r="AT39" i="6"/>
  <c r="AT143" i="8"/>
  <c r="AT95" i="8"/>
  <c r="AT119" i="8"/>
  <c r="AT111" i="8"/>
  <c r="AT133" i="8"/>
  <c r="AT88" i="8"/>
  <c r="AT20" i="8"/>
  <c r="AT85" i="8"/>
  <c r="AT36" i="8"/>
  <c r="AT118" i="8"/>
  <c r="AT51" i="8"/>
  <c r="AT125" i="8"/>
  <c r="AT32" i="8"/>
  <c r="AT83" i="8"/>
  <c r="AT81" i="8"/>
  <c r="AT70" i="8"/>
  <c r="P287" i="5"/>
  <c r="Q287" i="5" s="1"/>
  <c r="P159" i="5"/>
  <c r="P107" i="5"/>
  <c r="R107" i="5" s="1"/>
  <c r="AT128" i="6"/>
  <c r="AT136" i="6"/>
  <c r="AT92" i="6"/>
  <c r="AT32" i="6"/>
  <c r="AT131" i="6"/>
  <c r="AT91" i="6"/>
  <c r="AT128" i="8"/>
  <c r="AT67" i="8"/>
  <c r="AT146" i="8"/>
  <c r="AT89" i="8"/>
  <c r="AT87" i="8"/>
  <c r="AT29" i="8"/>
  <c r="AT90" i="8"/>
  <c r="AT55" i="8"/>
  <c r="AT18" i="8"/>
  <c r="AT138" i="8"/>
  <c r="AT82" i="8"/>
  <c r="AT52" i="8"/>
  <c r="AT157" i="8"/>
  <c r="AT130" i="8"/>
  <c r="AT144" i="8"/>
  <c r="AT69" i="8"/>
  <c r="AT124" i="6"/>
  <c r="AT96" i="6"/>
  <c r="AT113" i="6"/>
  <c r="AT12" i="6"/>
  <c r="AT107" i="8"/>
  <c r="AT127" i="8"/>
  <c r="AT15" i="8"/>
  <c r="AT136" i="8"/>
  <c r="AT94" i="8"/>
  <c r="AT154" i="8"/>
  <c r="AT48" i="8"/>
  <c r="AT105" i="8"/>
  <c r="AT86" i="8"/>
  <c r="AT103" i="8"/>
  <c r="AT39" i="8"/>
  <c r="AT35" i="8"/>
  <c r="AT43" i="8"/>
  <c r="AT65" i="6"/>
  <c r="AT71" i="6"/>
  <c r="AT73" i="6"/>
  <c r="AT21" i="6"/>
  <c r="AT77" i="6"/>
  <c r="AT34" i="6"/>
  <c r="AT55" i="6"/>
  <c r="AT141" i="8"/>
  <c r="AT156" i="8"/>
  <c r="AT24" i="8"/>
  <c r="AT27" i="8"/>
  <c r="AT132" i="8"/>
  <c r="AT114" i="8"/>
  <c r="AT56" i="8"/>
  <c r="AT129" i="8"/>
  <c r="AT112" i="8"/>
  <c r="AT58" i="8"/>
  <c r="AT7" i="8"/>
  <c r="AT151" i="8"/>
  <c r="AT120" i="8"/>
  <c r="AT91" i="8"/>
  <c r="P124" i="5"/>
  <c r="P275" i="5"/>
  <c r="R275" i="5" s="1"/>
  <c r="AT130" i="6"/>
  <c r="AT118" i="6"/>
  <c r="AT23" i="6"/>
  <c r="AT31" i="6"/>
  <c r="AT109" i="6"/>
  <c r="AT111" i="6"/>
  <c r="AT60" i="8"/>
  <c r="AT148" i="8"/>
  <c r="AT50" i="8"/>
  <c r="AT155" i="8"/>
  <c r="AT8" i="8"/>
  <c r="AT53" i="8"/>
  <c r="AT145" i="8"/>
  <c r="AT122" i="8"/>
  <c r="AT31" i="8"/>
  <c r="AT11" i="8"/>
  <c r="AT89" i="6"/>
  <c r="P205" i="5"/>
  <c r="R205" i="5" s="1"/>
  <c r="AT25" i="6"/>
  <c r="AT58" i="6"/>
  <c r="AT108" i="8"/>
  <c r="AT57" i="8"/>
  <c r="AT19" i="8"/>
  <c r="AT123" i="8"/>
  <c r="AT153" i="8"/>
  <c r="AT113" i="8"/>
  <c r="AT74" i="8"/>
  <c r="AT9" i="8"/>
  <c r="AT99" i="8"/>
  <c r="AT79" i="8"/>
  <c r="AT152" i="8"/>
  <c r="AT66" i="8"/>
  <c r="AT40" i="8"/>
  <c r="U61" i="8"/>
  <c r="U150" i="8"/>
  <c r="U124" i="8"/>
  <c r="AT47" i="8"/>
  <c r="AT26" i="8"/>
  <c r="AT16" i="8"/>
  <c r="W75" i="8"/>
  <c r="Y75" i="8" s="1"/>
  <c r="AR75" i="8" s="1"/>
  <c r="U17" i="8"/>
  <c r="U75" i="8"/>
  <c r="AT61" i="8"/>
  <c r="W150" i="8"/>
  <c r="Y150" i="8" s="1"/>
  <c r="AR150" i="8" s="1"/>
  <c r="U131" i="8"/>
  <c r="W124" i="8"/>
  <c r="W104" i="8"/>
  <c r="X104" i="8" s="1"/>
  <c r="W47" i="8"/>
  <c r="X47" i="8" s="1"/>
  <c r="U77" i="8"/>
  <c r="AT75" i="8"/>
  <c r="W17" i="8"/>
  <c r="X17" i="8" s="1"/>
  <c r="AT150" i="8"/>
  <c r="W131" i="8"/>
  <c r="Y131" i="8" s="1"/>
  <c r="AR131" i="8" s="1"/>
  <c r="AT124" i="8"/>
  <c r="U104" i="8"/>
  <c r="U34" i="8"/>
  <c r="W12" i="8"/>
  <c r="Y12" i="8" s="1"/>
  <c r="AR12" i="8" s="1"/>
  <c r="U116" i="8"/>
  <c r="W68" i="8"/>
  <c r="Y68" i="8" s="1"/>
  <c r="AR68" i="8" s="1"/>
  <c r="AT17" i="8"/>
  <c r="U100" i="8"/>
  <c r="AT104" i="8"/>
  <c r="U12" i="8"/>
  <c r="AT131" i="8"/>
  <c r="W34" i="8"/>
  <c r="Y34" i="8" s="1"/>
  <c r="AR34" i="8" s="1"/>
  <c r="W100" i="8"/>
  <c r="Y100" i="8" s="1"/>
  <c r="AR100" i="8" s="1"/>
  <c r="AT34" i="8"/>
  <c r="W10" i="8"/>
  <c r="Y10" i="8" s="1"/>
  <c r="AR10" i="8" s="1"/>
  <c r="AT12" i="8"/>
  <c r="AT10" i="8"/>
  <c r="AT100" i="8"/>
  <c r="W153" i="8"/>
  <c r="Y153" i="8" s="1"/>
  <c r="AR153" i="8" s="1"/>
  <c r="U153" i="8"/>
  <c r="U26" i="8"/>
  <c r="U10" i="8"/>
  <c r="U16" i="8"/>
  <c r="U97" i="8"/>
  <c r="U73" i="8"/>
  <c r="W97" i="8"/>
  <c r="X97" i="8" s="1"/>
  <c r="U147" i="8"/>
  <c r="W73" i="8"/>
  <c r="W37" i="8"/>
  <c r="X37" i="8" s="1"/>
  <c r="AT97" i="8"/>
  <c r="W14" i="8"/>
  <c r="Y14" i="8" s="1"/>
  <c r="AR14" i="8" s="1"/>
  <c r="W147" i="8"/>
  <c r="Y147" i="8" s="1"/>
  <c r="AR147" i="8" s="1"/>
  <c r="AT73" i="8"/>
  <c r="AT37" i="8"/>
  <c r="AT147" i="8"/>
  <c r="U33" i="8"/>
  <c r="W33" i="8"/>
  <c r="Y33" i="8" s="1"/>
  <c r="AR33" i="8" s="1"/>
  <c r="W83" i="8"/>
  <c r="X83" i="8" s="1"/>
  <c r="U156" i="8"/>
  <c r="W46" i="8"/>
  <c r="Y46" i="8" s="1"/>
  <c r="AR46" i="8" s="1"/>
  <c r="AT33" i="8"/>
  <c r="U83" i="8"/>
  <c r="BD10" i="5"/>
  <c r="W156" i="8"/>
  <c r="X156" i="8" s="1"/>
  <c r="U37" i="8"/>
  <c r="U46" i="8"/>
  <c r="AT14" i="8"/>
  <c r="AT109" i="8"/>
  <c r="W69" i="8"/>
  <c r="Y69" i="8" s="1"/>
  <c r="AR69" i="8" s="1"/>
  <c r="U93" i="8"/>
  <c r="AT46" i="8"/>
  <c r="U149" i="8"/>
  <c r="AT93" i="8"/>
  <c r="U54" i="8"/>
  <c r="W149" i="8"/>
  <c r="Y149" i="8" s="1"/>
  <c r="AR149" i="8" s="1"/>
  <c r="W93" i="8"/>
  <c r="Y93" i="8" s="1"/>
  <c r="AR93" i="8" s="1"/>
  <c r="AT54" i="8"/>
  <c r="U81" i="8"/>
  <c r="W81" i="8"/>
  <c r="Y81" i="8" s="1"/>
  <c r="AR81" i="8" s="1"/>
  <c r="U14" i="8"/>
  <c r="U103" i="6"/>
  <c r="AT97" i="6"/>
  <c r="U49" i="6"/>
  <c r="AT49" i="6"/>
  <c r="U97" i="6"/>
  <c r="U68" i="6"/>
  <c r="AT68" i="6"/>
  <c r="U132" i="8"/>
  <c r="AT117" i="8"/>
  <c r="AT13" i="8"/>
  <c r="U133" i="8"/>
  <c r="W70" i="8"/>
  <c r="X70" i="8" s="1"/>
  <c r="W101" i="8"/>
  <c r="Y101" i="8" s="1"/>
  <c r="AR101" i="8" s="1"/>
  <c r="U76" i="8"/>
  <c r="U28" i="8"/>
  <c r="W108" i="8"/>
  <c r="AE108" i="8" s="1"/>
  <c r="W132" i="8"/>
  <c r="X132" i="8" s="1"/>
  <c r="W133" i="8"/>
  <c r="Y133" i="8" s="1"/>
  <c r="AR133" i="8" s="1"/>
  <c r="U70" i="8"/>
  <c r="AT101" i="8"/>
  <c r="AT76" i="8"/>
  <c r="AT45" i="8"/>
  <c r="U89" i="8"/>
  <c r="W22" i="8"/>
  <c r="U105" i="8"/>
  <c r="W139" i="8"/>
  <c r="Y139" i="8" s="1"/>
  <c r="AR139" i="8" s="1"/>
  <c r="W78" i="8"/>
  <c r="Y78" i="8" s="1"/>
  <c r="AR78" i="8" s="1"/>
  <c r="AT116" i="8"/>
  <c r="W89" i="8"/>
  <c r="Y89" i="8" s="1"/>
  <c r="AR89" i="8" s="1"/>
  <c r="AT22" i="8"/>
  <c r="W105" i="8"/>
  <c r="Y105" i="8" s="1"/>
  <c r="AR105" i="8" s="1"/>
  <c r="U157" i="8"/>
  <c r="AT139" i="8"/>
  <c r="U51" i="8"/>
  <c r="U125" i="8"/>
  <c r="AE125" i="8" s="1"/>
  <c r="U30" i="8"/>
  <c r="U86" i="8"/>
  <c r="AT78" i="8"/>
  <c r="AT149" i="8"/>
  <c r="U68" i="8"/>
  <c r="W30" i="8"/>
  <c r="Y30" i="8" s="1"/>
  <c r="AR30" i="8" s="1"/>
  <c r="W121" i="8"/>
  <c r="Y121" i="8" s="1"/>
  <c r="AR121" i="8" s="1"/>
  <c r="AT30" i="8"/>
  <c r="U121" i="8"/>
  <c r="AT68" i="8"/>
  <c r="U59" i="8"/>
  <c r="AT142" i="8"/>
  <c r="W20" i="8"/>
  <c r="Y20" i="8" s="1"/>
  <c r="AR20" i="8" s="1"/>
  <c r="AT121" i="8"/>
  <c r="AT49" i="8"/>
  <c r="U69" i="8"/>
  <c r="W59" i="8"/>
  <c r="Y59" i="8" s="1"/>
  <c r="AR59" i="8" s="1"/>
  <c r="U115" i="8"/>
  <c r="U134" i="8"/>
  <c r="U25" i="8"/>
  <c r="AT59" i="8"/>
  <c r="U109" i="8"/>
  <c r="AT115" i="8"/>
  <c r="W25" i="8"/>
  <c r="Y25" i="8" s="1"/>
  <c r="AR25" i="8" s="1"/>
  <c r="W109" i="8"/>
  <c r="Y109" i="8" s="1"/>
  <c r="AR109" i="8" s="1"/>
  <c r="W115" i="8"/>
  <c r="X115" i="8" s="1"/>
  <c r="U78" i="8"/>
  <c r="W110" i="8"/>
  <c r="X110" i="8" s="1"/>
  <c r="AT25" i="8"/>
  <c r="O15" i="5"/>
  <c r="W71" i="6"/>
  <c r="X71" i="6" s="1"/>
  <c r="U23" i="6"/>
  <c r="U124" i="6"/>
  <c r="AT45" i="6"/>
  <c r="AT42" i="6"/>
  <c r="AT53" i="6"/>
  <c r="W16" i="6"/>
  <c r="Y16" i="6" s="1"/>
  <c r="AR16" i="6" s="1"/>
  <c r="U128" i="6"/>
  <c r="U20" i="6"/>
  <c r="U8" i="6"/>
  <c r="U74" i="6"/>
  <c r="U21" i="6"/>
  <c r="AT16" i="6"/>
  <c r="U153" i="6"/>
  <c r="U31" i="6"/>
  <c r="U111" i="6"/>
  <c r="W134" i="6"/>
  <c r="X134" i="6" s="1"/>
  <c r="U58" i="6"/>
  <c r="W65" i="6"/>
  <c r="X65" i="6" s="1"/>
  <c r="AT107" i="6"/>
  <c r="AT157" i="6"/>
  <c r="U42" i="6"/>
  <c r="U84" i="8"/>
  <c r="AT77" i="8"/>
  <c r="W28" i="8"/>
  <c r="W84" i="8"/>
  <c r="Y84" i="8" s="1"/>
  <c r="AR84" i="8" s="1"/>
  <c r="W77" i="8"/>
  <c r="Y77" i="8" s="1"/>
  <c r="AR77" i="8" s="1"/>
  <c r="AT28" i="8"/>
  <c r="AT84" i="8"/>
  <c r="AT38" i="8"/>
  <c r="U140" i="8"/>
  <c r="W140" i="8"/>
  <c r="Y140" i="8" s="1"/>
  <c r="AR140" i="8" s="1"/>
  <c r="U21" i="8"/>
  <c r="AT140" i="8"/>
  <c r="W21" i="8"/>
  <c r="Y21" i="8" s="1"/>
  <c r="AR21" i="8" s="1"/>
  <c r="AT21" i="8"/>
  <c r="P30" i="5"/>
  <c r="R30" i="5" s="1"/>
  <c r="P244" i="5"/>
  <c r="P84" i="5"/>
  <c r="P115" i="5"/>
  <c r="R115" i="5" s="1"/>
  <c r="W53" i="6"/>
  <c r="X53" i="6" s="1"/>
  <c r="W103" i="6"/>
  <c r="X103" i="6" s="1"/>
  <c r="W73" i="6"/>
  <c r="X73" i="6" s="1"/>
  <c r="W23" i="6"/>
  <c r="Y23" i="6" s="1"/>
  <c r="AR23" i="6" s="1"/>
  <c r="W58" i="6"/>
  <c r="X58" i="6" s="1"/>
  <c r="W72" i="6"/>
  <c r="X72" i="6" s="1"/>
  <c r="W32" i="6"/>
  <c r="Y32" i="6" s="1"/>
  <c r="AR32" i="6" s="1"/>
  <c r="W112" i="6"/>
  <c r="X112" i="6" s="1"/>
  <c r="P484" i="5"/>
  <c r="Q484" i="5" s="1"/>
  <c r="P489" i="5"/>
  <c r="R489" i="5" s="1"/>
  <c r="P444" i="5"/>
  <c r="Q444" i="5" s="1"/>
  <c r="P298" i="5"/>
  <c r="Q298" i="5" s="1"/>
  <c r="P260" i="5"/>
  <c r="Q260" i="5" s="1"/>
  <c r="P70" i="5"/>
  <c r="P93" i="5"/>
  <c r="P308" i="5"/>
  <c r="Q308" i="5" s="1"/>
  <c r="P485" i="5"/>
  <c r="R485" i="5" s="1"/>
  <c r="P191" i="5"/>
  <c r="R191" i="5" s="1"/>
  <c r="P46" i="5"/>
  <c r="Q46" i="5" s="1"/>
  <c r="P236" i="5"/>
  <c r="R236" i="5" s="1"/>
  <c r="P59" i="5"/>
  <c r="Q59" i="5" s="1"/>
  <c r="P95" i="5"/>
  <c r="W54" i="8"/>
  <c r="Y54" i="8" s="1"/>
  <c r="AR54" i="8" s="1"/>
  <c r="P164" i="5"/>
  <c r="R164" i="5" s="1"/>
  <c r="P64" i="5"/>
  <c r="R64" i="5" s="1"/>
  <c r="P441" i="5"/>
  <c r="R441" i="5" s="1"/>
  <c r="W68" i="6"/>
  <c r="X68" i="6" s="1"/>
  <c r="W97" i="6"/>
  <c r="X97" i="6" s="1"/>
  <c r="AJ97" i="6" s="1"/>
  <c r="W49" i="6"/>
  <c r="X49" i="6" s="1"/>
  <c r="W142" i="8"/>
  <c r="Y142" i="8" s="1"/>
  <c r="AR142" i="8" s="1"/>
  <c r="U50" i="6"/>
  <c r="U85" i="6"/>
  <c r="W61" i="6"/>
  <c r="X61" i="6" s="1"/>
  <c r="U115" i="6"/>
  <c r="U131" i="6"/>
  <c r="U113" i="6"/>
  <c r="AT61" i="6"/>
  <c r="W137" i="6"/>
  <c r="X137" i="6" s="1"/>
  <c r="W131" i="6"/>
  <c r="X131" i="6" s="1"/>
  <c r="AT125" i="6"/>
  <c r="AT57" i="6"/>
  <c r="U12" i="6"/>
  <c r="AT138" i="6"/>
  <c r="W12" i="6"/>
  <c r="Y12" i="6" s="1"/>
  <c r="AR12" i="6" s="1"/>
  <c r="W66" i="6"/>
  <c r="X66" i="6" s="1"/>
  <c r="W8" i="6"/>
  <c r="Y8" i="6" s="1"/>
  <c r="AR8" i="6" s="1"/>
  <c r="W74" i="6"/>
  <c r="X74" i="6" s="1"/>
  <c r="U116" i="6"/>
  <c r="U142" i="6"/>
  <c r="AT66" i="6"/>
  <c r="AT74" i="6"/>
  <c r="AT142" i="6"/>
  <c r="AT8" i="6"/>
  <c r="W127" i="6"/>
  <c r="X127" i="6" s="1"/>
  <c r="W101" i="6"/>
  <c r="X101" i="6" s="1"/>
  <c r="AT116" i="6"/>
  <c r="U24" i="6"/>
  <c r="W116" i="6"/>
  <c r="X116" i="6" s="1"/>
  <c r="U33" i="6"/>
  <c r="U101" i="6"/>
  <c r="U10" i="6"/>
  <c r="U148" i="6"/>
  <c r="B31" i="5"/>
  <c r="W33" i="6"/>
  <c r="Y33" i="6" s="1"/>
  <c r="AR33" i="6" s="1"/>
  <c r="W10" i="6"/>
  <c r="Y10" i="6" s="1"/>
  <c r="AR10" i="6" s="1"/>
  <c r="U107" i="6"/>
  <c r="U17" i="6"/>
  <c r="AT148" i="6"/>
  <c r="AT33" i="6"/>
  <c r="U45" i="6"/>
  <c r="AT10" i="6"/>
  <c r="W107" i="6"/>
  <c r="X107" i="6" s="1"/>
  <c r="AT17" i="6"/>
  <c r="U157" i="6"/>
  <c r="W45" i="6"/>
  <c r="X45" i="6" s="1"/>
  <c r="U75" i="6"/>
  <c r="W104" i="6"/>
  <c r="X104" i="6" s="1"/>
  <c r="AT75" i="6"/>
  <c r="U76" i="6"/>
  <c r="AT101" i="6"/>
  <c r="W157" i="6"/>
  <c r="X157" i="6" s="1"/>
  <c r="U104" i="6"/>
  <c r="AT76" i="6"/>
  <c r="AT24" i="6"/>
  <c r="W142" i="6"/>
  <c r="X142" i="6" s="1"/>
  <c r="U127" i="6"/>
  <c r="U66" i="6"/>
  <c r="W17" i="6"/>
  <c r="Y17" i="6" s="1"/>
  <c r="AR17" i="6" s="1"/>
  <c r="W148" i="6"/>
  <c r="X148" i="6" s="1"/>
  <c r="AT127" i="6"/>
  <c r="W75" i="6"/>
  <c r="X75" i="6" s="1"/>
  <c r="W114" i="6"/>
  <c r="X114" i="6" s="1"/>
  <c r="U133" i="6"/>
  <c r="U27" i="6"/>
  <c r="U26" i="6"/>
  <c r="AT51" i="6"/>
  <c r="U87" i="6"/>
  <c r="U57" i="6"/>
  <c r="W84" i="6"/>
  <c r="X84" i="6" s="1"/>
  <c r="U9" i="6"/>
  <c r="AT38" i="6"/>
  <c r="AT84" i="6"/>
  <c r="AT114" i="6"/>
  <c r="W57" i="6"/>
  <c r="X57" i="6" s="1"/>
  <c r="AT122" i="6"/>
  <c r="U129" i="6"/>
  <c r="W9" i="6"/>
  <c r="Y9" i="6" s="1"/>
  <c r="AR9" i="6" s="1"/>
  <c r="W26" i="6"/>
  <c r="Y26" i="6" s="1"/>
  <c r="AR26" i="6" s="1"/>
  <c r="AT106" i="6"/>
  <c r="U93" i="6"/>
  <c r="W133" i="6"/>
  <c r="X133" i="6" s="1"/>
  <c r="AT121" i="6"/>
  <c r="W27" i="6"/>
  <c r="Y27" i="6" s="1"/>
  <c r="AR27" i="6" s="1"/>
  <c r="W129" i="6"/>
  <c r="X129" i="6" s="1"/>
  <c r="AT9" i="6"/>
  <c r="U102" i="6"/>
  <c r="AT26" i="6"/>
  <c r="U37" i="6"/>
  <c r="W93" i="6"/>
  <c r="X93" i="6" s="1"/>
  <c r="AT133" i="6"/>
  <c r="AT129" i="6"/>
  <c r="AT102" i="6"/>
  <c r="U14" i="6"/>
  <c r="W37" i="6"/>
  <c r="X37" i="6" s="1"/>
  <c r="AT93" i="6"/>
  <c r="U120" i="6"/>
  <c r="U118" i="6"/>
  <c r="AT80" i="6"/>
  <c r="U51" i="6"/>
  <c r="AT14" i="6"/>
  <c r="AT37" i="6"/>
  <c r="U149" i="6"/>
  <c r="U30" i="6"/>
  <c r="W120" i="6"/>
  <c r="X120" i="6" s="1"/>
  <c r="AJ120" i="6" s="1"/>
  <c r="W118" i="6"/>
  <c r="X118" i="6" s="1"/>
  <c r="AJ118" i="6" s="1"/>
  <c r="W51" i="6"/>
  <c r="X51" i="6" s="1"/>
  <c r="AT154" i="6"/>
  <c r="AT149" i="6"/>
  <c r="W30" i="6"/>
  <c r="Y30" i="6" s="1"/>
  <c r="AR30" i="6" s="1"/>
  <c r="U114" i="6"/>
  <c r="AT46" i="6"/>
  <c r="U122" i="6"/>
  <c r="AT29" i="6"/>
  <c r="W24" i="6"/>
  <c r="Y24" i="6" s="1"/>
  <c r="AR24" i="6" s="1"/>
  <c r="W38" i="6"/>
  <c r="X38" i="6" s="1"/>
  <c r="AT54" i="6"/>
  <c r="AT104" i="6"/>
  <c r="W83" i="6"/>
  <c r="X83" i="6" s="1"/>
  <c r="U86" i="6"/>
  <c r="AT69" i="6"/>
  <c r="U110" i="6"/>
  <c r="W110" i="6"/>
  <c r="X110" i="6" s="1"/>
  <c r="U140" i="6"/>
  <c r="AT86" i="6"/>
  <c r="U80" i="6"/>
  <c r="W87" i="6"/>
  <c r="X87" i="6" s="1"/>
  <c r="U59" i="6"/>
  <c r="U154" i="6"/>
  <c r="U146" i="6"/>
  <c r="AT30" i="6"/>
  <c r="W140" i="6"/>
  <c r="X140" i="6" s="1"/>
  <c r="U106" i="6"/>
  <c r="W50" i="6"/>
  <c r="X50" i="6" s="1"/>
  <c r="U78" i="6"/>
  <c r="AT120" i="6"/>
  <c r="AT27" i="6"/>
  <c r="W76" i="6"/>
  <c r="X76" i="6" s="1"/>
  <c r="U62" i="6"/>
  <c r="U43" i="6"/>
  <c r="W80" i="6"/>
  <c r="X80" i="6" s="1"/>
  <c r="AT87" i="6"/>
  <c r="W154" i="6"/>
  <c r="X154" i="6" s="1"/>
  <c r="W146" i="6"/>
  <c r="X146" i="6" s="1"/>
  <c r="AT140" i="6"/>
  <c r="W106" i="6"/>
  <c r="X106" i="6" s="1"/>
  <c r="U38" i="6"/>
  <c r="AT50" i="6"/>
  <c r="W78" i="6"/>
  <c r="X78" i="6" s="1"/>
  <c r="W119" i="6"/>
  <c r="X119" i="6" s="1"/>
  <c r="W62" i="6"/>
  <c r="X62" i="6" s="1"/>
  <c r="W43" i="6"/>
  <c r="X43" i="6" s="1"/>
  <c r="AT146" i="6"/>
  <c r="AT78" i="6"/>
  <c r="AT119" i="6"/>
  <c r="U130" i="6"/>
  <c r="AT62" i="6"/>
  <c r="AT43" i="6"/>
  <c r="U34" i="6"/>
  <c r="W130" i="6"/>
  <c r="X130" i="6" s="1"/>
  <c r="W34" i="6"/>
  <c r="Y34" i="6" s="1"/>
  <c r="AR34" i="6" s="1"/>
  <c r="AT81" i="6"/>
  <c r="U46" i="6"/>
  <c r="U121" i="6"/>
  <c r="U156" i="6"/>
  <c r="W139" i="6"/>
  <c r="X139" i="6" s="1"/>
  <c r="U36" i="6"/>
  <c r="U88" i="6"/>
  <c r="W59" i="6"/>
  <c r="X59" i="6" s="1"/>
  <c r="W156" i="6"/>
  <c r="X156" i="6" s="1"/>
  <c r="AT110" i="6"/>
  <c r="W13" i="6"/>
  <c r="Y13" i="6" s="1"/>
  <c r="AR13" i="6" s="1"/>
  <c r="W36" i="6"/>
  <c r="Y36" i="6" s="1"/>
  <c r="AR36" i="6" s="1"/>
  <c r="W88" i="6"/>
  <c r="X88" i="6" s="1"/>
  <c r="AT59" i="6"/>
  <c r="U22" i="6"/>
  <c r="AT156" i="6"/>
  <c r="AT85" i="6"/>
  <c r="AT83" i="6"/>
  <c r="Y262" i="5"/>
  <c r="Z262" i="5" s="1"/>
  <c r="W150" i="6"/>
  <c r="X150" i="6" s="1"/>
  <c r="U81" i="6"/>
  <c r="AT36" i="6"/>
  <c r="AT88" i="6"/>
  <c r="W63" i="6"/>
  <c r="X63" i="6" s="1"/>
  <c r="W81" i="6"/>
  <c r="X81" i="6" s="1"/>
  <c r="U100" i="6"/>
  <c r="U90" i="6"/>
  <c r="U139" i="6"/>
  <c r="AT139" i="6"/>
  <c r="U119" i="6"/>
  <c r="W86" i="6"/>
  <c r="X86" i="6" s="1"/>
  <c r="AJ86" i="6" s="1"/>
  <c r="W69" i="6"/>
  <c r="X69" i="6" s="1"/>
  <c r="B169" i="3"/>
  <c r="B170" i="3" s="1"/>
  <c r="B171" i="3" s="1"/>
  <c r="B175" i="3" s="1"/>
  <c r="U18" i="6"/>
  <c r="U60" i="6"/>
  <c r="AT18" i="6"/>
  <c r="U29" i="6"/>
  <c r="U25" i="6"/>
  <c r="U117" i="6"/>
  <c r="AT60" i="6"/>
  <c r="U105" i="6"/>
  <c r="AT105" i="6"/>
  <c r="AT70" i="6"/>
  <c r="Y283" i="5"/>
  <c r="Z283" i="5" s="1"/>
  <c r="W18" i="6"/>
  <c r="Y18" i="6" s="1"/>
  <c r="AR18" i="6" s="1"/>
  <c r="W128" i="6"/>
  <c r="X128" i="6" s="1"/>
  <c r="W99" i="6"/>
  <c r="X99" i="6" s="1"/>
  <c r="W92" i="6"/>
  <c r="X92" i="6" s="1"/>
  <c r="W60" i="6"/>
  <c r="X60" i="6" s="1"/>
  <c r="W55" i="6"/>
  <c r="X55" i="6" s="1"/>
  <c r="W67" i="6"/>
  <c r="X67" i="6" s="1"/>
  <c r="W105" i="6"/>
  <c r="X105" i="6" s="1"/>
  <c r="P516" i="5"/>
  <c r="Q516" i="5" s="1"/>
  <c r="P211" i="5"/>
  <c r="R211" i="5" s="1"/>
  <c r="P355" i="5"/>
  <c r="R355" i="5" s="1"/>
  <c r="P400" i="5"/>
  <c r="P68" i="5"/>
  <c r="P162" i="5"/>
  <c r="Q162" i="5" s="1"/>
  <c r="P135" i="5"/>
  <c r="R135" i="5" s="1"/>
  <c r="P506" i="5"/>
  <c r="R506" i="5" s="1"/>
  <c r="W79" i="6"/>
  <c r="X79" i="6" s="1"/>
  <c r="W29" i="6"/>
  <c r="Y29" i="6" s="1"/>
  <c r="AR29" i="6" s="1"/>
  <c r="W70" i="6"/>
  <c r="X70" i="6" s="1"/>
  <c r="W126" i="8"/>
  <c r="X126" i="8" s="1"/>
  <c r="W28" i="6"/>
  <c r="Y28" i="6" s="1"/>
  <c r="AR28" i="6" s="1"/>
  <c r="W25" i="6"/>
  <c r="Y25" i="6" s="1"/>
  <c r="AR25" i="6" s="1"/>
  <c r="P411" i="5"/>
  <c r="R411" i="5" s="1"/>
  <c r="P125" i="5"/>
  <c r="R125" i="5" s="1"/>
  <c r="P126" i="5"/>
  <c r="Q126" i="5" s="1"/>
  <c r="P217" i="5"/>
  <c r="R217" i="5" s="1"/>
  <c r="P118" i="5"/>
  <c r="Q118" i="5" s="1"/>
  <c r="P90" i="5"/>
  <c r="P457" i="5"/>
  <c r="P341" i="5"/>
  <c r="Q341" i="5" s="1"/>
  <c r="W117" i="6"/>
  <c r="X117" i="6" s="1"/>
  <c r="W54" i="6"/>
  <c r="X54" i="6" s="1"/>
  <c r="AT134" i="8"/>
  <c r="U110" i="8"/>
  <c r="AT110" i="8"/>
  <c r="U94" i="8"/>
  <c r="Y331" i="5"/>
  <c r="AA331" i="5" s="1"/>
  <c r="Y106" i="5"/>
  <c r="Z106" i="5" s="1"/>
  <c r="Y522" i="5"/>
  <c r="AA522" i="5" s="1"/>
  <c r="Y131" i="5"/>
  <c r="Z131" i="5" s="1"/>
  <c r="Y8" i="5"/>
  <c r="AA8" i="5" s="1"/>
  <c r="Y493" i="5"/>
  <c r="AA493" i="5" s="1"/>
  <c r="Y452" i="5"/>
  <c r="Z452" i="5" s="1"/>
  <c r="Y107" i="5"/>
  <c r="Z107" i="5" s="1"/>
  <c r="Y232" i="5"/>
  <c r="Z232" i="5" s="1"/>
  <c r="Y248" i="5"/>
  <c r="Y240" i="5"/>
  <c r="Z240" i="5" s="1"/>
  <c r="Y491" i="5"/>
  <c r="AA491" i="5" s="1"/>
  <c r="Y170" i="5"/>
  <c r="AA170" i="5" s="1"/>
  <c r="Y142" i="5"/>
  <c r="Z142" i="5" s="1"/>
  <c r="Y547" i="5"/>
  <c r="AA547" i="5" s="1"/>
  <c r="Y500" i="5"/>
  <c r="AA500" i="5" s="1"/>
  <c r="W94" i="8"/>
  <c r="X94" i="8" s="1"/>
  <c r="P543" i="5"/>
  <c r="Q543" i="5" s="1"/>
  <c r="P424" i="5"/>
  <c r="Q424" i="5" s="1"/>
  <c r="P386" i="5"/>
  <c r="R386" i="5" s="1"/>
  <c r="P255" i="5"/>
  <c r="Q255" i="5" s="1"/>
  <c r="P363" i="5"/>
  <c r="R363" i="5" s="1"/>
  <c r="P402" i="5"/>
  <c r="R402" i="5" s="1"/>
  <c r="P75" i="5"/>
  <c r="R75" i="5" s="1"/>
  <c r="P204" i="5"/>
  <c r="P29" i="5"/>
  <c r="R29" i="5" s="1"/>
  <c r="P89" i="5"/>
  <c r="R89" i="5" s="1"/>
  <c r="P277" i="5"/>
  <c r="R277" i="5" s="1"/>
  <c r="P79" i="5"/>
  <c r="Q79" i="5" s="1"/>
  <c r="P254" i="5"/>
  <c r="R254" i="5" s="1"/>
  <c r="P514" i="5"/>
  <c r="Q514" i="5" s="1"/>
  <c r="P559" i="5"/>
  <c r="R559" i="5" s="1"/>
  <c r="P332" i="5"/>
  <c r="P282" i="5"/>
  <c r="R282" i="5" s="1"/>
  <c r="P269" i="5"/>
  <c r="R269" i="5" s="1"/>
  <c r="P374" i="5"/>
  <c r="Q374" i="5" s="1"/>
  <c r="P199" i="5"/>
  <c r="R199" i="5" s="1"/>
  <c r="P242" i="5"/>
  <c r="R242" i="5" s="1"/>
  <c r="P116" i="5"/>
  <c r="Q116" i="5" s="1"/>
  <c r="P22" i="5"/>
  <c r="R22" i="5" s="1"/>
  <c r="P80" i="5"/>
  <c r="P262" i="5"/>
  <c r="R262" i="5" s="1"/>
  <c r="P56" i="5"/>
  <c r="R56" i="5" s="1"/>
  <c r="P128" i="5"/>
  <c r="R128" i="5" s="1"/>
  <c r="P549" i="5"/>
  <c r="R549" i="5" s="1"/>
  <c r="P130" i="5"/>
  <c r="Q130" i="5" s="1"/>
  <c r="P87" i="5"/>
  <c r="R87" i="5" s="1"/>
  <c r="P139" i="5"/>
  <c r="R139" i="5" s="1"/>
  <c r="P140" i="5"/>
  <c r="Q140" i="5" s="1"/>
  <c r="P368" i="5"/>
  <c r="R368" i="5" s="1"/>
  <c r="P560" i="5"/>
  <c r="R560" i="5" s="1"/>
  <c r="P534" i="5"/>
  <c r="R534" i="5" s="1"/>
  <c r="P100" i="5"/>
  <c r="Q100" i="5" s="1"/>
  <c r="P297" i="5"/>
  <c r="Q297" i="5" s="1"/>
  <c r="P240" i="5"/>
  <c r="R240" i="5" s="1"/>
  <c r="P53" i="5"/>
  <c r="Q53" i="5" s="1"/>
  <c r="P114" i="5"/>
  <c r="Q114" i="5" s="1"/>
  <c r="P27" i="5"/>
  <c r="R27" i="5" s="1"/>
  <c r="P207" i="5"/>
  <c r="R207" i="5" s="1"/>
  <c r="P113" i="5"/>
  <c r="Q113" i="5" s="1"/>
  <c r="P34" i="5"/>
  <c r="R34" i="5" s="1"/>
  <c r="P157" i="5"/>
  <c r="R157" i="5" s="1"/>
  <c r="P194" i="5"/>
  <c r="R194" i="5" s="1"/>
  <c r="P361" i="5"/>
  <c r="Q361" i="5" s="1"/>
  <c r="G85" i="2"/>
  <c r="U144" i="6"/>
  <c r="W155" i="6"/>
  <c r="X155" i="6" s="1"/>
  <c r="U151" i="6"/>
  <c r="W85" i="6"/>
  <c r="X85" i="6" s="1"/>
  <c r="AT64" i="6"/>
  <c r="Y362" i="5"/>
  <c r="AA362" i="5" s="1"/>
  <c r="Y509" i="5"/>
  <c r="AA509" i="5" s="1"/>
  <c r="Y79" i="5"/>
  <c r="Z79" i="5" s="1"/>
  <c r="Y512" i="5"/>
  <c r="Z512" i="5" s="1"/>
  <c r="Y250" i="5"/>
  <c r="Z250" i="5" s="1"/>
  <c r="Y226" i="5"/>
  <c r="AA226" i="5" s="1"/>
  <c r="Y215" i="5"/>
  <c r="Z215" i="5" s="1"/>
  <c r="Y20" i="5"/>
  <c r="AA20" i="5" s="1"/>
  <c r="Y261" i="5"/>
  <c r="AA261" i="5" s="1"/>
  <c r="Y375" i="5"/>
  <c r="Z375" i="5" s="1"/>
  <c r="Y229" i="5"/>
  <c r="AA229" i="5" s="1"/>
  <c r="Y281" i="5"/>
  <c r="Z281" i="5" s="1"/>
  <c r="Y96" i="5"/>
  <c r="Z96" i="5" s="1"/>
  <c r="Y379" i="5"/>
  <c r="AA379" i="5" s="1"/>
  <c r="Y45" i="5"/>
  <c r="AA45" i="5" s="1"/>
  <c r="Y560" i="5"/>
  <c r="AA560" i="5" s="1"/>
  <c r="Y306" i="5"/>
  <c r="AA306" i="5" s="1"/>
  <c r="AT41" i="6"/>
  <c r="Y314" i="5"/>
  <c r="Z314" i="5" s="1"/>
  <c r="Y556" i="5"/>
  <c r="Z556" i="5" s="1"/>
  <c r="Y510" i="5"/>
  <c r="Y292" i="5"/>
  <c r="AA292" i="5" s="1"/>
  <c r="Y177" i="5"/>
  <c r="AA177" i="5" s="1"/>
  <c r="Y296" i="5"/>
  <c r="AA296" i="5" s="1"/>
  <c r="Y167" i="5"/>
  <c r="AA167" i="5" s="1"/>
  <c r="Y246" i="5"/>
  <c r="Y282" i="5"/>
  <c r="Y24" i="5"/>
  <c r="Y197" i="5"/>
  <c r="Y315" i="5"/>
  <c r="Y236" i="5"/>
  <c r="AA236" i="5" s="1"/>
  <c r="Y163" i="5"/>
  <c r="Y528" i="5"/>
  <c r="Y441" i="5"/>
  <c r="Y403" i="5"/>
  <c r="Z52" i="5"/>
  <c r="U152" i="6"/>
  <c r="Y479" i="5"/>
  <c r="Z479" i="5" s="1"/>
  <c r="Y205" i="5"/>
  <c r="Z205" i="5" s="1"/>
  <c r="Y428" i="5"/>
  <c r="AA428" i="5" s="1"/>
  <c r="Y553" i="5"/>
  <c r="Z553" i="5" s="1"/>
  <c r="Y171" i="5"/>
  <c r="Z171" i="5" s="1"/>
  <c r="Y537" i="5"/>
  <c r="AA537" i="5" s="1"/>
  <c r="Y316" i="5"/>
  <c r="Z316" i="5" s="1"/>
  <c r="Y456" i="5"/>
  <c r="Z456" i="5" s="1"/>
  <c r="Y551" i="5"/>
  <c r="AA551" i="5" s="1"/>
  <c r="Y396" i="5"/>
  <c r="Z396" i="5" s="1"/>
  <c r="Y63" i="5"/>
  <c r="Z63" i="5" s="1"/>
  <c r="Y471" i="5"/>
  <c r="AA471" i="5" s="1"/>
  <c r="Y274" i="5"/>
  <c r="AA274" i="5" s="1"/>
  <c r="Y555" i="5"/>
  <c r="Z555" i="5" s="1"/>
  <c r="Y147" i="5"/>
  <c r="AA147" i="5" s="1"/>
  <c r="Y439" i="5"/>
  <c r="AA439" i="5" s="1"/>
  <c r="Y477" i="5"/>
  <c r="AA477" i="5" s="1"/>
  <c r="AT152" i="6"/>
  <c r="Y554" i="5"/>
  <c r="AA554" i="5" s="1"/>
  <c r="Y140" i="5"/>
  <c r="Y431" i="5"/>
  <c r="Z431" i="5" s="1"/>
  <c r="Y230" i="5"/>
  <c r="Y463" i="5"/>
  <c r="AA463" i="5" s="1"/>
  <c r="Y345" i="5"/>
  <c r="Z345" i="5" s="1"/>
  <c r="Y231" i="5"/>
  <c r="Y65" i="5"/>
  <c r="AA65" i="5" s="1"/>
  <c r="Y552" i="5"/>
  <c r="Z552" i="5" s="1"/>
  <c r="Y253" i="5"/>
  <c r="Z253" i="5" s="1"/>
  <c r="Y88" i="5"/>
  <c r="Y407" i="5"/>
  <c r="Z407" i="5" s="1"/>
  <c r="Y485" i="5"/>
  <c r="Y290" i="5"/>
  <c r="Y178" i="5"/>
  <c r="Y50" i="5"/>
  <c r="Y360" i="5"/>
  <c r="Y10" i="5"/>
  <c r="AA10" i="5" s="1"/>
  <c r="U108" i="6"/>
  <c r="Y181" i="5"/>
  <c r="Z181" i="5" s="1"/>
  <c r="Y325" i="5"/>
  <c r="Z325" i="5" s="1"/>
  <c r="Y445" i="5"/>
  <c r="Z445" i="5" s="1"/>
  <c r="Y270" i="5"/>
  <c r="Z270" i="5" s="1"/>
  <c r="Y399" i="5"/>
  <c r="AA399" i="5" s="1"/>
  <c r="Y546" i="5"/>
  <c r="AA546" i="5" s="1"/>
  <c r="Y263" i="5"/>
  <c r="Z263" i="5" s="1"/>
  <c r="Y300" i="5"/>
  <c r="Z300" i="5" s="1"/>
  <c r="Y243" i="5"/>
  <c r="Z243" i="5" s="1"/>
  <c r="Y256" i="5"/>
  <c r="AA256" i="5" s="1"/>
  <c r="Y110" i="5"/>
  <c r="AA110" i="5" s="1"/>
  <c r="Y184" i="5"/>
  <c r="Z184" i="5" s="1"/>
  <c r="Y367" i="5"/>
  <c r="AA367" i="5" s="1"/>
  <c r="Y543" i="5"/>
  <c r="AA543" i="5" s="1"/>
  <c r="Y287" i="5"/>
  <c r="AA287" i="5" s="1"/>
  <c r="Y195" i="5"/>
  <c r="AA195" i="5" s="1"/>
  <c r="Y13" i="5"/>
  <c r="AA13" i="5" s="1"/>
  <c r="W108" i="6"/>
  <c r="X108" i="6" s="1"/>
  <c r="AT15" i="6"/>
  <c r="AT123" i="6"/>
  <c r="Y149" i="5"/>
  <c r="AA149" i="5" s="1"/>
  <c r="Y137" i="5"/>
  <c r="Z137" i="5" s="1"/>
  <c r="Y498" i="5"/>
  <c r="Z498" i="5" s="1"/>
  <c r="Y515" i="5"/>
  <c r="Z515" i="5" s="1"/>
  <c r="Y353" i="5"/>
  <c r="Z353" i="5" s="1"/>
  <c r="Y422" i="5"/>
  <c r="AA422" i="5" s="1"/>
  <c r="Y251" i="5"/>
  <c r="AA251" i="5" s="1"/>
  <c r="Y444" i="5"/>
  <c r="Z444" i="5" s="1"/>
  <c r="Y216" i="5"/>
  <c r="Z216" i="5" s="1"/>
  <c r="Y203" i="5"/>
  <c r="AA203" i="5" s="1"/>
  <c r="Y364" i="5"/>
  <c r="AA364" i="5" s="1"/>
  <c r="Y100" i="5"/>
  <c r="AA100" i="5" s="1"/>
  <c r="Y188" i="5"/>
  <c r="Z188" i="5" s="1"/>
  <c r="Y201" i="5"/>
  <c r="AA201" i="5" s="1"/>
  <c r="Y549" i="5"/>
  <c r="Z549" i="5" s="1"/>
  <c r="Y311" i="5"/>
  <c r="Y57" i="5"/>
  <c r="AA57" i="5" s="1"/>
  <c r="Y12" i="5"/>
  <c r="AA12" i="5" s="1"/>
  <c r="AT108" i="6"/>
  <c r="Y258" i="5"/>
  <c r="Z258" i="5" s="1"/>
  <c r="Y323" i="5"/>
  <c r="Z323" i="5" s="1"/>
  <c r="Y275" i="5"/>
  <c r="Z275" i="5" s="1"/>
  <c r="Y145" i="5"/>
  <c r="AA145" i="5" s="1"/>
  <c r="Y297" i="5"/>
  <c r="Z297" i="5" s="1"/>
  <c r="Y144" i="5"/>
  <c r="AA144" i="5" s="1"/>
  <c r="Y397" i="5"/>
  <c r="Z397" i="5" s="1"/>
  <c r="Y524" i="5"/>
  <c r="AA524" i="5" s="1"/>
  <c r="Y343" i="5"/>
  <c r="AA343" i="5" s="1"/>
  <c r="Y557" i="5"/>
  <c r="Z557" i="5" s="1"/>
  <c r="Y486" i="5"/>
  <c r="AA486" i="5" s="1"/>
  <c r="Y365" i="5"/>
  <c r="Z365" i="5" s="1"/>
  <c r="Y94" i="5"/>
  <c r="Z94" i="5" s="1"/>
  <c r="Y132" i="5"/>
  <c r="AA132" i="5" s="1"/>
  <c r="Y89" i="5"/>
  <c r="Z89" i="5" s="1"/>
  <c r="Y413" i="5"/>
  <c r="AA413" i="5" s="1"/>
  <c r="Y507" i="5"/>
  <c r="AA507" i="5" s="1"/>
  <c r="V132" i="6"/>
  <c r="AT132" i="6"/>
  <c r="U132" i="6"/>
  <c r="V141" i="6"/>
  <c r="AT141" i="6"/>
  <c r="U141" i="6"/>
  <c r="V7" i="6"/>
  <c r="AT7" i="6"/>
  <c r="U7" i="6"/>
  <c r="V143" i="6"/>
  <c r="AT143" i="6"/>
  <c r="U143" i="6"/>
  <c r="V82" i="6"/>
  <c r="AT82" i="6"/>
  <c r="AM14" i="6"/>
  <c r="W14" i="6"/>
  <c r="Y14" i="6" s="1"/>
  <c r="AR14" i="6" s="1"/>
  <c r="V89" i="6"/>
  <c r="U89" i="6"/>
  <c r="V44" i="6"/>
  <c r="AT44" i="6"/>
  <c r="U44" i="6"/>
  <c r="AM121" i="6"/>
  <c r="W121" i="6"/>
  <c r="X121" i="6" s="1"/>
  <c r="V135" i="6"/>
  <c r="AT135" i="6"/>
  <c r="AM102" i="6"/>
  <c r="W102" i="6"/>
  <c r="X102" i="6" s="1"/>
  <c r="AM149" i="6"/>
  <c r="W149" i="6"/>
  <c r="X149" i="6" s="1"/>
  <c r="AM46" i="6"/>
  <c r="W46" i="6"/>
  <c r="X46" i="6" s="1"/>
  <c r="V47" i="6"/>
  <c r="AT47" i="6"/>
  <c r="V48" i="6"/>
  <c r="AT48" i="6"/>
  <c r="U48" i="6"/>
  <c r="W152" i="6"/>
  <c r="X152" i="6" s="1"/>
  <c r="Y68" i="5"/>
  <c r="AA68" i="5" s="1"/>
  <c r="Y468" i="5"/>
  <c r="Z468" i="5" s="1"/>
  <c r="Y550" i="5"/>
  <c r="AA550" i="5" s="1"/>
  <c r="Y267" i="5"/>
  <c r="AA267" i="5" s="1"/>
  <c r="Y417" i="5"/>
  <c r="AA417" i="5" s="1"/>
  <c r="Y487" i="5"/>
  <c r="Z487" i="5" s="1"/>
  <c r="Y390" i="5"/>
  <c r="AA390" i="5" s="1"/>
  <c r="Y425" i="5"/>
  <c r="AA425" i="5" s="1"/>
  <c r="Y511" i="5"/>
  <c r="AA511" i="5" s="1"/>
  <c r="Y206" i="5"/>
  <c r="Z206" i="5" s="1"/>
  <c r="Y327" i="5"/>
  <c r="AA327" i="5" s="1"/>
  <c r="Y276" i="5"/>
  <c r="Z276" i="5" s="1"/>
  <c r="Y86" i="5"/>
  <c r="AA86" i="5" s="1"/>
  <c r="Y384" i="5"/>
  <c r="AA384" i="5" s="1"/>
  <c r="Y558" i="5"/>
  <c r="Z558" i="5" s="1"/>
  <c r="Y443" i="5"/>
  <c r="AA443" i="5" s="1"/>
  <c r="Y410" i="5"/>
  <c r="AA410" i="5" s="1"/>
  <c r="Y73" i="5"/>
  <c r="AA73" i="5" s="1"/>
  <c r="Y286" i="5"/>
  <c r="Z286" i="5" s="1"/>
  <c r="Y330" i="5"/>
  <c r="AA330" i="5" s="1"/>
  <c r="Y254" i="5"/>
  <c r="Z254" i="5" s="1"/>
  <c r="Y173" i="5"/>
  <c r="Z173" i="5" s="1"/>
  <c r="Y400" i="5"/>
  <c r="Z400" i="5" s="1"/>
  <c r="Y85" i="5"/>
  <c r="AA85" i="5" s="1"/>
  <c r="Y59" i="5"/>
  <c r="AA59" i="5" s="1"/>
  <c r="Y211" i="5"/>
  <c r="AA211" i="5" s="1"/>
  <c r="Y273" i="5"/>
  <c r="AA273" i="5" s="1"/>
  <c r="Y482" i="5"/>
  <c r="AA482" i="5" s="1"/>
  <c r="Y542" i="5"/>
  <c r="Z542" i="5" s="1"/>
  <c r="Y66" i="5"/>
  <c r="Z66" i="5" s="1"/>
  <c r="Y77" i="5"/>
  <c r="AA77" i="5" s="1"/>
  <c r="Y49" i="5"/>
  <c r="Z49" i="5" s="1"/>
  <c r="Y335" i="5"/>
  <c r="Z335" i="5" s="1"/>
  <c r="Y496" i="5"/>
  <c r="AA496" i="5" s="1"/>
  <c r="Y473" i="5"/>
  <c r="Z473" i="5" s="1"/>
  <c r="Y266" i="5"/>
  <c r="AA266" i="5" s="1"/>
  <c r="Y56" i="5"/>
  <c r="AA56" i="5" s="1"/>
  <c r="Y334" i="5"/>
  <c r="Z334" i="5" s="1"/>
  <c r="Y279" i="5"/>
  <c r="AA279" i="5" s="1"/>
  <c r="Y531" i="5"/>
  <c r="AA531" i="5" s="1"/>
  <c r="Y516" i="5"/>
  <c r="AA516" i="5" s="1"/>
  <c r="Y234" i="5"/>
  <c r="Z234" i="5" s="1"/>
  <c r="Y162" i="5"/>
  <c r="Z162" i="5" s="1"/>
  <c r="Y74" i="5"/>
  <c r="Z74" i="5" s="1"/>
  <c r="Y355" i="5"/>
  <c r="AA355" i="5" s="1"/>
  <c r="Y530" i="5"/>
  <c r="AA530" i="5" s="1"/>
  <c r="Y340" i="5"/>
  <c r="AA340" i="5" s="1"/>
  <c r="Y44" i="5"/>
  <c r="Z44" i="5" s="1"/>
  <c r="Y277" i="5"/>
  <c r="Z277" i="5" s="1"/>
  <c r="Y220" i="5"/>
  <c r="AA220" i="5" s="1"/>
  <c r="Y136" i="5"/>
  <c r="Y433" i="5"/>
  <c r="Z433" i="5" s="1"/>
  <c r="Y121" i="5"/>
  <c r="AA121" i="5" s="1"/>
  <c r="Y359" i="5"/>
  <c r="AA359" i="5" s="1"/>
  <c r="Y381" i="5"/>
  <c r="Y462" i="5"/>
  <c r="AA462" i="5" s="1"/>
  <c r="Y272" i="5"/>
  <c r="AA272" i="5" s="1"/>
  <c r="Y405" i="5"/>
  <c r="Z405" i="5" s="1"/>
  <c r="Y154" i="5"/>
  <c r="Z154" i="5" s="1"/>
  <c r="Y383" i="5"/>
  <c r="Z383" i="5" s="1"/>
  <c r="Y426" i="5"/>
  <c r="AA426" i="5" s="1"/>
  <c r="Y326" i="5"/>
  <c r="AA326" i="5" s="1"/>
  <c r="Y114" i="5"/>
  <c r="AA114" i="5" s="1"/>
  <c r="Y357" i="5"/>
  <c r="Z357" i="5" s="1"/>
  <c r="Y200" i="5"/>
  <c r="Z200" i="5" s="1"/>
  <c r="Y539" i="5"/>
  <c r="AA539" i="5" s="1"/>
  <c r="Y237" i="5"/>
  <c r="AA237" i="5" s="1"/>
  <c r="Y222" i="5"/>
  <c r="W100" i="6"/>
  <c r="X100" i="6" s="1"/>
  <c r="U52" i="6"/>
  <c r="U94" i="6"/>
  <c r="U19" i="6"/>
  <c r="Y450" i="5"/>
  <c r="Z450" i="5" s="1"/>
  <c r="Y179" i="5"/>
  <c r="AA179" i="5" s="1"/>
  <c r="Y437" i="5"/>
  <c r="AA437" i="5" s="1"/>
  <c r="Y160" i="5"/>
  <c r="Z160" i="5" s="1"/>
  <c r="Y128" i="5"/>
  <c r="AA128" i="5" s="1"/>
  <c r="Y333" i="5"/>
  <c r="Z333" i="5" s="1"/>
  <c r="Y544" i="5"/>
  <c r="AA544" i="5" s="1"/>
  <c r="Y174" i="5"/>
  <c r="AA174" i="5" s="1"/>
  <c r="Y341" i="5"/>
  <c r="Z341" i="5" s="1"/>
  <c r="Y525" i="5"/>
  <c r="Z525" i="5" s="1"/>
  <c r="Y141" i="5"/>
  <c r="AA141" i="5" s="1"/>
  <c r="Y501" i="5"/>
  <c r="AA501" i="5" s="1"/>
  <c r="Y538" i="5"/>
  <c r="Z538" i="5" s="1"/>
  <c r="Y438" i="5"/>
  <c r="AA438" i="5" s="1"/>
  <c r="Y406" i="5"/>
  <c r="AA406" i="5" s="1"/>
  <c r="Y119" i="5"/>
  <c r="AA119" i="5" s="1"/>
  <c r="Y517" i="5"/>
  <c r="AA517" i="5" s="1"/>
  <c r="Y481" i="5"/>
  <c r="AA481" i="5" s="1"/>
  <c r="Y363" i="5"/>
  <c r="AA363" i="5" s="1"/>
  <c r="Y361" i="5"/>
  <c r="AA361" i="5" s="1"/>
  <c r="Y337" i="5"/>
  <c r="Z337" i="5" s="1"/>
  <c r="Y192" i="5"/>
  <c r="AA192" i="5" s="1"/>
  <c r="Y475" i="5"/>
  <c r="Z475" i="5" s="1"/>
  <c r="Y434" i="5"/>
  <c r="Z434" i="5" s="1"/>
  <c r="Y125" i="5"/>
  <c r="AA125" i="5" s="1"/>
  <c r="Y75" i="5"/>
  <c r="Z75" i="5" s="1"/>
  <c r="Y198" i="5"/>
  <c r="Z198" i="5" s="1"/>
  <c r="Y324" i="5"/>
  <c r="Z324" i="5" s="1"/>
  <c r="Y411" i="5"/>
  <c r="AA411" i="5" s="1"/>
  <c r="Y548" i="5"/>
  <c r="AA548" i="5" s="1"/>
  <c r="Y115" i="5"/>
  <c r="Z115" i="5" s="1"/>
  <c r="Y92" i="5"/>
  <c r="AA92" i="5" s="1"/>
  <c r="Y196" i="5"/>
  <c r="AA196" i="5" s="1"/>
  <c r="Y342" i="5"/>
  <c r="Z342" i="5" s="1"/>
  <c r="Y453" i="5"/>
  <c r="AA453" i="5" s="1"/>
  <c r="Y461" i="5"/>
  <c r="Z461" i="5" s="1"/>
  <c r="Y111" i="5"/>
  <c r="AA111" i="5" s="1"/>
  <c r="Y102" i="5"/>
  <c r="Z102" i="5" s="1"/>
  <c r="Y225" i="5"/>
  <c r="AA225" i="5" s="1"/>
  <c r="Y369" i="5"/>
  <c r="AA369" i="5" s="1"/>
  <c r="Y490" i="5"/>
  <c r="AA490" i="5" s="1"/>
  <c r="Y472" i="5"/>
  <c r="Z472" i="5" s="1"/>
  <c r="Y84" i="5"/>
  <c r="Z84" i="5" s="1"/>
  <c r="Y43" i="5"/>
  <c r="AA43" i="5" s="1"/>
  <c r="Y446" i="5"/>
  <c r="AA446" i="5" s="1"/>
  <c r="Y370" i="5"/>
  <c r="AA370" i="5" s="1"/>
  <c r="Y470" i="5"/>
  <c r="AA470" i="5" s="1"/>
  <c r="Y219" i="5"/>
  <c r="AA219" i="5" s="1"/>
  <c r="Y53" i="5"/>
  <c r="AA53" i="5" s="1"/>
  <c r="Y93" i="5"/>
  <c r="AA93" i="5" s="1"/>
  <c r="Y402" i="5"/>
  <c r="AA402" i="5" s="1"/>
  <c r="Y99" i="5"/>
  <c r="AA99" i="5" s="1"/>
  <c r="Y457" i="5"/>
  <c r="AA457" i="5" s="1"/>
  <c r="Y118" i="5"/>
  <c r="Z118" i="5" s="1"/>
  <c r="Y301" i="5"/>
  <c r="Z301" i="5" s="1"/>
  <c r="Y304" i="5"/>
  <c r="AA304" i="5" s="1"/>
  <c r="Y513" i="5"/>
  <c r="Z513" i="5" s="1"/>
  <c r="Y382" i="5"/>
  <c r="Z382" i="5" s="1"/>
  <c r="Y448" i="5"/>
  <c r="AA448" i="5" s="1"/>
  <c r="Y126" i="5"/>
  <c r="Z126" i="5" s="1"/>
  <c r="Y244" i="5"/>
  <c r="Z244" i="5" s="1"/>
  <c r="Y378" i="5"/>
  <c r="AA378" i="5" s="1"/>
  <c r="Y152" i="5"/>
  <c r="Y41" i="5"/>
  <c r="Y293" i="5"/>
  <c r="Y388" i="5"/>
  <c r="Y278" i="5"/>
  <c r="Y488" i="5"/>
  <c r="U35" i="6"/>
  <c r="U145" i="6"/>
  <c r="AT100" i="6"/>
  <c r="U98" i="6"/>
  <c r="W52" i="6"/>
  <c r="X52" i="6" s="1"/>
  <c r="W94" i="6"/>
  <c r="X94" i="6" s="1"/>
  <c r="W19" i="6"/>
  <c r="Y19" i="6" s="1"/>
  <c r="AR19" i="6" s="1"/>
  <c r="U56" i="6"/>
  <c r="Y153" i="5"/>
  <c r="Z153" i="5" s="1"/>
  <c r="Y302" i="5"/>
  <c r="Z302" i="5" s="1"/>
  <c r="Y347" i="5"/>
  <c r="Z347" i="5" s="1"/>
  <c r="Y127" i="5"/>
  <c r="Z127" i="5" s="1"/>
  <c r="Y185" i="5"/>
  <c r="AA185" i="5" s="1"/>
  <c r="Y440" i="5"/>
  <c r="AA440" i="5" s="1"/>
  <c r="Y224" i="5"/>
  <c r="AA224" i="5" s="1"/>
  <c r="Y193" i="5"/>
  <c r="Z193" i="5" s="1"/>
  <c r="Y459" i="5"/>
  <c r="Z459" i="5" s="1"/>
  <c r="Y227" i="5"/>
  <c r="AA227" i="5" s="1"/>
  <c r="Y58" i="5"/>
  <c r="AA58" i="5" s="1"/>
  <c r="Y377" i="5"/>
  <c r="AA377" i="5" s="1"/>
  <c r="Y540" i="5"/>
  <c r="AA540" i="5" s="1"/>
  <c r="Y321" i="5"/>
  <c r="Z321" i="5" s="1"/>
  <c r="Y309" i="5"/>
  <c r="AA309" i="5" s="1"/>
  <c r="Y218" i="5"/>
  <c r="Z218" i="5" s="1"/>
  <c r="Y339" i="5"/>
  <c r="Z339" i="5" s="1"/>
  <c r="Y401" i="5"/>
  <c r="AA401" i="5" s="1"/>
  <c r="Y120" i="5"/>
  <c r="AA120" i="5" s="1"/>
  <c r="Y288" i="5"/>
  <c r="AA288" i="5" s="1"/>
  <c r="Y489" i="5"/>
  <c r="Z489" i="5" s="1"/>
  <c r="Y398" i="5"/>
  <c r="AA398" i="5" s="1"/>
  <c r="Y372" i="5"/>
  <c r="AA372" i="5" s="1"/>
  <c r="Y366" i="5"/>
  <c r="AA366" i="5" s="1"/>
  <c r="Y214" i="5"/>
  <c r="AA214" i="5" s="1"/>
  <c r="Y505" i="5"/>
  <c r="AA505" i="5" s="1"/>
  <c r="Y172" i="5"/>
  <c r="Z172" i="5" s="1"/>
  <c r="Y252" i="5"/>
  <c r="Z252" i="5" s="1"/>
  <c r="Y408" i="5"/>
  <c r="AA408" i="5" s="1"/>
  <c r="Y499" i="5"/>
  <c r="Z499" i="5" s="1"/>
  <c r="Y194" i="5"/>
  <c r="Z194" i="5" s="1"/>
  <c r="Y55" i="5"/>
  <c r="AA55" i="5" s="1"/>
  <c r="Y180" i="5"/>
  <c r="Z180" i="5" s="1"/>
  <c r="Y271" i="5"/>
  <c r="Z271" i="5" s="1"/>
  <c r="Y447" i="5"/>
  <c r="Z447" i="5" s="1"/>
  <c r="Y476" i="5"/>
  <c r="Z476" i="5" s="1"/>
  <c r="Y87" i="5"/>
  <c r="AA87" i="5" s="1"/>
  <c r="Y182" i="5"/>
  <c r="Z182" i="5" s="1"/>
  <c r="Y209" i="5"/>
  <c r="AA209" i="5" s="1"/>
  <c r="Y259" i="5"/>
  <c r="AA259" i="5" s="1"/>
  <c r="Y416" i="5"/>
  <c r="Z416" i="5" s="1"/>
  <c r="Y415" i="5"/>
  <c r="AA415" i="5" s="1"/>
  <c r="Y39" i="5"/>
  <c r="Z39" i="5" s="1"/>
  <c r="Y427" i="5"/>
  <c r="AA427" i="5" s="1"/>
  <c r="Y223" i="5"/>
  <c r="Z223" i="5" s="1"/>
  <c r="Y285" i="5"/>
  <c r="Z285" i="5" s="1"/>
  <c r="Y412" i="5"/>
  <c r="Z412" i="5" s="1"/>
  <c r="Y483" i="5"/>
  <c r="Z483" i="5" s="1"/>
  <c r="Y25" i="5"/>
  <c r="AA25" i="5" s="1"/>
  <c r="Y122" i="5"/>
  <c r="AA122" i="5" s="1"/>
  <c r="Y320" i="5"/>
  <c r="AA320" i="5" s="1"/>
  <c r="Y81" i="5"/>
  <c r="AA81" i="5" s="1"/>
  <c r="Y33" i="5"/>
  <c r="AA33" i="5" s="1"/>
  <c r="Y150" i="5"/>
  <c r="Z150" i="5" s="1"/>
  <c r="Y319" i="5"/>
  <c r="AA319" i="5" s="1"/>
  <c r="Y432" i="5"/>
  <c r="AA432" i="5" s="1"/>
  <c r="Y217" i="5"/>
  <c r="Z217" i="5" s="1"/>
  <c r="Y36" i="5"/>
  <c r="AA36" i="5" s="1"/>
  <c r="Y349" i="5"/>
  <c r="Z349" i="5" s="1"/>
  <c r="Y164" i="5"/>
  <c r="Z164" i="5" s="1"/>
  <c r="Y295" i="5"/>
  <c r="AA295" i="5" s="1"/>
  <c r="Y303" i="5"/>
  <c r="AA303" i="5" s="1"/>
  <c r="Y38" i="5"/>
  <c r="Z38" i="5" s="1"/>
  <c r="Y35" i="5"/>
  <c r="AA35" i="5" s="1"/>
  <c r="Y241" i="5"/>
  <c r="AA241" i="5" s="1"/>
  <c r="Y117" i="5"/>
  <c r="AA117" i="5" s="1"/>
  <c r="Y64" i="5"/>
  <c r="AA64" i="5" s="1"/>
  <c r="W35" i="6"/>
  <c r="Y35" i="6" s="1"/>
  <c r="AR35" i="6" s="1"/>
  <c r="W145" i="6"/>
  <c r="X145" i="6" s="1"/>
  <c r="W98" i="6"/>
  <c r="X98" i="6" s="1"/>
  <c r="AT52" i="6"/>
  <c r="AT94" i="6"/>
  <c r="AT19" i="6"/>
  <c r="W56" i="6"/>
  <c r="X56" i="6" s="1"/>
  <c r="Y208" i="5"/>
  <c r="AA208" i="5" s="1"/>
  <c r="Y506" i="5"/>
  <c r="Z506" i="5" s="1"/>
  <c r="Y469" i="5"/>
  <c r="Z469" i="5" s="1"/>
  <c r="Y157" i="5"/>
  <c r="AA157" i="5" s="1"/>
  <c r="Y348" i="5"/>
  <c r="Z348" i="5" s="1"/>
  <c r="Y374" i="5"/>
  <c r="AA374" i="5" s="1"/>
  <c r="Y161" i="5"/>
  <c r="AA161" i="5" s="1"/>
  <c r="Y350" i="5"/>
  <c r="Z350" i="5" s="1"/>
  <c r="Y376" i="5"/>
  <c r="AA376" i="5" s="1"/>
  <c r="Y268" i="5"/>
  <c r="Z268" i="5" s="1"/>
  <c r="Y233" i="5"/>
  <c r="AA233" i="5" s="1"/>
  <c r="Y291" i="5"/>
  <c r="Z291" i="5" s="1"/>
  <c r="Y97" i="5"/>
  <c r="Z97" i="5" s="1"/>
  <c r="Y502" i="5"/>
  <c r="Z502" i="5" s="1"/>
  <c r="Y454" i="5"/>
  <c r="AA454" i="5" s="1"/>
  <c r="Y28" i="5"/>
  <c r="AA28" i="5" s="1"/>
  <c r="Y451" i="5"/>
  <c r="Z451" i="5" s="1"/>
  <c r="Y519" i="5"/>
  <c r="AA519" i="5" s="1"/>
  <c r="Y238" i="5"/>
  <c r="Z238" i="5" s="1"/>
  <c r="Y346" i="5"/>
  <c r="AA346" i="5" s="1"/>
  <c r="Y420" i="5"/>
  <c r="AA420" i="5" s="1"/>
  <c r="Y148" i="5"/>
  <c r="Z148" i="5" s="1"/>
  <c r="Y294" i="5"/>
  <c r="AA294" i="5" s="1"/>
  <c r="Y492" i="5"/>
  <c r="Z492" i="5" s="1"/>
  <c r="Y60" i="5"/>
  <c r="Z60" i="5" s="1"/>
  <c r="Y455" i="5"/>
  <c r="AA455" i="5" s="1"/>
  <c r="Y212" i="5"/>
  <c r="Z212" i="5" s="1"/>
  <c r="Y67" i="5"/>
  <c r="Z67" i="5" s="1"/>
  <c r="Y386" i="5"/>
  <c r="AA386" i="5" s="1"/>
  <c r="Y351" i="5"/>
  <c r="AA351" i="5" s="1"/>
  <c r="Y322" i="5"/>
  <c r="AA322" i="5" s="1"/>
  <c r="Y78" i="5"/>
  <c r="AA78" i="5" s="1"/>
  <c r="Y190" i="5"/>
  <c r="AA190" i="5" s="1"/>
  <c r="Y257" i="5"/>
  <c r="Z257" i="5" s="1"/>
  <c r="Y395" i="5"/>
  <c r="Z395" i="5" s="1"/>
  <c r="Y523" i="5"/>
  <c r="Z523" i="5" s="1"/>
  <c r="Y317" i="5"/>
  <c r="Y21" i="5"/>
  <c r="Z21" i="5" s="1"/>
  <c r="Y449" i="5"/>
  <c r="Z449" i="5" s="1"/>
  <c r="Y289" i="5"/>
  <c r="AA289" i="5" s="1"/>
  <c r="Y424" i="5"/>
  <c r="Y308" i="5"/>
  <c r="AA308" i="5" s="1"/>
  <c r="Y305" i="5"/>
  <c r="Z305" i="5" s="1"/>
  <c r="Y37" i="5"/>
  <c r="AA37" i="5" s="1"/>
  <c r="Y69" i="5"/>
  <c r="AA69" i="5" s="1"/>
  <c r="Y312" i="5"/>
  <c r="Y393" i="5"/>
  <c r="AA393" i="5" s="1"/>
  <c r="Y158" i="5"/>
  <c r="Z158" i="5" s="1"/>
  <c r="Y245" i="5"/>
  <c r="Z245" i="5" s="1"/>
  <c r="Y133" i="5"/>
  <c r="Z133" i="5" s="1"/>
  <c r="Y284" i="5"/>
  <c r="Y135" i="5"/>
  <c r="AA135" i="5" s="1"/>
  <c r="Y534" i="5"/>
  <c r="Y71" i="5"/>
  <c r="Z71" i="5" s="1"/>
  <c r="Y249" i="5"/>
  <c r="AA249" i="5" s="1"/>
  <c r="Y421" i="5"/>
  <c r="Z421" i="5" s="1"/>
  <c r="Y465" i="5"/>
  <c r="AA465" i="5" s="1"/>
  <c r="Y123" i="5"/>
  <c r="Z123" i="5" s="1"/>
  <c r="Y143" i="5"/>
  <c r="Y175" i="5"/>
  <c r="AA175" i="5" s="1"/>
  <c r="Y336" i="5"/>
  <c r="Z336" i="5" s="1"/>
  <c r="Y460" i="5"/>
  <c r="AA460" i="5" s="1"/>
  <c r="Y124" i="5"/>
  <c r="Y130" i="5"/>
  <c r="Y101" i="5"/>
  <c r="Y109" i="5"/>
  <c r="Y129" i="5"/>
  <c r="U64" i="6"/>
  <c r="AT35" i="6"/>
  <c r="U15" i="6"/>
  <c r="AT145" i="6"/>
  <c r="U123" i="6"/>
  <c r="AT98" i="6"/>
  <c r="U41" i="6"/>
  <c r="AT56" i="6"/>
  <c r="Y155" i="5"/>
  <c r="Z155" i="5" s="1"/>
  <c r="Y392" i="5"/>
  <c r="Z392" i="5" s="1"/>
  <c r="Y368" i="5"/>
  <c r="AA368" i="5" s="1"/>
  <c r="Y210" i="5"/>
  <c r="AA210" i="5" s="1"/>
  <c r="Y541" i="5"/>
  <c r="Z541" i="5" s="1"/>
  <c r="Y494" i="5"/>
  <c r="Z494" i="5" s="1"/>
  <c r="Y213" i="5"/>
  <c r="AA213" i="5" s="1"/>
  <c r="Y280" i="5"/>
  <c r="AA280" i="5" s="1"/>
  <c r="Y504" i="5"/>
  <c r="Z504" i="5" s="1"/>
  <c r="Y165" i="5"/>
  <c r="AA165" i="5" s="1"/>
  <c r="Y387" i="5"/>
  <c r="AA387" i="5" s="1"/>
  <c r="Y404" i="5"/>
  <c r="Z404" i="5" s="1"/>
  <c r="Y207" i="5"/>
  <c r="AA207" i="5" s="1"/>
  <c r="Y338" i="5"/>
  <c r="AA338" i="5" s="1"/>
  <c r="Y329" i="5"/>
  <c r="Z329" i="5" s="1"/>
  <c r="Y189" i="5"/>
  <c r="Z189" i="5" s="1"/>
  <c r="Y518" i="5"/>
  <c r="AA518" i="5" s="1"/>
  <c r="Y19" i="5"/>
  <c r="Z19" i="5" s="1"/>
  <c r="Y34" i="5"/>
  <c r="Z34" i="5" s="1"/>
  <c r="Y458" i="5"/>
  <c r="AA458" i="5" s="1"/>
  <c r="Y526" i="5"/>
  <c r="AA526" i="5" s="1"/>
  <c r="Y255" i="5"/>
  <c r="Z255" i="5" s="1"/>
  <c r="Y358" i="5"/>
  <c r="AA358" i="5" s="1"/>
  <c r="Y435" i="5"/>
  <c r="Z435" i="5" s="1"/>
  <c r="Y112" i="5"/>
  <c r="AA112" i="5" s="1"/>
  <c r="Y48" i="5"/>
  <c r="Z48" i="5" s="1"/>
  <c r="Y187" i="5"/>
  <c r="AA187" i="5" s="1"/>
  <c r="Y344" i="5"/>
  <c r="AA344" i="5" s="1"/>
  <c r="Y474" i="5"/>
  <c r="AA474" i="5" s="1"/>
  <c r="Y533" i="5"/>
  <c r="AA533" i="5" s="1"/>
  <c r="Y108" i="5"/>
  <c r="AA108" i="5" s="1"/>
  <c r="Y480" i="5"/>
  <c r="Z480" i="5" s="1"/>
  <c r="Y166" i="5"/>
  <c r="AA166" i="5" s="1"/>
  <c r="Y356" i="5"/>
  <c r="AA356" i="5" s="1"/>
  <c r="Y90" i="5"/>
  <c r="Z90" i="5" s="1"/>
  <c r="Y535" i="5"/>
  <c r="AA535" i="5" s="1"/>
  <c r="Y105" i="5"/>
  <c r="AA105" i="5" s="1"/>
  <c r="Y467" i="5"/>
  <c r="AA467" i="5" s="1"/>
  <c r="Y183" i="5"/>
  <c r="AA183" i="5" s="1"/>
  <c r="Y61" i="5"/>
  <c r="AA61" i="5" s="1"/>
  <c r="Y228" i="5"/>
  <c r="AA228" i="5" s="1"/>
  <c r="Y247" i="5"/>
  <c r="AA247" i="5" s="1"/>
  <c r="Y95" i="5"/>
  <c r="AA95" i="5" s="1"/>
  <c r="Y389" i="5"/>
  <c r="Z389" i="5" s="1"/>
  <c r="Y186" i="5"/>
  <c r="AA186" i="5" s="1"/>
  <c r="Y138" i="5"/>
  <c r="AA138" i="5" s="1"/>
  <c r="Y380" i="5"/>
  <c r="Z380" i="5" s="1"/>
  <c r="Y82" i="5"/>
  <c r="AA82" i="5" s="1"/>
  <c r="Y80" i="5"/>
  <c r="Z80" i="5" s="1"/>
  <c r="Y47" i="5"/>
  <c r="Z47" i="5" s="1"/>
  <c r="Y169" i="5"/>
  <c r="AA169" i="5" s="1"/>
  <c r="Y156" i="5"/>
  <c r="Z156" i="5" s="1"/>
  <c r="Y151" i="5"/>
  <c r="AA151" i="5" s="1"/>
  <c r="Y264" i="5"/>
  <c r="Z264" i="5" s="1"/>
  <c r="Y371" i="5"/>
  <c r="Z371" i="5" s="1"/>
  <c r="Y508" i="5"/>
  <c r="AA508" i="5" s="1"/>
  <c r="Y495" i="5"/>
  <c r="AA495" i="5" s="1"/>
  <c r="Y103" i="5"/>
  <c r="AA103" i="5" s="1"/>
  <c r="Y83" i="5"/>
  <c r="AA83" i="5" s="1"/>
  <c r="Y113" i="5"/>
  <c r="AA113" i="5" s="1"/>
  <c r="Y260" i="5"/>
  <c r="AA260" i="5" s="1"/>
  <c r="Y418" i="5"/>
  <c r="AA418" i="5" s="1"/>
  <c r="Y328" i="5"/>
  <c r="Z328" i="5" s="1"/>
  <c r="Y545" i="5"/>
  <c r="Z545" i="5" s="1"/>
  <c r="Y27" i="5"/>
  <c r="Z27" i="5" s="1"/>
  <c r="Y134" i="5"/>
  <c r="Z134" i="5" s="1"/>
  <c r="Y352" i="5"/>
  <c r="AA352" i="5" s="1"/>
  <c r="W64" i="6"/>
  <c r="X64" i="6" s="1"/>
  <c r="W15" i="6"/>
  <c r="Y15" i="6" s="1"/>
  <c r="AR15" i="6" s="1"/>
  <c r="W123" i="6"/>
  <c r="X123" i="6" s="1"/>
  <c r="W41" i="6"/>
  <c r="X41" i="6" s="1"/>
  <c r="Y176" i="5"/>
  <c r="AA176" i="5" s="1"/>
  <c r="Y313" i="5"/>
  <c r="Z313" i="5" s="1"/>
  <c r="Y503" i="5"/>
  <c r="Z503" i="5" s="1"/>
  <c r="Y191" i="5"/>
  <c r="AA191" i="5" s="1"/>
  <c r="Y409" i="5"/>
  <c r="AA409" i="5" s="1"/>
  <c r="Y423" i="5"/>
  <c r="AA423" i="5" s="1"/>
  <c r="Y23" i="5"/>
  <c r="AA23" i="5" s="1"/>
  <c r="Y414" i="5"/>
  <c r="AA414" i="5" s="1"/>
  <c r="Y430" i="5"/>
  <c r="AA430" i="5" s="1"/>
  <c r="Y221" i="5"/>
  <c r="AA221" i="5" s="1"/>
  <c r="Y299" i="5"/>
  <c r="AA299" i="5" s="1"/>
  <c r="Y536" i="5"/>
  <c r="Z536" i="5" s="1"/>
  <c r="Y26" i="5"/>
  <c r="Z26" i="5" s="1"/>
  <c r="Y442" i="5"/>
  <c r="Z442" i="5" s="1"/>
  <c r="Y527" i="5"/>
  <c r="AA527" i="5" s="1"/>
  <c r="Y98" i="5"/>
  <c r="AA98" i="5" s="1"/>
  <c r="Y394" i="5"/>
  <c r="Z394" i="5" s="1"/>
  <c r="Y139" i="5"/>
  <c r="Z139" i="5" s="1"/>
  <c r="Y202" i="5"/>
  <c r="Z202" i="5" s="1"/>
  <c r="Y521" i="5"/>
  <c r="Z521" i="5" s="1"/>
  <c r="Y529" i="5"/>
  <c r="Z529" i="5" s="1"/>
  <c r="Y42" i="5"/>
  <c r="AA42" i="5" s="1"/>
  <c r="Y466" i="5"/>
  <c r="AA466" i="5" s="1"/>
  <c r="Y532" i="5"/>
  <c r="Z532" i="5" s="1"/>
  <c r="Y76" i="5"/>
  <c r="AA76" i="5" s="1"/>
  <c r="Y91" i="5"/>
  <c r="AA91" i="5" s="1"/>
  <c r="Y116" i="5"/>
  <c r="AA116" i="5" s="1"/>
  <c r="Y269" i="5"/>
  <c r="Z269" i="5" s="1"/>
  <c r="Y436" i="5"/>
  <c r="Z436" i="5" s="1"/>
  <c r="Y497" i="5"/>
  <c r="AA497" i="5" s="1"/>
  <c r="Y62" i="5"/>
  <c r="Z62" i="5" s="1"/>
  <c r="Y29" i="5"/>
  <c r="Z29" i="5" s="1"/>
  <c r="Y159" i="5"/>
  <c r="AA159" i="5" s="1"/>
  <c r="Y354" i="5"/>
  <c r="Z354" i="5" s="1"/>
  <c r="Y464" i="5"/>
  <c r="AA464" i="5" s="1"/>
  <c r="Y484" i="5"/>
  <c r="AA484" i="5" s="1"/>
  <c r="Y72" i="5"/>
  <c r="AA72" i="5" s="1"/>
  <c r="Y32" i="5"/>
  <c r="AA32" i="5" s="1"/>
  <c r="Y204" i="5"/>
  <c r="AA204" i="5" s="1"/>
  <c r="Y307" i="5"/>
  <c r="AA307" i="5" s="1"/>
  <c r="Y298" i="5"/>
  <c r="AA298" i="5" s="1"/>
  <c r="Y385" i="5"/>
  <c r="AA385" i="5" s="1"/>
  <c r="Y70" i="5"/>
  <c r="AA70" i="5" s="1"/>
  <c r="Y51" i="5"/>
  <c r="AA51" i="5" s="1"/>
  <c r="Y199" i="5"/>
  <c r="AA199" i="5" s="1"/>
  <c r="Y332" i="5"/>
  <c r="AA332" i="5" s="1"/>
  <c r="Y373" i="5"/>
  <c r="Z373" i="5" s="1"/>
  <c r="Y31" i="5"/>
  <c r="AA31" i="5" s="1"/>
  <c r="Y46" i="5"/>
  <c r="AA46" i="5" s="1"/>
  <c r="Y235" i="5"/>
  <c r="AA235" i="5" s="1"/>
  <c r="Y104" i="5"/>
  <c r="Z104" i="5" s="1"/>
  <c r="Y40" i="5"/>
  <c r="AA40" i="5" s="1"/>
  <c r="Y146" i="5"/>
  <c r="Z146" i="5" s="1"/>
  <c r="Y265" i="5"/>
  <c r="Z265" i="5" s="1"/>
  <c r="Y391" i="5"/>
  <c r="Z391" i="5" s="1"/>
  <c r="Y478" i="5"/>
  <c r="AA478" i="5" s="1"/>
  <c r="Y168" i="5"/>
  <c r="AA168" i="5" s="1"/>
  <c r="Y514" i="5"/>
  <c r="AA514" i="5" s="1"/>
  <c r="Y30" i="5"/>
  <c r="Z30" i="5" s="1"/>
  <c r="Y318" i="5"/>
  <c r="Z318" i="5" s="1"/>
  <c r="Y242" i="5"/>
  <c r="AA242" i="5" s="1"/>
  <c r="Y520" i="5"/>
  <c r="AA520" i="5" s="1"/>
  <c r="Y419" i="5"/>
  <c r="AA419" i="5" s="1"/>
  <c r="Y310" i="5"/>
  <c r="AA310" i="5" s="1"/>
  <c r="Y239" i="5"/>
  <c r="AA239" i="5" s="1"/>
  <c r="Y429" i="5"/>
  <c r="AA429" i="5" s="1"/>
  <c r="Y559" i="5"/>
  <c r="AA559" i="5" s="1"/>
  <c r="U13" i="6"/>
  <c r="AT137" i="6"/>
  <c r="U40" i="6"/>
  <c r="U11" i="6"/>
  <c r="U155" i="6"/>
  <c r="AT13" i="6"/>
  <c r="W144" i="6"/>
  <c r="X144" i="6" s="1"/>
  <c r="W115" i="6"/>
  <c r="X115" i="6" s="1"/>
  <c r="W151" i="6"/>
  <c r="X151" i="6" s="1"/>
  <c r="W90" i="6"/>
  <c r="X90" i="6" s="1"/>
  <c r="W22" i="6"/>
  <c r="Y22" i="6" s="1"/>
  <c r="AR22" i="6" s="1"/>
  <c r="U96" i="6"/>
  <c r="AT40" i="6"/>
  <c r="AT11" i="6"/>
  <c r="AT155" i="6"/>
  <c r="W40" i="6"/>
  <c r="X40" i="6" s="1"/>
  <c r="W11" i="6"/>
  <c r="Y11" i="6" s="1"/>
  <c r="AR11" i="6" s="1"/>
  <c r="U63" i="6"/>
  <c r="U150" i="6"/>
  <c r="AT144" i="6"/>
  <c r="AT115" i="6"/>
  <c r="AT151" i="6"/>
  <c r="AT90" i="6"/>
  <c r="AT22" i="6"/>
  <c r="W96" i="6"/>
  <c r="X96" i="6" s="1"/>
  <c r="Y54" i="5"/>
  <c r="Z54" i="5" s="1"/>
  <c r="Y22" i="5"/>
  <c r="AT63" i="6"/>
  <c r="AT150" i="6"/>
  <c r="U137" i="6"/>
  <c r="W86" i="8"/>
  <c r="Y86" i="8" s="1"/>
  <c r="AR86" i="8" s="1"/>
  <c r="W134" i="8"/>
  <c r="Y134" i="8" s="1"/>
  <c r="AR134" i="8" s="1"/>
  <c r="P50" i="5"/>
  <c r="P313" i="5"/>
  <c r="Q313" i="5" s="1"/>
  <c r="P136" i="5"/>
  <c r="Q136" i="5" s="1"/>
  <c r="P143" i="5"/>
  <c r="Q143" i="5" s="1"/>
  <c r="P462" i="5"/>
  <c r="R462" i="5" s="1"/>
  <c r="P401" i="5"/>
  <c r="Q401" i="5" s="1"/>
  <c r="P58" i="5"/>
  <c r="P329" i="5"/>
  <c r="R329" i="5" s="1"/>
  <c r="P149" i="5"/>
  <c r="P229" i="5"/>
  <c r="Q229" i="5" s="1"/>
  <c r="P483" i="5"/>
  <c r="Q483" i="5" s="1"/>
  <c r="P458" i="5"/>
  <c r="R458" i="5" s="1"/>
  <c r="P305" i="5"/>
  <c r="R305" i="5" s="1"/>
  <c r="P108" i="5"/>
  <c r="R108" i="5" s="1"/>
  <c r="P165" i="5"/>
  <c r="P197" i="5"/>
  <c r="Q197" i="5" s="1"/>
  <c r="P182" i="5"/>
  <c r="R182" i="5" s="1"/>
  <c r="P412" i="5"/>
  <c r="R412" i="5" s="1"/>
  <c r="P389" i="5"/>
  <c r="Q389" i="5" s="1"/>
  <c r="P110" i="5"/>
  <c r="Q110" i="5" s="1"/>
  <c r="P31" i="5"/>
  <c r="R31" i="5" s="1"/>
  <c r="P230" i="5"/>
  <c r="Q230" i="5" s="1"/>
  <c r="P306" i="5"/>
  <c r="P321" i="5"/>
  <c r="R321" i="5" s="1"/>
  <c r="P502" i="5"/>
  <c r="R502" i="5" s="1"/>
  <c r="P479" i="5"/>
  <c r="R479" i="5" s="1"/>
  <c r="P48" i="5"/>
  <c r="R48" i="5" s="1"/>
  <c r="P234" i="5"/>
  <c r="R234" i="5" s="1"/>
  <c r="P174" i="5"/>
  <c r="R174" i="5" s="1"/>
  <c r="P358" i="5"/>
  <c r="Q358" i="5" s="1"/>
  <c r="P524" i="5"/>
  <c r="Q524" i="5" s="1"/>
  <c r="P377" i="5"/>
  <c r="R377" i="5" s="1"/>
  <c r="P379" i="5"/>
  <c r="R379" i="5" s="1"/>
  <c r="P327" i="5"/>
  <c r="R327" i="5" s="1"/>
  <c r="P352" i="5"/>
  <c r="Q352" i="5" s="1"/>
  <c r="P21" i="5"/>
  <c r="Q21" i="5" s="1"/>
  <c r="P383" i="5"/>
  <c r="R383" i="5" s="1"/>
  <c r="P315" i="5"/>
  <c r="R315" i="5" s="1"/>
  <c r="P296" i="5"/>
  <c r="P307" i="5"/>
  <c r="R307" i="5" s="1"/>
  <c r="P392" i="5"/>
  <c r="Q392" i="5" s="1"/>
  <c r="P370" i="5"/>
  <c r="R370" i="5" s="1"/>
  <c r="P141" i="5"/>
  <c r="R141" i="5" s="1"/>
  <c r="P179" i="5"/>
  <c r="R179" i="5" s="1"/>
  <c r="P239" i="5"/>
  <c r="R239" i="5" s="1"/>
  <c r="P354" i="5"/>
  <c r="R354" i="5" s="1"/>
  <c r="P146" i="5"/>
  <c r="P220" i="5"/>
  <c r="Q220" i="5" s="1"/>
  <c r="P83" i="5"/>
  <c r="P263" i="5"/>
  <c r="R263" i="5" s="1"/>
  <c r="P215" i="5"/>
  <c r="Q215" i="5" s="1"/>
  <c r="P28" i="5"/>
  <c r="Q28" i="5" s="1"/>
  <c r="P528" i="5"/>
  <c r="R528" i="5" s="1"/>
  <c r="P57" i="5"/>
  <c r="Q57" i="5" s="1"/>
  <c r="P86" i="5"/>
  <c r="P270" i="5"/>
  <c r="R270" i="5" s="1"/>
  <c r="P273" i="5"/>
  <c r="R273" i="5" s="1"/>
  <c r="P98" i="5"/>
  <c r="R98" i="5" s="1"/>
  <c r="P177" i="5"/>
  <c r="R177" i="5" s="1"/>
  <c r="P366" i="5"/>
  <c r="R366" i="5" s="1"/>
  <c r="P241" i="5"/>
  <c r="Q241" i="5" s="1"/>
  <c r="P413" i="5"/>
  <c r="R413" i="5" s="1"/>
  <c r="P316" i="5"/>
  <c r="P245" i="5"/>
  <c r="Q245" i="5" s="1"/>
  <c r="P250" i="5"/>
  <c r="P409" i="5"/>
  <c r="Q409" i="5" s="1"/>
  <c r="P415" i="5"/>
  <c r="R415" i="5" s="1"/>
  <c r="P508" i="5"/>
  <c r="R508" i="5" s="1"/>
  <c r="P422" i="5"/>
  <c r="R422" i="5" s="1"/>
  <c r="P406" i="5"/>
  <c r="R406" i="5" s="1"/>
  <c r="P382" i="5"/>
  <c r="R382" i="5" s="1"/>
  <c r="P517" i="5"/>
  <c r="R517" i="5" s="1"/>
  <c r="P454" i="5"/>
  <c r="P385" i="5"/>
  <c r="R385" i="5" s="1"/>
  <c r="P39" i="5"/>
  <c r="R39" i="5" s="1"/>
  <c r="P23" i="5"/>
  <c r="R23" i="5" s="1"/>
  <c r="P303" i="5"/>
  <c r="R303" i="5" s="1"/>
  <c r="P168" i="5"/>
  <c r="Q168" i="5" s="1"/>
  <c r="P203" i="5"/>
  <c r="P446" i="5"/>
  <c r="R446" i="5" s="1"/>
  <c r="P268" i="5"/>
  <c r="P521" i="5"/>
  <c r="R521" i="5" s="1"/>
  <c r="P546" i="5"/>
  <c r="R546" i="5" s="1"/>
  <c r="P295" i="5"/>
  <c r="R295" i="5" s="1"/>
  <c r="P289" i="5"/>
  <c r="R289" i="5" s="1"/>
  <c r="P442" i="5"/>
  <c r="Q442" i="5" s="1"/>
  <c r="P418" i="5"/>
  <c r="P523" i="5"/>
  <c r="R523" i="5" s="1"/>
  <c r="P471" i="5"/>
  <c r="Q471" i="5" s="1"/>
  <c r="P417" i="5"/>
  <c r="R417" i="5" s="1"/>
  <c r="P390" i="5"/>
  <c r="Q390" i="5" s="1"/>
  <c r="P532" i="5"/>
  <c r="R532" i="5" s="1"/>
  <c r="P469" i="5"/>
  <c r="R469" i="5" s="1"/>
  <c r="P428" i="5"/>
  <c r="R428" i="5" s="1"/>
  <c r="P542" i="5"/>
  <c r="P347" i="5"/>
  <c r="Q347" i="5" s="1"/>
  <c r="P545" i="5"/>
  <c r="R545" i="5" s="1"/>
  <c r="P540" i="5"/>
  <c r="Q540" i="5" s="1"/>
  <c r="P253" i="5"/>
  <c r="Q253" i="5" s="1"/>
  <c r="P554" i="5"/>
  <c r="R554" i="5" s="1"/>
  <c r="P481" i="5"/>
  <c r="R481" i="5" s="1"/>
  <c r="P272" i="5"/>
  <c r="R272" i="5" s="1"/>
  <c r="P331" i="5"/>
  <c r="P326" i="5"/>
  <c r="Q326" i="5" s="1"/>
  <c r="P92" i="5"/>
  <c r="Q92" i="5" s="1"/>
  <c r="P371" i="5"/>
  <c r="Q371" i="5" s="1"/>
  <c r="P183" i="5"/>
  <c r="R183" i="5" s="1"/>
  <c r="P54" i="5"/>
  <c r="R54" i="5" s="1"/>
  <c r="P121" i="5"/>
  <c r="Q121" i="5" s="1"/>
  <c r="P133" i="5"/>
  <c r="Q133" i="5" s="1"/>
  <c r="P186" i="5"/>
  <c r="R186" i="5" s="1"/>
  <c r="P224" i="5"/>
  <c r="R224" i="5" s="1"/>
  <c r="P175" i="5"/>
  <c r="Q175" i="5" s="1"/>
  <c r="P32" i="5"/>
  <c r="R32" i="5" s="1"/>
  <c r="P237" i="5"/>
  <c r="R237" i="5" s="1"/>
  <c r="P85" i="5"/>
  <c r="R85" i="5" s="1"/>
  <c r="P82" i="5"/>
  <c r="R82" i="5" s="1"/>
  <c r="P42" i="5"/>
  <c r="Q42" i="5" s="1"/>
  <c r="P49" i="5"/>
  <c r="P214" i="5"/>
  <c r="R214" i="5" s="1"/>
  <c r="P222" i="5"/>
  <c r="Q222" i="5" s="1"/>
  <c r="P496" i="5"/>
  <c r="Q496" i="5" s="1"/>
  <c r="P279" i="5"/>
  <c r="Q279" i="5" s="1"/>
  <c r="P184" i="5"/>
  <c r="Q184" i="5" s="1"/>
  <c r="P119" i="5"/>
  <c r="R119" i="5" s="1"/>
  <c r="P310" i="5"/>
  <c r="R310" i="5" s="1"/>
  <c r="P299" i="5"/>
  <c r="R299" i="5" s="1"/>
  <c r="P503" i="5"/>
  <c r="Q503" i="5" s="1"/>
  <c r="P425" i="5"/>
  <c r="P525" i="5"/>
  <c r="R525" i="5" s="1"/>
  <c r="P491" i="5"/>
  <c r="R491" i="5" s="1"/>
  <c r="P430" i="5"/>
  <c r="Q430" i="5" s="1"/>
  <c r="P397" i="5"/>
  <c r="Q397" i="5" s="1"/>
  <c r="P19" i="5"/>
  <c r="Q19" i="5" s="1"/>
  <c r="P475" i="5"/>
  <c r="Q475" i="5" s="1"/>
  <c r="P449" i="5"/>
  <c r="Q449" i="5" s="1"/>
  <c r="P547" i="5"/>
  <c r="R547" i="5" s="1"/>
  <c r="P243" i="5"/>
  <c r="R243" i="5" s="1"/>
  <c r="P169" i="5"/>
  <c r="R169" i="5" s="1"/>
  <c r="P152" i="5"/>
  <c r="Q152" i="5" s="1"/>
  <c r="P344" i="5"/>
  <c r="R344" i="5" s="1"/>
  <c r="P535" i="5"/>
  <c r="Q535" i="5" s="1"/>
  <c r="P466" i="5"/>
  <c r="Q466" i="5" s="1"/>
  <c r="P330" i="5"/>
  <c r="R330" i="5" s="1"/>
  <c r="P510" i="5"/>
  <c r="P505" i="5"/>
  <c r="Q505" i="5" s="1"/>
  <c r="P426" i="5"/>
  <c r="Q426" i="5" s="1"/>
  <c r="P349" i="5"/>
  <c r="Q349" i="5" s="1"/>
  <c r="P507" i="5"/>
  <c r="Q507" i="5" s="1"/>
  <c r="P518" i="5"/>
  <c r="Q518" i="5" s="1"/>
  <c r="P153" i="5"/>
  <c r="R153" i="5" s="1"/>
  <c r="P246" i="5"/>
  <c r="R246" i="5" s="1"/>
  <c r="P180" i="5"/>
  <c r="R180" i="5" s="1"/>
  <c r="P160" i="5"/>
  <c r="Q160" i="5" s="1"/>
  <c r="P342" i="5"/>
  <c r="R342" i="5" s="1"/>
  <c r="P336" i="5"/>
  <c r="R336" i="5" s="1"/>
  <c r="P473" i="5"/>
  <c r="R473" i="5" s="1"/>
  <c r="P367" i="5"/>
  <c r="Q367" i="5" s="1"/>
  <c r="P515" i="5"/>
  <c r="Q515" i="5" s="1"/>
  <c r="P356" i="5"/>
  <c r="Q356" i="5" s="1"/>
  <c r="P451" i="5"/>
  <c r="Q451" i="5" s="1"/>
  <c r="P350" i="5"/>
  <c r="Q350" i="5" s="1"/>
  <c r="P346" i="5"/>
  <c r="Q346" i="5" s="1"/>
  <c r="P536" i="5"/>
  <c r="R536" i="5" s="1"/>
  <c r="P8" i="5"/>
  <c r="R8" i="5" s="1"/>
  <c r="N11" i="5"/>
  <c r="P533" i="5"/>
  <c r="R533" i="5" s="1"/>
  <c r="P395" i="5"/>
  <c r="R395" i="5" s="1"/>
  <c r="P378" i="5"/>
  <c r="Q378" i="5" s="1"/>
  <c r="P328" i="5"/>
  <c r="Q328" i="5" s="1"/>
  <c r="P452" i="5"/>
  <c r="R452" i="5" s="1"/>
  <c r="P472" i="5"/>
  <c r="R472" i="5" s="1"/>
  <c r="P403" i="5"/>
  <c r="Q403" i="5" s="1"/>
  <c r="P381" i="5"/>
  <c r="Q381" i="5" s="1"/>
  <c r="P69" i="5"/>
  <c r="R69" i="5" s="1"/>
  <c r="P429" i="5"/>
  <c r="R429" i="5" s="1"/>
  <c r="P201" i="5"/>
  <c r="Q201" i="5" s="1"/>
  <c r="P247" i="5"/>
  <c r="R247" i="5" s="1"/>
  <c r="P285" i="5"/>
  <c r="Q285" i="5" s="1"/>
  <c r="P396" i="5"/>
  <c r="R396" i="5" s="1"/>
  <c r="P147" i="5"/>
  <c r="R147" i="5" s="1"/>
  <c r="P195" i="5"/>
  <c r="Q195" i="5" s="1"/>
  <c r="P37" i="5"/>
  <c r="Q37" i="5" s="1"/>
  <c r="P61" i="5"/>
  <c r="Q61" i="5" s="1"/>
  <c r="P248" i="5"/>
  <c r="R248" i="5" s="1"/>
  <c r="P44" i="5"/>
  <c r="R44" i="5" s="1"/>
  <c r="P202" i="5"/>
  <c r="R202" i="5" s="1"/>
  <c r="P320" i="5"/>
  <c r="Q320" i="5" s="1"/>
  <c r="P291" i="5"/>
  <c r="Q291" i="5" s="1"/>
  <c r="P65" i="5"/>
  <c r="Q65" i="5" s="1"/>
  <c r="P210" i="5"/>
  <c r="R210" i="5" s="1"/>
  <c r="P81" i="5"/>
  <c r="R81" i="5" s="1"/>
  <c r="P172" i="5"/>
  <c r="R172" i="5" s="1"/>
  <c r="P309" i="5"/>
  <c r="R309" i="5" s="1"/>
  <c r="P219" i="5"/>
  <c r="R219" i="5" s="1"/>
  <c r="P294" i="5"/>
  <c r="Q294" i="5" s="1"/>
  <c r="P267" i="5"/>
  <c r="Q267" i="5" s="1"/>
  <c r="P238" i="5"/>
  <c r="Q238" i="5" s="1"/>
  <c r="P213" i="5"/>
  <c r="P365" i="5"/>
  <c r="R365" i="5" s="1"/>
  <c r="P405" i="5"/>
  <c r="Q405" i="5" s="1"/>
  <c r="P487" i="5"/>
  <c r="R487" i="5" s="1"/>
  <c r="P414" i="5"/>
  <c r="R414" i="5" s="1"/>
  <c r="P398" i="5"/>
  <c r="R398" i="5" s="1"/>
  <c r="P372" i="5"/>
  <c r="Q372" i="5" s="1"/>
  <c r="P509" i="5"/>
  <c r="Q509" i="5" s="1"/>
  <c r="P432" i="5"/>
  <c r="Q432" i="5" s="1"/>
  <c r="P384" i="5"/>
  <c r="Q384" i="5" s="1"/>
  <c r="P556" i="5"/>
  <c r="R556" i="5" s="1"/>
  <c r="U38" i="8"/>
  <c r="W38" i="8"/>
  <c r="X38" i="8" s="1"/>
  <c r="U102" i="8"/>
  <c r="W102" i="8"/>
  <c r="Y102" i="8" s="1"/>
  <c r="AR102" i="8" s="1"/>
  <c r="AT102" i="8"/>
  <c r="B234" i="3"/>
  <c r="B114" i="3"/>
  <c r="AE65" i="8"/>
  <c r="AE23" i="8"/>
  <c r="Z23" i="8"/>
  <c r="AN23" i="8" s="1"/>
  <c r="AA23" i="8"/>
  <c r="AE95" i="8"/>
  <c r="AA95" i="8"/>
  <c r="Z95" i="8"/>
  <c r="AN95" i="8" s="1"/>
  <c r="X65" i="8"/>
  <c r="X23" i="8"/>
  <c r="X95" i="8"/>
  <c r="AE87" i="8"/>
  <c r="X118" i="8"/>
  <c r="X125" i="8"/>
  <c r="X87" i="8"/>
  <c r="AE66" i="8"/>
  <c r="Z66" i="8"/>
  <c r="AN66" i="8" s="1"/>
  <c r="AA66" i="8"/>
  <c r="P10" i="5"/>
  <c r="Q10" i="5" s="1"/>
  <c r="P552" i="5"/>
  <c r="R552" i="5" s="1"/>
  <c r="P511" i="5"/>
  <c r="Q511" i="5" s="1"/>
  <c r="P280" i="5"/>
  <c r="R280" i="5" s="1"/>
  <c r="P493" i="5"/>
  <c r="R493" i="5" s="1"/>
  <c r="P513" i="5"/>
  <c r="Q513" i="5" s="1"/>
  <c r="P208" i="5"/>
  <c r="R208" i="5" s="1"/>
  <c r="P492" i="5"/>
  <c r="R492" i="5" s="1"/>
  <c r="P314" i="5"/>
  <c r="Q314" i="5" s="1"/>
  <c r="P499" i="5"/>
  <c r="R499" i="5" s="1"/>
  <c r="P500" i="5"/>
  <c r="Q500" i="5" s="1"/>
  <c r="P539" i="5"/>
  <c r="Q539" i="5" s="1"/>
  <c r="P138" i="5"/>
  <c r="Q138" i="5" s="1"/>
  <c r="P301" i="5"/>
  <c r="Q301" i="5" s="1"/>
  <c r="P410" i="5"/>
  <c r="R410" i="5" s="1"/>
  <c r="P170" i="5"/>
  <c r="R170" i="5" s="1"/>
  <c r="P339" i="5"/>
  <c r="R339" i="5" s="1"/>
  <c r="P249" i="5"/>
  <c r="R249" i="5" s="1"/>
  <c r="P311" i="5"/>
  <c r="Q311" i="5" s="1"/>
  <c r="P150" i="5"/>
  <c r="R150" i="5" s="1"/>
  <c r="P288" i="5"/>
  <c r="Q288" i="5" s="1"/>
  <c r="P187" i="5"/>
  <c r="Q187" i="5" s="1"/>
  <c r="P319" i="5"/>
  <c r="R319" i="5" s="1"/>
  <c r="P232" i="5"/>
  <c r="R232" i="5" s="1"/>
  <c r="P122" i="5"/>
  <c r="Q122" i="5" s="1"/>
  <c r="P209" i="5"/>
  <c r="R209" i="5" s="1"/>
  <c r="P52" i="5"/>
  <c r="R52" i="5" s="1"/>
  <c r="P228" i="5"/>
  <c r="R228" i="5" s="1"/>
  <c r="P91" i="5"/>
  <c r="Q91" i="5" s="1"/>
  <c r="P190" i="5"/>
  <c r="R190" i="5" s="1"/>
  <c r="P216" i="5"/>
  <c r="Q216" i="5" s="1"/>
  <c r="P106" i="5"/>
  <c r="R106" i="5" s="1"/>
  <c r="P38" i="5"/>
  <c r="R38" i="5" s="1"/>
  <c r="P189" i="5"/>
  <c r="R189" i="5" s="1"/>
  <c r="P529" i="5"/>
  <c r="R529" i="5" s="1"/>
  <c r="P131" i="5"/>
  <c r="R131" i="5" s="1"/>
  <c r="P192" i="5"/>
  <c r="R192" i="5" s="1"/>
  <c r="P99" i="5"/>
  <c r="Q99" i="5" s="1"/>
  <c r="P151" i="5"/>
  <c r="Q151" i="5" s="1"/>
  <c r="P66" i="5"/>
  <c r="Q66" i="5" s="1"/>
  <c r="P26" i="5"/>
  <c r="R26" i="5" s="1"/>
  <c r="P76" i="5"/>
  <c r="R76" i="5" s="1"/>
  <c r="P322" i="5"/>
  <c r="R322" i="5" s="1"/>
  <c r="P181" i="5"/>
  <c r="R181" i="5" s="1"/>
  <c r="P257" i="5"/>
  <c r="Q257" i="5" s="1"/>
  <c r="P134" i="5"/>
  <c r="Q134" i="5" s="1"/>
  <c r="P227" i="5"/>
  <c r="Q227" i="5" s="1"/>
  <c r="P123" i="5"/>
  <c r="R123" i="5" s="1"/>
  <c r="P127" i="5"/>
  <c r="Q127" i="5" s="1"/>
  <c r="P266" i="5"/>
  <c r="R266" i="5" s="1"/>
  <c r="P144" i="5"/>
  <c r="R144" i="5" s="1"/>
  <c r="P258" i="5"/>
  <c r="R258" i="5" s="1"/>
  <c r="P176" i="5"/>
  <c r="Q176" i="5" s="1"/>
  <c r="P300" i="5"/>
  <c r="R300" i="5" s="1"/>
  <c r="P404" i="5"/>
  <c r="Q404" i="5" s="1"/>
  <c r="P333" i="5"/>
  <c r="R333" i="5" s="1"/>
  <c r="P423" i="5"/>
  <c r="R423" i="5" s="1"/>
  <c r="P486" i="5"/>
  <c r="Q486" i="5" s="1"/>
  <c r="P553" i="5"/>
  <c r="R553" i="5" s="1"/>
  <c r="P456" i="5"/>
  <c r="Q456" i="5" s="1"/>
  <c r="P522" i="5"/>
  <c r="Q522" i="5" s="1"/>
  <c r="P435" i="5"/>
  <c r="R435" i="5" s="1"/>
  <c r="P376" i="5"/>
  <c r="Q376" i="5" s="1"/>
  <c r="P440" i="5"/>
  <c r="Q440" i="5" s="1"/>
  <c r="P537" i="5"/>
  <c r="R537" i="5" s="1"/>
  <c r="P420" i="5"/>
  <c r="Q420" i="5" s="1"/>
  <c r="P495" i="5"/>
  <c r="Q495" i="5" s="1"/>
  <c r="P407" i="5"/>
  <c r="R407" i="5" s="1"/>
  <c r="P544" i="5"/>
  <c r="R544" i="5" s="1"/>
  <c r="Y65" i="8"/>
  <c r="AR65" i="8" s="1"/>
  <c r="X66" i="8"/>
  <c r="AE151" i="8"/>
  <c r="Y125" i="8"/>
  <c r="AR125" i="8" s="1"/>
  <c r="AA106" i="8"/>
  <c r="AE106" i="8"/>
  <c r="Z106" i="8"/>
  <c r="AN106" i="8" s="1"/>
  <c r="AE146" i="8"/>
  <c r="Y87" i="8"/>
  <c r="AR87" i="8" s="1"/>
  <c r="X151" i="8"/>
  <c r="AE31" i="8"/>
  <c r="P439" i="5"/>
  <c r="R439" i="5" s="1"/>
  <c r="P465" i="5"/>
  <c r="R465" i="5" s="1"/>
  <c r="P231" i="5"/>
  <c r="R231" i="5" s="1"/>
  <c r="P460" i="5"/>
  <c r="Q460" i="5" s="1"/>
  <c r="P477" i="5"/>
  <c r="R477" i="5" s="1"/>
  <c r="P467" i="5"/>
  <c r="R467" i="5" s="1"/>
  <c r="P490" i="5"/>
  <c r="Q490" i="5" s="1"/>
  <c r="P117" i="5"/>
  <c r="R117" i="5" s="1"/>
  <c r="P436" i="5"/>
  <c r="Q436" i="5" s="1"/>
  <c r="P488" i="5"/>
  <c r="Q488" i="5" s="1"/>
  <c r="P480" i="5"/>
  <c r="R480" i="5" s="1"/>
  <c r="P51" i="5"/>
  <c r="Q51" i="5" s="1"/>
  <c r="P259" i="5"/>
  <c r="Q259" i="5" s="1"/>
  <c r="P419" i="5"/>
  <c r="R419" i="5" s="1"/>
  <c r="P74" i="5"/>
  <c r="R74" i="5" s="1"/>
  <c r="P324" i="5"/>
  <c r="Q324" i="5" s="1"/>
  <c r="P178" i="5"/>
  <c r="Q178" i="5" s="1"/>
  <c r="P290" i="5"/>
  <c r="R290" i="5" s="1"/>
  <c r="P388" i="5"/>
  <c r="R388" i="5" s="1"/>
  <c r="P281" i="5"/>
  <c r="R281" i="5" s="1"/>
  <c r="P78" i="5"/>
  <c r="R78" i="5" s="1"/>
  <c r="P265" i="5"/>
  <c r="Q265" i="5" s="1"/>
  <c r="P163" i="5"/>
  <c r="Q163" i="5" s="1"/>
  <c r="P105" i="5"/>
  <c r="R105" i="5" s="1"/>
  <c r="P223" i="5"/>
  <c r="R223" i="5" s="1"/>
  <c r="P20" i="5"/>
  <c r="R20" i="5" s="1"/>
  <c r="P196" i="5"/>
  <c r="Q196" i="5" s="1"/>
  <c r="P35" i="5"/>
  <c r="R35" i="5" s="1"/>
  <c r="P156" i="5"/>
  <c r="R156" i="5" s="1"/>
  <c r="P212" i="5"/>
  <c r="Q212" i="5" s="1"/>
  <c r="P102" i="5"/>
  <c r="R102" i="5" s="1"/>
  <c r="P109" i="5"/>
  <c r="R109" i="5" s="1"/>
  <c r="P278" i="5"/>
  <c r="Q278" i="5" s="1"/>
  <c r="P40" i="5"/>
  <c r="Q40" i="5" s="1"/>
  <c r="P55" i="5"/>
  <c r="R55" i="5" s="1"/>
  <c r="P41" i="5"/>
  <c r="Q41" i="5" s="1"/>
  <c r="P111" i="5"/>
  <c r="Q111" i="5" s="1"/>
  <c r="P47" i="5"/>
  <c r="R47" i="5" s="1"/>
  <c r="P104" i="5"/>
  <c r="Q104" i="5" s="1"/>
  <c r="P73" i="5"/>
  <c r="Q73" i="5" s="1"/>
  <c r="P94" i="5"/>
  <c r="Q94" i="5" s="1"/>
  <c r="P132" i="5"/>
  <c r="R132" i="5" s="1"/>
  <c r="P218" i="5"/>
  <c r="Q218" i="5" s="1"/>
  <c r="P286" i="5"/>
  <c r="Q286" i="5" s="1"/>
  <c r="P145" i="5"/>
  <c r="Q145" i="5" s="1"/>
  <c r="P261" i="5"/>
  <c r="R261" i="5" s="1"/>
  <c r="P161" i="5"/>
  <c r="R161" i="5" s="1"/>
  <c r="P188" i="5"/>
  <c r="Q188" i="5" s="1"/>
  <c r="P292" i="5"/>
  <c r="R292" i="5" s="1"/>
  <c r="P173" i="5"/>
  <c r="Q173" i="5" s="1"/>
  <c r="P302" i="5"/>
  <c r="Q302" i="5" s="1"/>
  <c r="P193" i="5"/>
  <c r="Q193" i="5" s="1"/>
  <c r="P325" i="5"/>
  <c r="R325" i="5" s="1"/>
  <c r="P431" i="5"/>
  <c r="Q431" i="5" s="1"/>
  <c r="P337" i="5"/>
  <c r="R337" i="5" s="1"/>
  <c r="P437" i="5"/>
  <c r="R437" i="5" s="1"/>
  <c r="P498" i="5"/>
  <c r="Q498" i="5" s="1"/>
  <c r="P338" i="5"/>
  <c r="Q338" i="5" s="1"/>
  <c r="P476" i="5"/>
  <c r="Q476" i="5" s="1"/>
  <c r="P551" i="5"/>
  <c r="Q551" i="5" s="1"/>
  <c r="P497" i="5"/>
  <c r="Q497" i="5" s="1"/>
  <c r="P387" i="5"/>
  <c r="Q387" i="5" s="1"/>
  <c r="P455" i="5"/>
  <c r="R455" i="5" s="1"/>
  <c r="P334" i="5"/>
  <c r="Q334" i="5" s="1"/>
  <c r="P445" i="5"/>
  <c r="R445" i="5" s="1"/>
  <c r="P527" i="5"/>
  <c r="R527" i="5" s="1"/>
  <c r="P434" i="5"/>
  <c r="R434" i="5" s="1"/>
  <c r="P550" i="5"/>
  <c r="R550" i="5" s="1"/>
  <c r="X106" i="8"/>
  <c r="X146" i="8"/>
  <c r="X98" i="8"/>
  <c r="Z112" i="8"/>
  <c r="AN112" i="8" s="1"/>
  <c r="AE112" i="8"/>
  <c r="AA112" i="8"/>
  <c r="AA55" i="8"/>
  <c r="Z55" i="8"/>
  <c r="AN55" i="8" s="1"/>
  <c r="AE9" i="8"/>
  <c r="AA9" i="8"/>
  <c r="Z9" i="8"/>
  <c r="AN9" i="8" s="1"/>
  <c r="Y151" i="8"/>
  <c r="AR151" i="8" s="1"/>
  <c r="X116" i="8"/>
  <c r="X31" i="8"/>
  <c r="X136" i="8"/>
  <c r="AE98" i="8"/>
  <c r="X112" i="8"/>
  <c r="X9" i="8"/>
  <c r="X7" i="8"/>
  <c r="B126" i="3"/>
  <c r="P335" i="5"/>
  <c r="R335" i="5" s="1"/>
  <c r="P416" i="5"/>
  <c r="R416" i="5" s="1"/>
  <c r="P274" i="5"/>
  <c r="Q274" i="5" s="1"/>
  <c r="P501" i="5"/>
  <c r="R501" i="5" s="1"/>
  <c r="P357" i="5"/>
  <c r="R357" i="5" s="1"/>
  <c r="P558" i="5"/>
  <c r="R558" i="5" s="1"/>
  <c r="P459" i="5"/>
  <c r="R459" i="5" s="1"/>
  <c r="P323" i="5"/>
  <c r="R323" i="5" s="1"/>
  <c r="P364" i="5"/>
  <c r="Q364" i="5" s="1"/>
  <c r="P427" i="5"/>
  <c r="R427" i="5" s="1"/>
  <c r="P464" i="5"/>
  <c r="R464" i="5" s="1"/>
  <c r="P369" i="5"/>
  <c r="R369" i="5" s="1"/>
  <c r="P171" i="5"/>
  <c r="Q171" i="5" s="1"/>
  <c r="P360" i="5"/>
  <c r="Q360" i="5" s="1"/>
  <c r="P45" i="5"/>
  <c r="R45" i="5" s="1"/>
  <c r="P359" i="5"/>
  <c r="Q359" i="5" s="1"/>
  <c r="P71" i="5"/>
  <c r="R71" i="5" s="1"/>
  <c r="P271" i="5"/>
  <c r="Q271" i="5" s="1"/>
  <c r="P391" i="5"/>
  <c r="Q391" i="5" s="1"/>
  <c r="P283" i="5"/>
  <c r="R283" i="5" s="1"/>
  <c r="P447" i="5"/>
  <c r="R447" i="5" s="1"/>
  <c r="P88" i="5"/>
  <c r="Q88" i="5" s="1"/>
  <c r="P166" i="5"/>
  <c r="Q166" i="5" s="1"/>
  <c r="P62" i="5"/>
  <c r="R62" i="5" s="1"/>
  <c r="P129" i="5"/>
  <c r="Q129" i="5" s="1"/>
  <c r="P67" i="5"/>
  <c r="R67" i="5" s="1"/>
  <c r="P154" i="5"/>
  <c r="R154" i="5" s="1"/>
  <c r="P256" i="5"/>
  <c r="Q256" i="5" s="1"/>
  <c r="P97" i="5"/>
  <c r="Q97" i="5" s="1"/>
  <c r="P155" i="5"/>
  <c r="Q155" i="5" s="1"/>
  <c r="P60" i="5"/>
  <c r="R60" i="5" s="1"/>
  <c r="P96" i="5"/>
  <c r="R96" i="5" s="1"/>
  <c r="P103" i="5"/>
  <c r="Q103" i="5" s="1"/>
  <c r="P206" i="5"/>
  <c r="R206" i="5" s="1"/>
  <c r="P101" i="5"/>
  <c r="R101" i="5" s="1"/>
  <c r="P63" i="5"/>
  <c r="Q63" i="5" s="1"/>
  <c r="P142" i="5"/>
  <c r="Q142" i="5" s="1"/>
  <c r="P25" i="5"/>
  <c r="R25" i="5" s="1"/>
  <c r="P112" i="5"/>
  <c r="R112" i="5" s="1"/>
  <c r="P33" i="5"/>
  <c r="Q33" i="5" s="1"/>
  <c r="P120" i="5"/>
  <c r="R120" i="5" s="1"/>
  <c r="P148" i="5"/>
  <c r="Q148" i="5" s="1"/>
  <c r="P226" i="5"/>
  <c r="Q226" i="5" s="1"/>
  <c r="P317" i="5"/>
  <c r="R317" i="5" s="1"/>
  <c r="P158" i="5"/>
  <c r="R158" i="5" s="1"/>
  <c r="P276" i="5"/>
  <c r="Q276" i="5" s="1"/>
  <c r="P233" i="5"/>
  <c r="R233" i="5" s="1"/>
  <c r="P221" i="5"/>
  <c r="Q221" i="5" s="1"/>
  <c r="P468" i="5"/>
  <c r="Q468" i="5" s="1"/>
  <c r="P198" i="5"/>
  <c r="Q198" i="5" s="1"/>
  <c r="P433" i="5"/>
  <c r="R433" i="5" s="1"/>
  <c r="P225" i="5"/>
  <c r="R225" i="5" s="1"/>
  <c r="P448" i="5"/>
  <c r="Q448" i="5" s="1"/>
  <c r="P474" i="5"/>
  <c r="R474" i="5" s="1"/>
  <c r="P393" i="5"/>
  <c r="R393" i="5" s="1"/>
  <c r="P463" i="5"/>
  <c r="R463" i="5" s="1"/>
  <c r="P512" i="5"/>
  <c r="Q512" i="5" s="1"/>
  <c r="P375" i="5"/>
  <c r="Q375" i="5" s="1"/>
  <c r="P494" i="5"/>
  <c r="Q494" i="5" s="1"/>
  <c r="P399" i="5"/>
  <c r="Q399" i="5" s="1"/>
  <c r="P348" i="5"/>
  <c r="R348" i="5" s="1"/>
  <c r="P394" i="5"/>
  <c r="Q394" i="5" s="1"/>
  <c r="P482" i="5"/>
  <c r="R482" i="5" s="1"/>
  <c r="P345" i="5"/>
  <c r="R345" i="5" s="1"/>
  <c r="P461" i="5"/>
  <c r="R461" i="5" s="1"/>
  <c r="P353" i="5"/>
  <c r="R353" i="5" s="1"/>
  <c r="P450" i="5"/>
  <c r="R450" i="5" s="1"/>
  <c r="Y146" i="8"/>
  <c r="AR146" i="8" s="1"/>
  <c r="Y136" i="8"/>
  <c r="AR136" i="8" s="1"/>
  <c r="Y98" i="8"/>
  <c r="AR98" i="8" s="1"/>
  <c r="AE7" i="8"/>
  <c r="AA7" i="8"/>
  <c r="Z7" i="8"/>
  <c r="AN7" i="8" s="1"/>
  <c r="AE138" i="8"/>
  <c r="Z138" i="8"/>
  <c r="AN138" i="8" s="1"/>
  <c r="AA138" i="8"/>
  <c r="AE118" i="8"/>
  <c r="AA118" i="8"/>
  <c r="Z118" i="8"/>
  <c r="AN118" i="8" s="1"/>
  <c r="Y31" i="8"/>
  <c r="AR31" i="8" s="1"/>
  <c r="B216" i="3"/>
  <c r="AH64" i="8" s="1"/>
  <c r="AJ39" i="6"/>
  <c r="Y39" i="6"/>
  <c r="AR39" i="6" s="1"/>
  <c r="AE39" i="6"/>
  <c r="B145" i="3"/>
  <c r="B147" i="3" s="1"/>
  <c r="BC10" i="5"/>
  <c r="B15" i="5"/>
  <c r="B35" i="5" s="1"/>
  <c r="B68" i="5"/>
  <c r="AF507" i="5" s="1"/>
  <c r="B149" i="3"/>
  <c r="B153" i="3" s="1"/>
  <c r="Y7" i="5" s="1"/>
  <c r="AA7" i="5" s="1"/>
  <c r="B131" i="3"/>
  <c r="B132" i="3" s="1"/>
  <c r="Q478" i="5"/>
  <c r="R478" i="5"/>
  <c r="Q340" i="5"/>
  <c r="R340" i="5"/>
  <c r="Q36" i="5"/>
  <c r="R36" i="5"/>
  <c r="Q204" i="5"/>
  <c r="R204" i="5"/>
  <c r="Q49" i="5"/>
  <c r="R49" i="5"/>
  <c r="R203" i="5"/>
  <c r="Q203" i="5"/>
  <c r="Q182" i="5"/>
  <c r="Q425" i="5"/>
  <c r="R425" i="5"/>
  <c r="R524" i="5"/>
  <c r="Q382" i="5"/>
  <c r="R159" i="5"/>
  <c r="Q159" i="5"/>
  <c r="Q533" i="5"/>
  <c r="Q453" i="5"/>
  <c r="R453" i="5"/>
  <c r="R296" i="5"/>
  <c r="Q296" i="5"/>
  <c r="Q332" i="5"/>
  <c r="R332" i="5"/>
  <c r="Q244" i="5"/>
  <c r="R244" i="5"/>
  <c r="Q68" i="5"/>
  <c r="R68" i="5"/>
  <c r="Q83" i="5"/>
  <c r="R83" i="5"/>
  <c r="Q70" i="5"/>
  <c r="R70" i="5"/>
  <c r="R90" i="5"/>
  <c r="Q90" i="5"/>
  <c r="R93" i="5"/>
  <c r="Q93" i="5"/>
  <c r="Q58" i="5"/>
  <c r="R58" i="5"/>
  <c r="Q299" i="5"/>
  <c r="R418" i="5"/>
  <c r="Q418" i="5"/>
  <c r="R541" i="5"/>
  <c r="Q541" i="5"/>
  <c r="Q379" i="5"/>
  <c r="Q438" i="5"/>
  <c r="R438" i="5"/>
  <c r="Q408" i="5"/>
  <c r="R408" i="5"/>
  <c r="Q167" i="5"/>
  <c r="R167" i="5"/>
  <c r="R77" i="5"/>
  <c r="Q77" i="5"/>
  <c r="Q95" i="5"/>
  <c r="R95" i="5"/>
  <c r="R140" i="5"/>
  <c r="Q149" i="5"/>
  <c r="R149" i="5"/>
  <c r="R268" i="5"/>
  <c r="Q268" i="5"/>
  <c r="Q316" i="5"/>
  <c r="R316" i="5"/>
  <c r="Q213" i="5"/>
  <c r="R213" i="5"/>
  <c r="R454" i="5"/>
  <c r="Q454" i="5"/>
  <c r="Q557" i="5"/>
  <c r="R557" i="5"/>
  <c r="Q343" i="5"/>
  <c r="R343" i="5"/>
  <c r="R331" i="5"/>
  <c r="Q331" i="5"/>
  <c r="Q400" i="5"/>
  <c r="R400" i="5"/>
  <c r="R124" i="5"/>
  <c r="Q124" i="5"/>
  <c r="Q80" i="5"/>
  <c r="R80" i="5"/>
  <c r="R185" i="5"/>
  <c r="Q185" i="5"/>
  <c r="R86" i="5"/>
  <c r="Q86" i="5"/>
  <c r="R165" i="5"/>
  <c r="Q165" i="5"/>
  <c r="R250" i="5"/>
  <c r="Q250" i="5"/>
  <c r="R466" i="5"/>
  <c r="Q502" i="5"/>
  <c r="Q542" i="5"/>
  <c r="R542" i="5"/>
  <c r="Q293" i="5"/>
  <c r="R293" i="5"/>
  <c r="R520" i="5"/>
  <c r="Q520" i="5"/>
  <c r="Q312" i="5"/>
  <c r="R312" i="5"/>
  <c r="R24" i="5"/>
  <c r="Q24" i="5"/>
  <c r="R146" i="5"/>
  <c r="Q146" i="5"/>
  <c r="R84" i="5"/>
  <c r="Q84" i="5"/>
  <c r="Q457" i="5"/>
  <c r="R457" i="5"/>
  <c r="Q50" i="5"/>
  <c r="R50" i="5"/>
  <c r="R306" i="5"/>
  <c r="Q306" i="5"/>
  <c r="Q510" i="5"/>
  <c r="R510" i="5"/>
  <c r="I16" i="2"/>
  <c r="I14" i="2"/>
  <c r="X7" i="5"/>
  <c r="W7" i="5"/>
  <c r="I32" i="2"/>
  <c r="B50" i="3"/>
  <c r="B54" i="3" s="1"/>
  <c r="B58" i="3" s="1"/>
  <c r="B90" i="3"/>
  <c r="B89" i="3"/>
  <c r="I43" i="2" s="1"/>
  <c r="B91" i="3"/>
  <c r="E33" i="3"/>
  <c r="B55" i="3"/>
  <c r="I35" i="2"/>
  <c r="B53" i="3"/>
  <c r="I29" i="2"/>
  <c r="H54" i="4"/>
  <c r="K54" i="4" s="1"/>
  <c r="L54" i="4" s="1"/>
  <c r="M54" i="4" s="1"/>
  <c r="N54" i="4" s="1"/>
  <c r="H75" i="4"/>
  <c r="K75" i="4" s="1"/>
  <c r="L75" i="4" s="1"/>
  <c r="M75" i="4" s="1"/>
  <c r="N75" i="4" s="1"/>
  <c r="H59" i="4"/>
  <c r="K59" i="4" s="1"/>
  <c r="L59" i="4" s="1"/>
  <c r="M59" i="4" s="1"/>
  <c r="N59" i="4" s="1"/>
  <c r="H60" i="4"/>
  <c r="K60" i="4" s="1"/>
  <c r="L60" i="4" s="1"/>
  <c r="M60" i="4" s="1"/>
  <c r="N60" i="4" s="1"/>
  <c r="H103" i="4"/>
  <c r="K103" i="4" s="1"/>
  <c r="L103" i="4" s="1"/>
  <c r="M103" i="4" s="1"/>
  <c r="N103" i="4" s="1"/>
  <c r="H20" i="4"/>
  <c r="K20" i="4" s="1"/>
  <c r="L20" i="4" s="1"/>
  <c r="M20" i="4" s="1"/>
  <c r="N20" i="4" s="1"/>
  <c r="H55" i="4"/>
  <c r="K55" i="4" s="1"/>
  <c r="L55" i="4" s="1"/>
  <c r="M55" i="4" s="1"/>
  <c r="N55" i="4" s="1"/>
  <c r="H27" i="4"/>
  <c r="K27" i="4" s="1"/>
  <c r="L27" i="4" s="1"/>
  <c r="M27" i="4" s="1"/>
  <c r="N27" i="4" s="1"/>
  <c r="H87" i="4"/>
  <c r="K87" i="4" s="1"/>
  <c r="L87" i="4" s="1"/>
  <c r="M87" i="4" s="1"/>
  <c r="N87" i="4" s="1"/>
  <c r="H65" i="4"/>
  <c r="K65" i="4" s="1"/>
  <c r="L65" i="4" s="1"/>
  <c r="M65" i="4" s="1"/>
  <c r="N65" i="4" s="1"/>
  <c r="H15" i="4"/>
  <c r="K15" i="4" s="1"/>
  <c r="L15" i="4" s="1"/>
  <c r="M15" i="4" s="1"/>
  <c r="N15" i="4" s="1"/>
  <c r="H47" i="4"/>
  <c r="K47" i="4" s="1"/>
  <c r="L47" i="4" s="1"/>
  <c r="M47" i="4" s="1"/>
  <c r="N47" i="4" s="1"/>
  <c r="H97" i="4"/>
  <c r="K97" i="4" s="1"/>
  <c r="L97" i="4" s="1"/>
  <c r="M97" i="4" s="1"/>
  <c r="N97" i="4" s="1"/>
  <c r="H11" i="4"/>
  <c r="K11" i="4" s="1"/>
  <c r="L11" i="4" s="1"/>
  <c r="M11" i="4" s="1"/>
  <c r="N11" i="4" s="1"/>
  <c r="H4" i="4"/>
  <c r="K4" i="4" s="1"/>
  <c r="L4" i="4" s="1"/>
  <c r="M4" i="4" s="1"/>
  <c r="N4" i="4" s="1"/>
  <c r="H62" i="4"/>
  <c r="K62" i="4" s="1"/>
  <c r="L62" i="4" s="1"/>
  <c r="M62" i="4" s="1"/>
  <c r="N62" i="4" s="1"/>
  <c r="H19" i="4"/>
  <c r="K19" i="4" s="1"/>
  <c r="L19" i="4" s="1"/>
  <c r="M19" i="4" s="1"/>
  <c r="N19" i="4" s="1"/>
  <c r="H77" i="4"/>
  <c r="K77" i="4" s="1"/>
  <c r="L77" i="4" s="1"/>
  <c r="M77" i="4" s="1"/>
  <c r="N77" i="4" s="1"/>
  <c r="H6" i="4"/>
  <c r="K6" i="4" s="1"/>
  <c r="L6" i="4" s="1"/>
  <c r="M6" i="4" s="1"/>
  <c r="N6" i="4" s="1"/>
  <c r="H64" i="4"/>
  <c r="K64" i="4" s="1"/>
  <c r="L64" i="4" s="1"/>
  <c r="M64" i="4" s="1"/>
  <c r="N64" i="4" s="1"/>
  <c r="H32" i="4"/>
  <c r="K32" i="4" s="1"/>
  <c r="L32" i="4" s="1"/>
  <c r="M32" i="4" s="1"/>
  <c r="N32" i="4" s="1"/>
  <c r="H94" i="4"/>
  <c r="K94" i="4" s="1"/>
  <c r="L94" i="4" s="1"/>
  <c r="M94" i="4" s="1"/>
  <c r="N94" i="4" s="1"/>
  <c r="H51" i="4"/>
  <c r="K51" i="4" s="1"/>
  <c r="L51" i="4" s="1"/>
  <c r="M51" i="4" s="1"/>
  <c r="N51" i="4" s="1"/>
  <c r="H23" i="4"/>
  <c r="K23" i="4" s="1"/>
  <c r="L23" i="4" s="1"/>
  <c r="M23" i="4" s="1"/>
  <c r="N23" i="4" s="1"/>
  <c r="H58" i="4"/>
  <c r="K58" i="4" s="1"/>
  <c r="L58" i="4" s="1"/>
  <c r="M58" i="4" s="1"/>
  <c r="N58" i="4" s="1"/>
  <c r="H69" i="4"/>
  <c r="K69" i="4" s="1"/>
  <c r="L69" i="4" s="1"/>
  <c r="M69" i="4" s="1"/>
  <c r="N69" i="4" s="1"/>
  <c r="H56" i="4"/>
  <c r="K56" i="4" s="1"/>
  <c r="L56" i="4" s="1"/>
  <c r="M56" i="4" s="1"/>
  <c r="N56" i="4" s="1"/>
  <c r="H31" i="4"/>
  <c r="K31" i="4" s="1"/>
  <c r="L31" i="4" s="1"/>
  <c r="M31" i="4" s="1"/>
  <c r="N31" i="4" s="1"/>
  <c r="H34" i="4"/>
  <c r="K34" i="4" s="1"/>
  <c r="L34" i="4" s="1"/>
  <c r="M34" i="4" s="1"/>
  <c r="N34" i="4" s="1"/>
  <c r="H95" i="4"/>
  <c r="K95" i="4" s="1"/>
  <c r="L95" i="4" s="1"/>
  <c r="M95" i="4" s="1"/>
  <c r="N95" i="4" s="1"/>
  <c r="H89" i="4"/>
  <c r="K89" i="4" s="1"/>
  <c r="L89" i="4" s="1"/>
  <c r="M89" i="4" s="1"/>
  <c r="N89" i="4" s="1"/>
  <c r="H46" i="4"/>
  <c r="K46" i="4" s="1"/>
  <c r="L46" i="4" s="1"/>
  <c r="M46" i="4" s="1"/>
  <c r="H61" i="4"/>
  <c r="K61" i="4" s="1"/>
  <c r="L61" i="4" s="1"/>
  <c r="M61" i="4" s="1"/>
  <c r="N61" i="4" s="1"/>
  <c r="H42" i="4"/>
  <c r="K42" i="4" s="1"/>
  <c r="L42" i="4" s="1"/>
  <c r="M42" i="4" s="1"/>
  <c r="H84" i="4"/>
  <c r="K84" i="4" s="1"/>
  <c r="L84" i="4" s="1"/>
  <c r="M84" i="4" s="1"/>
  <c r="N84" i="4" s="1"/>
  <c r="H83" i="4"/>
  <c r="K83" i="4" s="1"/>
  <c r="L83" i="4" s="1"/>
  <c r="M83" i="4" s="1"/>
  <c r="N83" i="4" s="1"/>
  <c r="H41" i="4"/>
  <c r="K41" i="4" s="1"/>
  <c r="L41" i="4" s="1"/>
  <c r="M41" i="4" s="1"/>
  <c r="N41" i="4" s="1"/>
  <c r="H98" i="4"/>
  <c r="K98" i="4" s="1"/>
  <c r="L98" i="4" s="1"/>
  <c r="M98" i="4" s="1"/>
  <c r="N98" i="4" s="1"/>
  <c r="H13" i="4"/>
  <c r="K13" i="4" s="1"/>
  <c r="L13" i="4" s="1"/>
  <c r="M13" i="4" s="1"/>
  <c r="H26" i="4"/>
  <c r="H80" i="4"/>
  <c r="H48" i="4"/>
  <c r="K48" i="4" s="1"/>
  <c r="L48" i="4" s="1"/>
  <c r="M48" i="4" s="1"/>
  <c r="H16" i="4"/>
  <c r="K16" i="4" s="1"/>
  <c r="L16" i="4" s="1"/>
  <c r="M16" i="4" s="1"/>
  <c r="N16" i="4" s="1"/>
  <c r="H93" i="4"/>
  <c r="K93" i="4" s="1"/>
  <c r="L93" i="4" s="1"/>
  <c r="M93" i="4" s="1"/>
  <c r="N93" i="4" s="1"/>
  <c r="H50" i="4"/>
  <c r="K50" i="4" s="1"/>
  <c r="L50" i="4" s="1"/>
  <c r="M50" i="4" s="1"/>
  <c r="N50" i="4" s="1"/>
  <c r="H22" i="4"/>
  <c r="K22" i="4" s="1"/>
  <c r="L22" i="4" s="1"/>
  <c r="M22" i="4" s="1"/>
  <c r="N22" i="4" s="1"/>
  <c r="H21" i="4"/>
  <c r="K21" i="4" s="1"/>
  <c r="L21" i="4" s="1"/>
  <c r="M21" i="4" s="1"/>
  <c r="H74" i="4"/>
  <c r="K74" i="4" s="1"/>
  <c r="L74" i="4" s="1"/>
  <c r="M74" i="4" s="1"/>
  <c r="N74" i="4" s="1"/>
  <c r="H12" i="4"/>
  <c r="K12" i="4" s="1"/>
  <c r="L12" i="4" s="1"/>
  <c r="M12" i="4" s="1"/>
  <c r="N12" i="4" s="1"/>
  <c r="H53" i="4"/>
  <c r="K53" i="4" s="1"/>
  <c r="L53" i="4" s="1"/>
  <c r="M53" i="4" s="1"/>
  <c r="H45" i="4"/>
  <c r="K45" i="4" s="1"/>
  <c r="L45" i="4" s="1"/>
  <c r="M45" i="4" s="1"/>
  <c r="N45" i="4" s="1"/>
  <c r="H104" i="4"/>
  <c r="K104" i="4" s="1"/>
  <c r="L104" i="4" s="1"/>
  <c r="M104" i="4" s="1"/>
  <c r="N104" i="4" s="1"/>
  <c r="H40" i="4"/>
  <c r="K40" i="4" s="1"/>
  <c r="L40" i="4" s="1"/>
  <c r="M40" i="4" s="1"/>
  <c r="N40" i="4" s="1"/>
  <c r="H71" i="4"/>
  <c r="K71" i="4" s="1"/>
  <c r="L71" i="4" s="1"/>
  <c r="M71" i="4" s="1"/>
  <c r="N71" i="4" s="1"/>
  <c r="H43" i="4"/>
  <c r="K43" i="4" s="1"/>
  <c r="L43" i="4" s="1"/>
  <c r="M43" i="4" s="1"/>
  <c r="N43" i="4" s="1"/>
  <c r="H85" i="4"/>
  <c r="K85" i="4" s="1"/>
  <c r="L85" i="4" s="1"/>
  <c r="M85" i="4" s="1"/>
  <c r="H9" i="4"/>
  <c r="K9" i="4" s="1"/>
  <c r="L9" i="4" s="1"/>
  <c r="M9" i="4" s="1"/>
  <c r="N9" i="4" s="1"/>
  <c r="H81" i="4"/>
  <c r="K81" i="4" s="1"/>
  <c r="L81" i="4" s="1"/>
  <c r="M81" i="4" s="1"/>
  <c r="N81" i="4" s="1"/>
  <c r="H24" i="4"/>
  <c r="K24" i="4" s="1"/>
  <c r="L24" i="4" s="1"/>
  <c r="M24" i="4" s="1"/>
  <c r="N24" i="4" s="1"/>
  <c r="H78" i="4"/>
  <c r="K78" i="4" s="1"/>
  <c r="L78" i="4" s="1"/>
  <c r="M78" i="4" s="1"/>
  <c r="H35" i="4"/>
  <c r="H7" i="4"/>
  <c r="H30" i="4"/>
  <c r="H102" i="4"/>
  <c r="K102" i="4" s="1"/>
  <c r="L102" i="4" s="1"/>
  <c r="M102" i="4" s="1"/>
  <c r="H17" i="4"/>
  <c r="H72" i="4"/>
  <c r="H8" i="4"/>
  <c r="H67" i="4"/>
  <c r="K67" i="4" s="1"/>
  <c r="L67" i="4" s="1"/>
  <c r="M67" i="4" s="1"/>
  <c r="H25" i="4"/>
  <c r="K25" i="4" s="1"/>
  <c r="L25" i="4" s="1"/>
  <c r="M25" i="4" s="1"/>
  <c r="H82" i="4"/>
  <c r="H39" i="4"/>
  <c r="H10" i="4"/>
  <c r="H100" i="4"/>
  <c r="H68" i="4"/>
  <c r="H91" i="4"/>
  <c r="H49" i="4"/>
  <c r="H5" i="4"/>
  <c r="H99" i="4"/>
  <c r="H57" i="4"/>
  <c r="H14" i="4"/>
  <c r="H29" i="4"/>
  <c r="H86" i="4"/>
  <c r="K86" i="4" s="1"/>
  <c r="L86" i="4" s="1"/>
  <c r="M86" i="4" s="1"/>
  <c r="H90" i="4"/>
  <c r="H92" i="4"/>
  <c r="H28" i="4"/>
  <c r="H66" i="4"/>
  <c r="H38" i="4"/>
  <c r="H79" i="4"/>
  <c r="K79" i="4" s="1"/>
  <c r="L79" i="4" s="1"/>
  <c r="M79" i="4" s="1"/>
  <c r="H18" i="4"/>
  <c r="H33" i="4"/>
  <c r="H37" i="4"/>
  <c r="H52" i="4"/>
  <c r="H73" i="4"/>
  <c r="K73" i="4" s="1"/>
  <c r="L73" i="4" s="1"/>
  <c r="M73" i="4" s="1"/>
  <c r="H88" i="4"/>
  <c r="H70" i="4"/>
  <c r="H101" i="4"/>
  <c r="K101" i="4" s="1"/>
  <c r="L101" i="4" s="1"/>
  <c r="M101" i="4" s="1"/>
  <c r="H96" i="4"/>
  <c r="K96" i="4" s="1"/>
  <c r="L96" i="4" s="1"/>
  <c r="M96" i="4" s="1"/>
  <c r="H36" i="4"/>
  <c r="H63" i="4"/>
  <c r="H76" i="4"/>
  <c r="H44" i="4"/>
  <c r="R92" i="5" l="1"/>
  <c r="AJ76" i="6"/>
  <c r="AJ140" i="6"/>
  <c r="AJ54" i="6"/>
  <c r="R378" i="5"/>
  <c r="Q556" i="5"/>
  <c r="Q12" i="5"/>
  <c r="Y79" i="8"/>
  <c r="AR79" i="8" s="1"/>
  <c r="X79" i="8"/>
  <c r="R475" i="5"/>
  <c r="R432" i="5"/>
  <c r="Q69" i="5"/>
  <c r="Q186" i="5"/>
  <c r="Q153" i="5"/>
  <c r="Q210" i="5"/>
  <c r="X76" i="8"/>
  <c r="AJ76" i="8" s="1"/>
  <c r="Z27" i="8"/>
  <c r="AN27" i="8" s="1"/>
  <c r="Q172" i="5"/>
  <c r="R175" i="5"/>
  <c r="Q545" i="5"/>
  <c r="Q273" i="5"/>
  <c r="R37" i="5"/>
  <c r="Q180" i="5"/>
  <c r="R222" i="5"/>
  <c r="Q547" i="5"/>
  <c r="R114" i="5"/>
  <c r="Q248" i="5"/>
  <c r="R515" i="5"/>
  <c r="R201" i="5"/>
  <c r="R387" i="5"/>
  <c r="Q485" i="5"/>
  <c r="R431" i="5"/>
  <c r="Q261" i="5"/>
  <c r="Q89" i="5"/>
  <c r="R212" i="5"/>
  <c r="R265" i="5"/>
  <c r="R424" i="5"/>
  <c r="Q269" i="5"/>
  <c r="Q207" i="5"/>
  <c r="AE157" i="8"/>
  <c r="AE27" i="8"/>
  <c r="R538" i="5"/>
  <c r="R304" i="5"/>
  <c r="R51" i="5"/>
  <c r="AA123" i="8"/>
  <c r="AP123" i="8" s="1"/>
  <c r="X80" i="8"/>
  <c r="AJ80" i="8" s="1"/>
  <c r="Q251" i="5"/>
  <c r="R215" i="5"/>
  <c r="Q284" i="5"/>
  <c r="X145" i="8"/>
  <c r="Q56" i="5"/>
  <c r="Y80" i="8"/>
  <c r="AR80" i="8" s="1"/>
  <c r="X130" i="8"/>
  <c r="AE72" i="8"/>
  <c r="R443" i="5"/>
  <c r="X157" i="8"/>
  <c r="AJ157" i="8" s="1"/>
  <c r="Q333" i="5"/>
  <c r="Y114" i="8"/>
  <c r="AR114" i="8" s="1"/>
  <c r="AA127" i="8"/>
  <c r="AE114" i="8"/>
  <c r="Z127" i="8"/>
  <c r="AN127" i="8" s="1"/>
  <c r="Z92" i="8"/>
  <c r="AN92" i="8" s="1"/>
  <c r="X127" i="8"/>
  <c r="AJ127" i="8" s="1"/>
  <c r="AE127" i="8"/>
  <c r="AA10" i="8"/>
  <c r="AP10" i="8" s="1"/>
  <c r="AA92" i="8"/>
  <c r="AA50" i="8"/>
  <c r="AE50" i="8"/>
  <c r="X121" i="8"/>
  <c r="AJ121" i="8" s="1"/>
  <c r="Y11" i="8"/>
  <c r="AR11" i="8" s="1"/>
  <c r="AE35" i="8"/>
  <c r="AE43" i="8"/>
  <c r="AE55" i="8"/>
  <c r="X55" i="8"/>
  <c r="AE37" i="8"/>
  <c r="AE150" i="8"/>
  <c r="AE39" i="8"/>
  <c r="Y35" i="8"/>
  <c r="AR35" i="8" s="1"/>
  <c r="AE123" i="8"/>
  <c r="X139" i="8"/>
  <c r="AJ139" i="8" s="1"/>
  <c r="AE139" i="8"/>
  <c r="Z152" i="8"/>
  <c r="AN152" i="8" s="1"/>
  <c r="X123" i="8"/>
  <c r="AJ123" i="8" s="1"/>
  <c r="Y83" i="8"/>
  <c r="AR83" i="8" s="1"/>
  <c r="Y17" i="8"/>
  <c r="AR17" i="8" s="1"/>
  <c r="X133" i="8"/>
  <c r="AJ133" i="8" s="1"/>
  <c r="Y39" i="8"/>
  <c r="AR39" i="8" s="1"/>
  <c r="Z123" i="8"/>
  <c r="AN123" i="8" s="1"/>
  <c r="AE130" i="8"/>
  <c r="AE122" i="8"/>
  <c r="AA345" i="5"/>
  <c r="AJ109" i="6"/>
  <c r="AJ93" i="6"/>
  <c r="AJ95" i="6"/>
  <c r="R551" i="5"/>
  <c r="Q135" i="5"/>
  <c r="Q411" i="5"/>
  <c r="Q441" i="5"/>
  <c r="Q191" i="5"/>
  <c r="R484" i="5"/>
  <c r="Q235" i="5"/>
  <c r="R43" i="5"/>
  <c r="Q64" i="5"/>
  <c r="Q530" i="5"/>
  <c r="Y72" i="8"/>
  <c r="AR72" i="8" s="1"/>
  <c r="X67" i="8"/>
  <c r="X152" i="8"/>
  <c r="AJ152" i="8" s="1"/>
  <c r="Z155" i="8"/>
  <c r="AN155" i="8" s="1"/>
  <c r="X84" i="8"/>
  <c r="AJ84" i="8" s="1"/>
  <c r="Z150" i="8"/>
  <c r="AN150" i="8" s="1"/>
  <c r="Z130" i="8"/>
  <c r="AN130" i="8" s="1"/>
  <c r="Z18" i="8"/>
  <c r="AN18" i="8" s="1"/>
  <c r="AA122" i="8"/>
  <c r="AP122" i="8" s="1"/>
  <c r="AJ127" i="6"/>
  <c r="AE60" i="8"/>
  <c r="AE128" i="8"/>
  <c r="AJ41" i="6"/>
  <c r="AE92" i="8"/>
  <c r="Z10" i="8"/>
  <c r="AN10" i="8" s="1"/>
  <c r="X150" i="8"/>
  <c r="AJ150" i="8" s="1"/>
  <c r="X50" i="8"/>
  <c r="AJ50" i="8" s="1"/>
  <c r="AA152" i="8"/>
  <c r="Q560" i="5"/>
  <c r="Y71" i="6"/>
  <c r="AR71" i="6" s="1"/>
  <c r="Y145" i="8"/>
  <c r="AR145" i="8" s="1"/>
  <c r="AE155" i="8"/>
  <c r="Z84" i="8"/>
  <c r="AN84" i="8" s="1"/>
  <c r="AE18" i="8"/>
  <c r="Z122" i="8"/>
  <c r="AN122" i="8" s="1"/>
  <c r="Q489" i="5"/>
  <c r="Q504" i="5"/>
  <c r="X92" i="8"/>
  <c r="AJ92" i="8" s="1"/>
  <c r="X10" i="8"/>
  <c r="AJ10" i="8" s="1"/>
  <c r="X90" i="8"/>
  <c r="Y88" i="8"/>
  <c r="AR88" i="8" s="1"/>
  <c r="X27" i="8"/>
  <c r="AJ27" i="8" s="1"/>
  <c r="AA150" i="8"/>
  <c r="AC150" i="8" s="1"/>
  <c r="AD150" i="8" s="1"/>
  <c r="AE84" i="8"/>
  <c r="AA76" i="8"/>
  <c r="AC76" i="8" s="1"/>
  <c r="AD76" i="8" s="1"/>
  <c r="AE135" i="8"/>
  <c r="AA90" i="8"/>
  <c r="AC90" i="8" s="1"/>
  <c r="AD90" i="8" s="1"/>
  <c r="R531" i="5"/>
  <c r="AE90" i="8"/>
  <c r="AA67" i="8"/>
  <c r="AC67" i="8" s="1"/>
  <c r="AD67" i="8" s="1"/>
  <c r="Y157" i="8"/>
  <c r="AR157" i="8" s="1"/>
  <c r="AA155" i="8"/>
  <c r="AE67" i="8"/>
  <c r="AA130" i="8"/>
  <c r="AP130" i="8" s="1"/>
  <c r="X18" i="8"/>
  <c r="X122" i="8"/>
  <c r="AJ122" i="8" s="1"/>
  <c r="AA18" i="8"/>
  <c r="AP18" i="8" s="1"/>
  <c r="R10" i="5"/>
  <c r="R360" i="5"/>
  <c r="R286" i="5"/>
  <c r="X111" i="8"/>
  <c r="Q470" i="5"/>
  <c r="X58" i="8"/>
  <c r="AJ58" i="8" s="1"/>
  <c r="X155" i="8"/>
  <c r="AJ155" i="8" s="1"/>
  <c r="X68" i="8"/>
  <c r="AJ68" i="8" s="1"/>
  <c r="Z50" i="8"/>
  <c r="AN50" i="8" s="1"/>
  <c r="AA27" i="8"/>
  <c r="AP27" i="8" s="1"/>
  <c r="AE46" i="8"/>
  <c r="Y154" i="8"/>
  <c r="AR154" i="8" s="1"/>
  <c r="X154" i="8"/>
  <c r="AJ154" i="8" s="1"/>
  <c r="Z113" i="8"/>
  <c r="AN113" i="8" s="1"/>
  <c r="X43" i="8"/>
  <c r="AJ43" i="8" s="1"/>
  <c r="X88" i="8"/>
  <c r="AJ88" i="8" s="1"/>
  <c r="Y43" i="8"/>
  <c r="AR43" i="8" s="1"/>
  <c r="AA113" i="8"/>
  <c r="AC113" i="8" s="1"/>
  <c r="AD113" i="8" s="1"/>
  <c r="Z90" i="8"/>
  <c r="AN90" i="8" s="1"/>
  <c r="X113" i="8"/>
  <c r="AJ113" i="8" s="1"/>
  <c r="AE113" i="8"/>
  <c r="Y16" i="8"/>
  <c r="AR16" i="8" s="1"/>
  <c r="X45" i="8"/>
  <c r="AJ45" i="8" s="1"/>
  <c r="AE32" i="8"/>
  <c r="X138" i="8"/>
  <c r="AJ138" i="8" s="1"/>
  <c r="AE16" i="8"/>
  <c r="AE19" i="8"/>
  <c r="AE104" i="8"/>
  <c r="AA431" i="5"/>
  <c r="AE31" i="6"/>
  <c r="AA116" i="8"/>
  <c r="AC116" i="8" s="1"/>
  <c r="AD116" i="8" s="1"/>
  <c r="AA375" i="5"/>
  <c r="AE76" i="6"/>
  <c r="Y59" i="6"/>
  <c r="AR59" i="6" s="1"/>
  <c r="AA54" i="8"/>
  <c r="AP54" i="8" s="1"/>
  <c r="AE41" i="8"/>
  <c r="Z63" i="8"/>
  <c r="AN63" i="8" s="1"/>
  <c r="Y29" i="8"/>
  <c r="AR29" i="8" s="1"/>
  <c r="AE64" i="8"/>
  <c r="X42" i="8"/>
  <c r="AJ42" i="8" s="1"/>
  <c r="Y60" i="6"/>
  <c r="AR60" i="6" s="1"/>
  <c r="Y92" i="6"/>
  <c r="AR92" i="6" s="1"/>
  <c r="Y69" i="6"/>
  <c r="AR69" i="6" s="1"/>
  <c r="AE127" i="6"/>
  <c r="Y72" i="6"/>
  <c r="AR72" i="6" s="1"/>
  <c r="AA515" i="5"/>
  <c r="Y64" i="8"/>
  <c r="AR64" i="8" s="1"/>
  <c r="AE42" i="8"/>
  <c r="Y120" i="6"/>
  <c r="AR120" i="6" s="1"/>
  <c r="Y63" i="6"/>
  <c r="AR63" i="6" s="1"/>
  <c r="Z49" i="8"/>
  <c r="AN49" i="8" s="1"/>
  <c r="Z509" i="5"/>
  <c r="AA31" i="6"/>
  <c r="AQ31" i="6" s="1"/>
  <c r="Y111" i="6"/>
  <c r="AR111" i="6" s="1"/>
  <c r="AA49" i="8"/>
  <c r="AC49" i="8" s="1"/>
  <c r="AD49" i="8" s="1"/>
  <c r="Y128" i="8"/>
  <c r="AR128" i="8" s="1"/>
  <c r="Y60" i="8"/>
  <c r="AR60" i="8" s="1"/>
  <c r="X60" i="8"/>
  <c r="AJ60" i="8" s="1"/>
  <c r="X51" i="8"/>
  <c r="AJ51" i="8" s="1"/>
  <c r="X128" i="8"/>
  <c r="AJ128" i="8" s="1"/>
  <c r="Z195" i="5"/>
  <c r="Z31" i="6"/>
  <c r="AF31" i="6" s="1"/>
  <c r="AG31" i="6" s="1"/>
  <c r="Y124" i="6"/>
  <c r="AR124" i="6" s="1"/>
  <c r="AA300" i="5"/>
  <c r="AA63" i="8"/>
  <c r="AQ63" i="8" s="1"/>
  <c r="Y131" i="6"/>
  <c r="AR131" i="6" s="1"/>
  <c r="Y126" i="6"/>
  <c r="AR126" i="6" s="1"/>
  <c r="AE118" i="6"/>
  <c r="Y93" i="6"/>
  <c r="AR93" i="6" s="1"/>
  <c r="Z54" i="8"/>
  <c r="AN54" i="8" s="1"/>
  <c r="X74" i="8"/>
  <c r="AJ74" i="8" s="1"/>
  <c r="X91" i="8"/>
  <c r="AJ91" i="8" s="1"/>
  <c r="Y94" i="8"/>
  <c r="AR94" i="8" s="1"/>
  <c r="AE48" i="8"/>
  <c r="AE54" i="8"/>
  <c r="Y81" i="6"/>
  <c r="AR81" i="6" s="1"/>
  <c r="X48" i="8"/>
  <c r="AJ48" i="8" s="1"/>
  <c r="AE126" i="6"/>
  <c r="Y118" i="6"/>
  <c r="AR118" i="6" s="1"/>
  <c r="Y109" i="6"/>
  <c r="AR109" i="6" s="1"/>
  <c r="AA557" i="5"/>
  <c r="Y96" i="8"/>
  <c r="AR96" i="8" s="1"/>
  <c r="AE63" i="8"/>
  <c r="Z143" i="8"/>
  <c r="AN143" i="8" s="1"/>
  <c r="X141" i="8"/>
  <c r="AE119" i="8"/>
  <c r="Y41" i="8"/>
  <c r="AR41" i="8" s="1"/>
  <c r="X119" i="8"/>
  <c r="AJ119" i="8" s="1"/>
  <c r="X108" i="8"/>
  <c r="AJ108" i="8" s="1"/>
  <c r="Z331" i="5"/>
  <c r="AE109" i="6"/>
  <c r="X63" i="8"/>
  <c r="Y106" i="6"/>
  <c r="AR106" i="6" s="1"/>
  <c r="AA323" i="5"/>
  <c r="AE96" i="8"/>
  <c r="AE129" i="8"/>
  <c r="AA143" i="8"/>
  <c r="AQ143" i="8" s="1"/>
  <c r="Y156" i="6"/>
  <c r="AR156" i="6" s="1"/>
  <c r="Y101" i="6"/>
  <c r="AR101" i="6" s="1"/>
  <c r="Y74" i="8"/>
  <c r="AR74" i="8" s="1"/>
  <c r="Y156" i="8"/>
  <c r="AR156" i="8" s="1"/>
  <c r="X143" i="8"/>
  <c r="AJ143" i="8" s="1"/>
  <c r="AE143" i="8"/>
  <c r="AA141" i="8"/>
  <c r="AC141" i="8" s="1"/>
  <c r="AD141" i="8" s="1"/>
  <c r="Y133" i="6"/>
  <c r="AR133" i="6" s="1"/>
  <c r="X54" i="8"/>
  <c r="AJ54" i="8" s="1"/>
  <c r="Z141" i="8"/>
  <c r="AN141" i="8" s="1"/>
  <c r="Y129" i="8"/>
  <c r="AR129" i="8" s="1"/>
  <c r="Y74" i="6"/>
  <c r="AR74" i="6" s="1"/>
  <c r="Y76" i="6"/>
  <c r="AR76" i="6" s="1"/>
  <c r="AA232" i="5"/>
  <c r="AE141" i="8"/>
  <c r="Y62" i="8"/>
  <c r="AR62" i="8" s="1"/>
  <c r="AA103" i="8"/>
  <c r="AQ103" i="8" s="1"/>
  <c r="AE111" i="8"/>
  <c r="Z103" i="8"/>
  <c r="AN103" i="8" s="1"/>
  <c r="X103" i="8"/>
  <c r="AE103" i="8"/>
  <c r="AE62" i="8"/>
  <c r="AE83" i="8"/>
  <c r="AA32" i="6"/>
  <c r="AQ32" i="6" s="1"/>
  <c r="X19" i="8"/>
  <c r="AJ19" i="8" s="1"/>
  <c r="AE147" i="6"/>
  <c r="R394" i="5"/>
  <c r="R155" i="5"/>
  <c r="R88" i="5"/>
  <c r="Q467" i="5"/>
  <c r="R276" i="5"/>
  <c r="Q558" i="5"/>
  <c r="Q373" i="5"/>
  <c r="Q47" i="5"/>
  <c r="Q25" i="5"/>
  <c r="R346" i="5"/>
  <c r="Q419" i="5"/>
  <c r="R230" i="5"/>
  <c r="Q544" i="5"/>
  <c r="AE24" i="8"/>
  <c r="AA32" i="8"/>
  <c r="AC32" i="8" s="1"/>
  <c r="AD32" i="8" s="1"/>
  <c r="R362" i="5"/>
  <c r="Y13" i="8"/>
  <c r="AR13" i="8" s="1"/>
  <c r="Y57" i="8"/>
  <c r="AR57" i="8" s="1"/>
  <c r="X24" i="8"/>
  <c r="AJ24" i="8" s="1"/>
  <c r="X32" i="8"/>
  <c r="AJ32" i="8" s="1"/>
  <c r="X13" i="8"/>
  <c r="AJ13" i="8" s="1"/>
  <c r="Y36" i="8"/>
  <c r="AR36" i="8" s="1"/>
  <c r="AE36" i="8"/>
  <c r="Q474" i="5"/>
  <c r="R72" i="5"/>
  <c r="Q252" i="5"/>
  <c r="Y95" i="6"/>
  <c r="AR95" i="6" s="1"/>
  <c r="Q421" i="5"/>
  <c r="R468" i="5"/>
  <c r="R358" i="5"/>
  <c r="Q519" i="5"/>
  <c r="Q272" i="5"/>
  <c r="R195" i="5"/>
  <c r="X57" i="8"/>
  <c r="AJ57" i="8" s="1"/>
  <c r="Z24" i="8"/>
  <c r="AN24" i="8" s="1"/>
  <c r="AA24" i="8"/>
  <c r="AC24" i="8" s="1"/>
  <c r="AD24" i="8" s="1"/>
  <c r="Z32" i="8"/>
  <c r="AN32" i="8" s="1"/>
  <c r="AE114" i="6"/>
  <c r="Z32" i="6"/>
  <c r="AF32" i="6" s="1"/>
  <c r="AG32" i="6" s="1"/>
  <c r="AE32" i="6"/>
  <c r="Y136" i="6"/>
  <c r="AR136" i="6" s="1"/>
  <c r="AE95" i="6"/>
  <c r="AE82" i="8"/>
  <c r="X117" i="8"/>
  <c r="AJ117" i="8" s="1"/>
  <c r="X120" i="8"/>
  <c r="AJ120" i="8" s="1"/>
  <c r="AE10" i="8"/>
  <c r="X135" i="8"/>
  <c r="AJ135" i="8" s="1"/>
  <c r="Z117" i="8"/>
  <c r="AN117" i="8" s="1"/>
  <c r="AA117" i="8"/>
  <c r="AC117" i="8" s="1"/>
  <c r="AD117" i="8" s="1"/>
  <c r="Y85" i="8"/>
  <c r="AR85" i="8" s="1"/>
  <c r="AE117" i="8"/>
  <c r="X78" i="8"/>
  <c r="AJ78" i="8" s="1"/>
  <c r="AE45" i="8"/>
  <c r="AA84" i="8"/>
  <c r="AQ84" i="8" s="1"/>
  <c r="Y135" i="8"/>
  <c r="AR135" i="8" s="1"/>
  <c r="Z120" i="8"/>
  <c r="AN120" i="8" s="1"/>
  <c r="Q232" i="5"/>
  <c r="R63" i="5"/>
  <c r="Q526" i="5"/>
  <c r="AE78" i="8"/>
  <c r="Z12" i="8"/>
  <c r="AN12" i="8" s="1"/>
  <c r="AE91" i="8"/>
  <c r="AE44" i="8"/>
  <c r="R160" i="5"/>
  <c r="AE99" i="8"/>
  <c r="Q200" i="5"/>
  <c r="Q437" i="5"/>
  <c r="AE116" i="8"/>
  <c r="Y132" i="8"/>
  <c r="AR132" i="8" s="1"/>
  <c r="Q27" i="5"/>
  <c r="Q164" i="5"/>
  <c r="Z140" i="8"/>
  <c r="AN140" i="8" s="1"/>
  <c r="Y37" i="8"/>
  <c r="AR37" i="8" s="1"/>
  <c r="X33" i="8"/>
  <c r="AJ33" i="8" s="1"/>
  <c r="R460" i="5"/>
  <c r="Q262" i="5"/>
  <c r="X99" i="8"/>
  <c r="AJ99" i="8" s="1"/>
  <c r="Z48" i="8"/>
  <c r="AN48" i="8" s="1"/>
  <c r="AA140" i="8"/>
  <c r="AP140" i="8" s="1"/>
  <c r="Z52" i="8"/>
  <c r="AN52" i="8" s="1"/>
  <c r="Z15" i="8"/>
  <c r="AN15" i="8" s="1"/>
  <c r="AE11" i="8"/>
  <c r="Z67" i="8"/>
  <c r="AN67" i="8" s="1"/>
  <c r="Y51" i="6"/>
  <c r="AR51" i="6" s="1"/>
  <c r="AA48" i="8"/>
  <c r="AC48" i="8" s="1"/>
  <c r="AD48" i="8" s="1"/>
  <c r="AE140" i="8"/>
  <c r="AA52" i="8"/>
  <c r="AP52" i="8" s="1"/>
  <c r="AA15" i="8"/>
  <c r="AP15" i="8" s="1"/>
  <c r="Q44" i="5"/>
  <c r="R540" i="5"/>
  <c r="R162" i="5"/>
  <c r="R193" i="5"/>
  <c r="R313" i="5"/>
  <c r="X52" i="8"/>
  <c r="AJ52" i="8" s="1"/>
  <c r="AE52" i="8"/>
  <c r="AE15" i="8"/>
  <c r="X140" i="8"/>
  <c r="AJ140" i="8" s="1"/>
  <c r="Q282" i="5"/>
  <c r="R555" i="5"/>
  <c r="Q317" i="5"/>
  <c r="R341" i="5"/>
  <c r="Q205" i="5"/>
  <c r="Q137" i="5"/>
  <c r="Q281" i="5"/>
  <c r="Z8" i="8"/>
  <c r="AN8" i="8" s="1"/>
  <c r="X15" i="8"/>
  <c r="AJ15" i="8" s="1"/>
  <c r="Z100" i="8"/>
  <c r="AN100" i="8" s="1"/>
  <c r="AE121" i="8"/>
  <c r="AE30" i="8"/>
  <c r="AE97" i="8"/>
  <c r="AE100" i="8"/>
  <c r="AE40" i="8"/>
  <c r="Q243" i="5"/>
  <c r="Q368" i="5"/>
  <c r="Q115" i="5"/>
  <c r="Q264" i="5"/>
  <c r="Q107" i="5"/>
  <c r="R543" i="5"/>
  <c r="X44" i="8"/>
  <c r="AJ44" i="8" s="1"/>
  <c r="X30" i="8"/>
  <c r="AJ30" i="8" s="1"/>
  <c r="Z116" i="8"/>
  <c r="AN116" i="8" s="1"/>
  <c r="AA8" i="8"/>
  <c r="AQ8" i="8" s="1"/>
  <c r="X8" i="8"/>
  <c r="AJ8" i="8" s="1"/>
  <c r="X100" i="8"/>
  <c r="Z44" i="8"/>
  <c r="AN44" i="8" s="1"/>
  <c r="R308" i="5"/>
  <c r="Q35" i="5"/>
  <c r="Q29" i="5"/>
  <c r="Q479" i="5"/>
  <c r="AE8" i="8"/>
  <c r="AA44" i="8"/>
  <c r="AP44" i="8" s="1"/>
  <c r="Q13" i="5"/>
  <c r="AJ129" i="6"/>
  <c r="AJ136" i="6"/>
  <c r="AE124" i="6"/>
  <c r="AJ126" i="6"/>
  <c r="AE74" i="6"/>
  <c r="Y148" i="6"/>
  <c r="AR148" i="6" s="1"/>
  <c r="AE69" i="6"/>
  <c r="AE122" i="6"/>
  <c r="Y113" i="6"/>
  <c r="AR113" i="6" s="1"/>
  <c r="Y138" i="6"/>
  <c r="AR138" i="6" s="1"/>
  <c r="AJ122" i="6"/>
  <c r="AA28" i="6"/>
  <c r="AQ28" i="6" s="1"/>
  <c r="AE28" i="6"/>
  <c r="Y77" i="6"/>
  <c r="AR77" i="6" s="1"/>
  <c r="Y122" i="6"/>
  <c r="AR122" i="6" s="1"/>
  <c r="Z28" i="6"/>
  <c r="AN28" i="6" s="1"/>
  <c r="AJ77" i="6"/>
  <c r="AJ67" i="6"/>
  <c r="AE77" i="6"/>
  <c r="AE21" i="6"/>
  <c r="AJ125" i="6"/>
  <c r="AJ112" i="6"/>
  <c r="AE111" i="6"/>
  <c r="AJ83" i="6"/>
  <c r="AJ50" i="6"/>
  <c r="AJ65" i="6"/>
  <c r="AJ61" i="6"/>
  <c r="AJ134" i="6"/>
  <c r="Y125" i="6"/>
  <c r="AR125" i="6" s="1"/>
  <c r="AJ73" i="6"/>
  <c r="Z413" i="5"/>
  <c r="AJ53" i="6"/>
  <c r="AJ91" i="6"/>
  <c r="AJ55" i="6"/>
  <c r="AJ51" i="6"/>
  <c r="AE136" i="6"/>
  <c r="AJ138" i="6"/>
  <c r="AE134" i="6"/>
  <c r="AE125" i="6"/>
  <c r="AE55" i="6"/>
  <c r="Y153" i="6"/>
  <c r="AR153" i="6" s="1"/>
  <c r="Y67" i="6"/>
  <c r="AR67" i="6" s="1"/>
  <c r="AJ69" i="6"/>
  <c r="AE153" i="6"/>
  <c r="AE61" i="6"/>
  <c r="AE138" i="6"/>
  <c r="Y91" i="6"/>
  <c r="AR91" i="6" s="1"/>
  <c r="AJ111" i="6"/>
  <c r="Y110" i="6"/>
  <c r="AR110" i="6" s="1"/>
  <c r="AJ84" i="6"/>
  <c r="AJ131" i="6"/>
  <c r="AA27" i="6"/>
  <c r="AC27" i="6" s="1"/>
  <c r="AD27" i="6" s="1"/>
  <c r="AE148" i="6"/>
  <c r="AE110" i="6"/>
  <c r="Y107" i="6"/>
  <c r="AR107" i="6" s="1"/>
  <c r="Y112" i="6"/>
  <c r="AR112" i="6" s="1"/>
  <c r="AJ70" i="6"/>
  <c r="AE16" i="6"/>
  <c r="AJ92" i="6"/>
  <c r="Z21" i="6"/>
  <c r="AF21" i="6" s="1"/>
  <c r="AG21" i="6" s="1"/>
  <c r="AE92" i="6"/>
  <c r="Z524" i="5"/>
  <c r="AJ128" i="6"/>
  <c r="AE113" i="6"/>
  <c r="Z256" i="5"/>
  <c r="AJ45" i="6"/>
  <c r="AE17" i="6"/>
  <c r="AE33" i="6"/>
  <c r="AJ74" i="6"/>
  <c r="AJ124" i="6"/>
  <c r="AJ71" i="6"/>
  <c r="Z16" i="6"/>
  <c r="AN16" i="6" s="1"/>
  <c r="AA325" i="5"/>
  <c r="Z426" i="5"/>
  <c r="AJ103" i="6"/>
  <c r="Y147" i="6"/>
  <c r="AR147" i="6" s="1"/>
  <c r="Z422" i="5"/>
  <c r="AE131" i="8"/>
  <c r="X109" i="8"/>
  <c r="AJ109" i="8" s="1"/>
  <c r="Z26" i="8"/>
  <c r="AN26" i="8" s="1"/>
  <c r="R46" i="5"/>
  <c r="Y107" i="8"/>
  <c r="AR107" i="8" s="1"/>
  <c r="AE56" i="8"/>
  <c r="AJ148" i="6"/>
  <c r="Z24" i="6"/>
  <c r="AN24" i="6" s="1"/>
  <c r="Q550" i="5"/>
  <c r="R41" i="5"/>
  <c r="AE50" i="6"/>
  <c r="X56" i="8"/>
  <c r="AJ56" i="8" s="1"/>
  <c r="Q351" i="5"/>
  <c r="Y75" i="6"/>
  <c r="AR75" i="6" s="1"/>
  <c r="X46" i="8"/>
  <c r="AJ46" i="8" s="1"/>
  <c r="AE137" i="6"/>
  <c r="AE124" i="8"/>
  <c r="AE58" i="8"/>
  <c r="Z99" i="8"/>
  <c r="AN99" i="8" s="1"/>
  <c r="R440" i="5"/>
  <c r="Q106" i="5"/>
  <c r="Q549" i="5"/>
  <c r="Y42" i="6"/>
  <c r="AR42" i="6" s="1"/>
  <c r="Y65" i="6"/>
  <c r="AR65" i="6" s="1"/>
  <c r="Y40" i="8"/>
  <c r="AR40" i="8" s="1"/>
  <c r="Y70" i="8"/>
  <c r="AR70" i="8" s="1"/>
  <c r="AA46" i="8"/>
  <c r="AQ46" i="8" s="1"/>
  <c r="AA26" i="8"/>
  <c r="AC26" i="8" s="1"/>
  <c r="AD26" i="8" s="1"/>
  <c r="X53" i="8"/>
  <c r="AJ53" i="8" s="1"/>
  <c r="X59" i="8"/>
  <c r="AJ59" i="8" s="1"/>
  <c r="Z20" i="6"/>
  <c r="AF20" i="6" s="1"/>
  <c r="AG20" i="6" s="1"/>
  <c r="AE73" i="6"/>
  <c r="AE42" i="6"/>
  <c r="AE26" i="8"/>
  <c r="AA100" i="8"/>
  <c r="AP100" i="8" s="1"/>
  <c r="AA131" i="8"/>
  <c r="AQ131" i="8" s="1"/>
  <c r="AE129" i="6"/>
  <c r="AE157" i="6"/>
  <c r="AE112" i="6"/>
  <c r="R380" i="5"/>
  <c r="Q123" i="5"/>
  <c r="Q170" i="5"/>
  <c r="R318" i="5"/>
  <c r="R548" i="5"/>
  <c r="AE20" i="6"/>
  <c r="Z109" i="8"/>
  <c r="AN109" i="8" s="1"/>
  <c r="X131" i="8"/>
  <c r="AJ131" i="8" s="1"/>
  <c r="Z131" i="8"/>
  <c r="AN131" i="8" s="1"/>
  <c r="R444" i="5"/>
  <c r="R364" i="5"/>
  <c r="Q199" i="5"/>
  <c r="AE84" i="6"/>
  <c r="Z33" i="6"/>
  <c r="AF33" i="6" s="1"/>
  <c r="AG33" i="6" s="1"/>
  <c r="Y45" i="6"/>
  <c r="AR45" i="6" s="1"/>
  <c r="X93" i="8"/>
  <c r="AJ93" i="8" s="1"/>
  <c r="AA109" i="8"/>
  <c r="AQ109" i="8" s="1"/>
  <c r="X137" i="8"/>
  <c r="AJ137" i="8" s="1"/>
  <c r="R66" i="5"/>
  <c r="Q492" i="5"/>
  <c r="R126" i="5"/>
  <c r="AE131" i="6"/>
  <c r="AE65" i="6"/>
  <c r="X147" i="8"/>
  <c r="AJ147" i="8" s="1"/>
  <c r="AE109" i="8"/>
  <c r="Z137" i="8"/>
  <c r="AN137" i="8" s="1"/>
  <c r="AE22" i="8"/>
  <c r="Z17" i="6"/>
  <c r="AN17" i="6" s="1"/>
  <c r="AA147" i="8"/>
  <c r="AQ147" i="8" s="1"/>
  <c r="X26" i="8"/>
  <c r="AJ26" i="8" s="1"/>
  <c r="AE53" i="8"/>
  <c r="AA137" i="8"/>
  <c r="AQ137" i="8" s="1"/>
  <c r="AJ72" i="6"/>
  <c r="AJ42" i="6"/>
  <c r="AE152" i="8"/>
  <c r="AE49" i="8"/>
  <c r="X21" i="8"/>
  <c r="AJ21" i="8" s="1"/>
  <c r="Z46" i="8"/>
  <c r="AN46" i="8" s="1"/>
  <c r="AE137" i="8"/>
  <c r="AJ99" i="6"/>
  <c r="AE59" i="8"/>
  <c r="AE107" i="8"/>
  <c r="Y104" i="8"/>
  <c r="AR104" i="8" s="1"/>
  <c r="Y110" i="8"/>
  <c r="AR110" i="8" s="1"/>
  <c r="AA120" i="8"/>
  <c r="AC120" i="8" s="1"/>
  <c r="AD120" i="8" s="1"/>
  <c r="Z19" i="8"/>
  <c r="AN19" i="8" s="1"/>
  <c r="AE51" i="8"/>
  <c r="AE71" i="8"/>
  <c r="AE120" i="8"/>
  <c r="Y71" i="8"/>
  <c r="AR71" i="8" s="1"/>
  <c r="AA19" i="8"/>
  <c r="AC19" i="8" s="1"/>
  <c r="AD19" i="8" s="1"/>
  <c r="Z111" i="8"/>
  <c r="AN111" i="8" s="1"/>
  <c r="Y82" i="8"/>
  <c r="AR82" i="8" s="1"/>
  <c r="AE61" i="8"/>
  <c r="AA111" i="8"/>
  <c r="AQ111" i="8" s="1"/>
  <c r="AE133" i="8"/>
  <c r="Y61" i="8"/>
  <c r="AR61" i="8" s="1"/>
  <c r="X153" i="8"/>
  <c r="AJ153" i="8" s="1"/>
  <c r="Y97" i="8"/>
  <c r="AR97" i="8" s="1"/>
  <c r="X85" i="8"/>
  <c r="AJ85" i="8" s="1"/>
  <c r="X49" i="8"/>
  <c r="AE68" i="8"/>
  <c r="Y157" i="6"/>
  <c r="AR157" i="6" s="1"/>
  <c r="Y38" i="6"/>
  <c r="AR38" i="6" s="1"/>
  <c r="AA254" i="5"/>
  <c r="Y134" i="6"/>
  <c r="AR134" i="6" s="1"/>
  <c r="AA456" i="5"/>
  <c r="Z121" i="5"/>
  <c r="Z13" i="6"/>
  <c r="AN13" i="6" s="1"/>
  <c r="Y103" i="6"/>
  <c r="AR103" i="6" s="1"/>
  <c r="AE91" i="6"/>
  <c r="AE38" i="6"/>
  <c r="Z86" i="5"/>
  <c r="Z128" i="5"/>
  <c r="Z111" i="5"/>
  <c r="AA542" i="5"/>
  <c r="AE71" i="6"/>
  <c r="AE53" i="6"/>
  <c r="Y80" i="6"/>
  <c r="AR80" i="6" s="1"/>
  <c r="Y61" i="6"/>
  <c r="AR61" i="6" s="1"/>
  <c r="Y53" i="6"/>
  <c r="AR53" i="6" s="1"/>
  <c r="AA538" i="5"/>
  <c r="Z56" i="5"/>
  <c r="AA131" i="5"/>
  <c r="AJ142" i="6"/>
  <c r="AE10" i="6"/>
  <c r="AJ49" i="6"/>
  <c r="AJ58" i="6"/>
  <c r="AE68" i="6"/>
  <c r="Z446" i="5"/>
  <c r="AA96" i="5"/>
  <c r="Z417" i="5"/>
  <c r="AE103" i="6"/>
  <c r="Z535" i="5"/>
  <c r="AA250" i="5"/>
  <c r="AA283" i="5"/>
  <c r="Z491" i="5"/>
  <c r="AJ79" i="6"/>
  <c r="AA99" i="8"/>
  <c r="AC99" i="8" s="1"/>
  <c r="AD99" i="8" s="1"/>
  <c r="X124" i="8"/>
  <c r="AJ124" i="8" s="1"/>
  <c r="AE148" i="8"/>
  <c r="X101" i="8"/>
  <c r="AJ101" i="8" s="1"/>
  <c r="X148" i="8"/>
  <c r="AJ148" i="8" s="1"/>
  <c r="X144" i="8"/>
  <c r="AJ144" i="8" s="1"/>
  <c r="Y124" i="8"/>
  <c r="AR124" i="8" s="1"/>
  <c r="Z144" i="8"/>
  <c r="AN144" i="8" s="1"/>
  <c r="AA58" i="8"/>
  <c r="AC58" i="8" s="1"/>
  <c r="AD58" i="8" s="1"/>
  <c r="AA144" i="8"/>
  <c r="AQ144" i="8" s="1"/>
  <c r="Z58" i="8"/>
  <c r="AN58" i="8" s="1"/>
  <c r="AE144" i="8"/>
  <c r="AA101" i="8"/>
  <c r="AP101" i="8" s="1"/>
  <c r="AE101" i="8"/>
  <c r="AE147" i="8"/>
  <c r="Y11" i="5"/>
  <c r="Z11" i="5" s="1"/>
  <c r="AS11" i="5"/>
  <c r="AU11" i="5" s="1"/>
  <c r="AY11" i="5"/>
  <c r="AZ11" i="5" s="1"/>
  <c r="R238" i="5"/>
  <c r="Z147" i="8"/>
  <c r="AN147" i="8" s="1"/>
  <c r="AE47" i="8"/>
  <c r="AE78" i="6"/>
  <c r="R19" i="5"/>
  <c r="X81" i="8"/>
  <c r="AJ81" i="8" s="1"/>
  <c r="Q413" i="5"/>
  <c r="R442" i="5"/>
  <c r="Q315" i="5"/>
  <c r="R73" i="5"/>
  <c r="Q105" i="5"/>
  <c r="Y47" i="8"/>
  <c r="AR47" i="8" s="1"/>
  <c r="Y142" i="6"/>
  <c r="AR142" i="6" s="1"/>
  <c r="R334" i="5"/>
  <c r="Q48" i="5"/>
  <c r="Q117" i="5"/>
  <c r="R57" i="5"/>
  <c r="R287" i="5"/>
  <c r="Z10" i="6"/>
  <c r="AN10" i="6" s="1"/>
  <c r="X75" i="8"/>
  <c r="AJ75" i="8" s="1"/>
  <c r="Z75" i="8"/>
  <c r="AN75" i="8" s="1"/>
  <c r="R401" i="5"/>
  <c r="R133" i="5"/>
  <c r="Q546" i="5"/>
  <c r="Q141" i="5"/>
  <c r="R188" i="5"/>
  <c r="R136" i="5"/>
  <c r="AA75" i="8"/>
  <c r="AC75" i="8" s="1"/>
  <c r="AD75" i="8" s="1"/>
  <c r="Q354" i="5"/>
  <c r="R352" i="5"/>
  <c r="R324" i="5"/>
  <c r="Q275" i="5"/>
  <c r="Q30" i="5"/>
  <c r="AE75" i="8"/>
  <c r="R168" i="5"/>
  <c r="Q237" i="5"/>
  <c r="Q109" i="5"/>
  <c r="R42" i="5"/>
  <c r="R367" i="5"/>
  <c r="AE93" i="6"/>
  <c r="AE27" i="6"/>
  <c r="AE132" i="8"/>
  <c r="AA149" i="8"/>
  <c r="AC149" i="8" s="1"/>
  <c r="AD149" i="8" s="1"/>
  <c r="AE33" i="8"/>
  <c r="AE73" i="8"/>
  <c r="AE153" i="8"/>
  <c r="AE77" i="8"/>
  <c r="AE17" i="8"/>
  <c r="AE34" i="8"/>
  <c r="Y22" i="8"/>
  <c r="AR22" i="8" s="1"/>
  <c r="X22" i="8"/>
  <c r="AJ22" i="8" s="1"/>
  <c r="AA12" i="8"/>
  <c r="AC12" i="8" s="1"/>
  <c r="AD12" i="8" s="1"/>
  <c r="X73" i="8"/>
  <c r="AJ73" i="8" s="1"/>
  <c r="AE12" i="8"/>
  <c r="Z59" i="8"/>
  <c r="AN59" i="8" s="1"/>
  <c r="Y73" i="8"/>
  <c r="AR73" i="8" s="1"/>
  <c r="X34" i="8"/>
  <c r="AJ34" i="8" s="1"/>
  <c r="Z68" i="8"/>
  <c r="AN68" i="8" s="1"/>
  <c r="Y108" i="8"/>
  <c r="AR108" i="8" s="1"/>
  <c r="Z20" i="8"/>
  <c r="AN20" i="8" s="1"/>
  <c r="AA68" i="8"/>
  <c r="AC68" i="8" s="1"/>
  <c r="AD68" i="8" s="1"/>
  <c r="Z77" i="8"/>
  <c r="AN77" i="8" s="1"/>
  <c r="AE70" i="8"/>
  <c r="AE156" i="8"/>
  <c r="X12" i="8"/>
  <c r="AJ12" i="8" s="1"/>
  <c r="X86" i="8"/>
  <c r="AJ86" i="8" s="1"/>
  <c r="X20" i="8"/>
  <c r="AJ20" i="8" s="1"/>
  <c r="AA20" i="8"/>
  <c r="AP20" i="8" s="1"/>
  <c r="AE20" i="8"/>
  <c r="AE149" i="8"/>
  <c r="Z14" i="8"/>
  <c r="AN14" i="8" s="1"/>
  <c r="X14" i="8"/>
  <c r="AA14" i="8"/>
  <c r="AC14" i="8" s="1"/>
  <c r="AD14" i="8" s="1"/>
  <c r="AE14" i="8"/>
  <c r="AA25" i="8"/>
  <c r="AP25" i="8" s="1"/>
  <c r="AE81" i="8"/>
  <c r="AE93" i="8"/>
  <c r="X149" i="8"/>
  <c r="AJ149" i="8" s="1"/>
  <c r="AE115" i="8"/>
  <c r="AE86" i="8"/>
  <c r="Z149" i="8"/>
  <c r="AN149" i="8" s="1"/>
  <c r="B173" i="3"/>
  <c r="AE76" i="8"/>
  <c r="X77" i="8"/>
  <c r="AJ77" i="8" s="1"/>
  <c r="AA77" i="8"/>
  <c r="AQ77" i="8" s="1"/>
  <c r="Z101" i="8"/>
  <c r="AN101" i="8" s="1"/>
  <c r="X69" i="8"/>
  <c r="AA59" i="8"/>
  <c r="AC59" i="8" s="1"/>
  <c r="AD59" i="8" s="1"/>
  <c r="AE89" i="8"/>
  <c r="Y115" i="8"/>
  <c r="AR115" i="8" s="1"/>
  <c r="AA93" i="8"/>
  <c r="AC93" i="8" s="1"/>
  <c r="AD93" i="8" s="1"/>
  <c r="Z93" i="8"/>
  <c r="AN93" i="8" s="1"/>
  <c r="AE69" i="8"/>
  <c r="X89" i="8"/>
  <c r="AJ89" i="8" s="1"/>
  <c r="Z21" i="8"/>
  <c r="AN21" i="8" s="1"/>
  <c r="Z76" i="8"/>
  <c r="AN76" i="8" s="1"/>
  <c r="AA86" i="8"/>
  <c r="AQ86" i="8" s="1"/>
  <c r="Z86" i="8"/>
  <c r="AN86" i="8" s="1"/>
  <c r="AE97" i="6"/>
  <c r="AE120" i="6"/>
  <c r="AJ68" i="6"/>
  <c r="AJ38" i="6"/>
  <c r="Z89" i="8"/>
  <c r="AN89" i="8" s="1"/>
  <c r="AE110" i="8"/>
  <c r="AA105" i="8"/>
  <c r="AP105" i="8" s="1"/>
  <c r="AA89" i="8"/>
  <c r="AQ89" i="8" s="1"/>
  <c r="Z105" i="8"/>
  <c r="AN105" i="8" s="1"/>
  <c r="AE105" i="8"/>
  <c r="AA21" i="8"/>
  <c r="AQ21" i="8" s="1"/>
  <c r="AE28" i="8"/>
  <c r="X105" i="8"/>
  <c r="AJ105" i="8" s="1"/>
  <c r="AE21" i="8"/>
  <c r="AE25" i="8"/>
  <c r="X28" i="8"/>
  <c r="AJ28" i="8" s="1"/>
  <c r="AA69" i="8"/>
  <c r="AP69" i="8" s="1"/>
  <c r="Z69" i="8"/>
  <c r="AN69" i="8" s="1"/>
  <c r="X25" i="8"/>
  <c r="AJ25" i="8" s="1"/>
  <c r="Z25" i="8"/>
  <c r="AN25" i="8" s="1"/>
  <c r="Y28" i="8"/>
  <c r="AR28" i="8" s="1"/>
  <c r="Z8" i="6"/>
  <c r="AF8" i="6" s="1"/>
  <c r="AG8" i="6" s="1"/>
  <c r="Z27" i="6"/>
  <c r="AF27" i="6" s="1"/>
  <c r="AG27" i="6" s="1"/>
  <c r="Z287" i="5"/>
  <c r="AE72" i="6"/>
  <c r="AJ153" i="6"/>
  <c r="AE8" i="6"/>
  <c r="Y137" i="6"/>
  <c r="AR137" i="6" s="1"/>
  <c r="AE34" i="6"/>
  <c r="AJ37" i="6"/>
  <c r="Y127" i="6"/>
  <c r="AR127" i="6" s="1"/>
  <c r="Z471" i="5"/>
  <c r="AA553" i="5"/>
  <c r="AE63" i="6"/>
  <c r="Z142" i="8"/>
  <c r="AN142" i="8" s="1"/>
  <c r="X142" i="8"/>
  <c r="AJ142" i="8" s="1"/>
  <c r="AA142" i="8"/>
  <c r="AC142" i="8" s="1"/>
  <c r="AD142" i="8" s="1"/>
  <c r="AE142" i="8"/>
  <c r="Y126" i="8"/>
  <c r="AR126" i="8" s="1"/>
  <c r="Z23" i="6"/>
  <c r="AF23" i="6" s="1"/>
  <c r="AG23" i="6" s="1"/>
  <c r="Q242" i="5"/>
  <c r="R255" i="5"/>
  <c r="R298" i="5"/>
  <c r="Q52" i="5"/>
  <c r="R389" i="5"/>
  <c r="R483" i="5"/>
  <c r="Q219" i="5"/>
  <c r="Q183" i="5"/>
  <c r="R253" i="5"/>
  <c r="Q34" i="5"/>
  <c r="Y83" i="6"/>
  <c r="AR83" i="6" s="1"/>
  <c r="AJ156" i="6"/>
  <c r="Q236" i="5"/>
  <c r="AE83" i="6"/>
  <c r="Q414" i="5"/>
  <c r="R130" i="5"/>
  <c r="R279" i="5"/>
  <c r="Q169" i="5"/>
  <c r="Y62" i="6"/>
  <c r="AR62" i="6" s="1"/>
  <c r="Y68" i="6"/>
  <c r="AR68" i="6" s="1"/>
  <c r="Y73" i="6"/>
  <c r="AR73" i="6" s="1"/>
  <c r="Y84" i="6"/>
  <c r="AR84" i="6" s="1"/>
  <c r="Z192" i="5"/>
  <c r="R426" i="5"/>
  <c r="Q217" i="5"/>
  <c r="Q342" i="5"/>
  <c r="Q452" i="5"/>
  <c r="Q202" i="5"/>
  <c r="P11" i="5"/>
  <c r="Q11" i="5" s="1"/>
  <c r="R518" i="5"/>
  <c r="Q415" i="5"/>
  <c r="Q39" i="5"/>
  <c r="R100" i="5"/>
  <c r="R390" i="5"/>
  <c r="R285" i="5"/>
  <c r="R381" i="5"/>
  <c r="R65" i="5"/>
  <c r="AE26" i="6"/>
  <c r="AE45" i="6"/>
  <c r="Q177" i="5"/>
  <c r="Q491" i="5"/>
  <c r="R509" i="5"/>
  <c r="R99" i="5"/>
  <c r="R79" i="5"/>
  <c r="AE133" i="6"/>
  <c r="AJ66" i="6"/>
  <c r="Q463" i="5"/>
  <c r="Q508" i="5"/>
  <c r="Q211" i="5"/>
  <c r="R59" i="5"/>
  <c r="AE66" i="6"/>
  <c r="Y49" i="6"/>
  <c r="AR49" i="6" s="1"/>
  <c r="AJ113" i="6"/>
  <c r="Q363" i="5"/>
  <c r="AE49" i="6"/>
  <c r="Y97" i="6"/>
  <c r="AR97" i="6" s="1"/>
  <c r="AJ104" i="6"/>
  <c r="Q254" i="5"/>
  <c r="AJ78" i="6"/>
  <c r="R152" i="5"/>
  <c r="R118" i="5"/>
  <c r="R260" i="5"/>
  <c r="R116" i="5"/>
  <c r="Q96" i="5"/>
  <c r="R178" i="5"/>
  <c r="AJ133" i="6"/>
  <c r="Z132" i="5"/>
  <c r="AE142" i="6"/>
  <c r="Q157" i="5"/>
  <c r="R297" i="5"/>
  <c r="AE23" i="6"/>
  <c r="AE58" i="6"/>
  <c r="Y66" i="6"/>
  <c r="AR66" i="6" s="1"/>
  <c r="Y104" i="6"/>
  <c r="AR104" i="6" s="1"/>
  <c r="Y58" i="6"/>
  <c r="AR58" i="6" s="1"/>
  <c r="AA63" i="5"/>
  <c r="Z547" i="5"/>
  <c r="R359" i="5"/>
  <c r="R291" i="5"/>
  <c r="R94" i="5"/>
  <c r="R430" i="5"/>
  <c r="Q396" i="5"/>
  <c r="Y128" i="6"/>
  <c r="AR128" i="6" s="1"/>
  <c r="AE134" i="8"/>
  <c r="Z229" i="5"/>
  <c r="AA79" i="5"/>
  <c r="AE18" i="6"/>
  <c r="AE62" i="6"/>
  <c r="AJ110" i="6"/>
  <c r="AE139" i="6"/>
  <c r="AE12" i="6"/>
  <c r="Q434" i="5"/>
  <c r="R476" i="5"/>
  <c r="R302" i="5"/>
  <c r="R218" i="5"/>
  <c r="R486" i="5"/>
  <c r="Q410" i="5"/>
  <c r="AE24" i="6"/>
  <c r="Y57" i="6"/>
  <c r="AR57" i="6" s="1"/>
  <c r="X134" i="8"/>
  <c r="AJ134" i="8" s="1"/>
  <c r="AJ46" i="6"/>
  <c r="Q98" i="5"/>
  <c r="R371" i="5"/>
  <c r="Q55" i="5"/>
  <c r="R196" i="5"/>
  <c r="Q388" i="5"/>
  <c r="Q499" i="5"/>
  <c r="Z14" i="6"/>
  <c r="AF14" i="6" s="1"/>
  <c r="AG14" i="6" s="1"/>
  <c r="AA314" i="5"/>
  <c r="R33" i="5"/>
  <c r="Q231" i="5"/>
  <c r="Q480" i="5"/>
  <c r="Q523" i="5"/>
  <c r="R448" i="5"/>
  <c r="Q62" i="5"/>
  <c r="R171" i="5"/>
  <c r="R404" i="5"/>
  <c r="Q487" i="5"/>
  <c r="AE51" i="6"/>
  <c r="Y55" i="6"/>
  <c r="AR55" i="6" s="1"/>
  <c r="Z537" i="5"/>
  <c r="AA555" i="5"/>
  <c r="AJ85" i="6"/>
  <c r="AJ62" i="6"/>
  <c r="Q345" i="5"/>
  <c r="Q552" i="5"/>
  <c r="R221" i="5"/>
  <c r="Q323" i="5"/>
  <c r="AJ100" i="6"/>
  <c r="AE57" i="6"/>
  <c r="AE107" i="6"/>
  <c r="AJ116" i="6"/>
  <c r="R420" i="5"/>
  <c r="AA33" i="6"/>
  <c r="AP33" i="6" s="1"/>
  <c r="Z26" i="6"/>
  <c r="AF26" i="6" s="1"/>
  <c r="AG26" i="6" s="1"/>
  <c r="AJ101" i="6"/>
  <c r="AJ106" i="6"/>
  <c r="AJ157" i="6"/>
  <c r="R496" i="5"/>
  <c r="AE156" i="6"/>
  <c r="R350" i="5"/>
  <c r="Q370" i="5"/>
  <c r="Q309" i="5"/>
  <c r="Q32" i="5"/>
  <c r="Y150" i="6"/>
  <c r="AR150" i="6" s="1"/>
  <c r="AJ115" i="6"/>
  <c r="Q525" i="5"/>
  <c r="Q412" i="5"/>
  <c r="Q327" i="5"/>
  <c r="Z12" i="6"/>
  <c r="AN12" i="6" s="1"/>
  <c r="AJ107" i="6"/>
  <c r="AE106" i="6"/>
  <c r="AE116" i="6"/>
  <c r="Y78" i="6"/>
  <c r="AR78" i="6" s="1"/>
  <c r="Q247" i="5"/>
  <c r="R229" i="5"/>
  <c r="R505" i="5"/>
  <c r="Q521" i="5"/>
  <c r="R409" i="5"/>
  <c r="AJ57" i="6"/>
  <c r="AE104" i="6"/>
  <c r="Q417" i="5"/>
  <c r="Y100" i="6"/>
  <c r="AR100" i="6" s="1"/>
  <c r="AE155" i="6"/>
  <c r="AJ152" i="6"/>
  <c r="Q263" i="5"/>
  <c r="Q385" i="5"/>
  <c r="R328" i="5"/>
  <c r="Z36" i="6"/>
  <c r="AF36" i="6" s="1"/>
  <c r="AG36" i="6" s="1"/>
  <c r="AE25" i="6"/>
  <c r="AJ139" i="6"/>
  <c r="Y129" i="6"/>
  <c r="AR129" i="6" s="1"/>
  <c r="Y116" i="6"/>
  <c r="AR116" i="6" s="1"/>
  <c r="AJ150" i="6"/>
  <c r="AE9" i="6"/>
  <c r="AA36" i="6"/>
  <c r="AQ36" i="6" s="1"/>
  <c r="Z34" i="6"/>
  <c r="AN34" i="6" s="1"/>
  <c r="AJ154" i="6"/>
  <c r="AJ87" i="6"/>
  <c r="AJ114" i="6"/>
  <c r="AJ75" i="6"/>
  <c r="AJ43" i="6"/>
  <c r="AE36" i="6"/>
  <c r="Y87" i="6"/>
  <c r="AR87" i="6" s="1"/>
  <c r="AJ102" i="6"/>
  <c r="AE87" i="6"/>
  <c r="Z9" i="6"/>
  <c r="AN9" i="6" s="1"/>
  <c r="Z25" i="6"/>
  <c r="AF25" i="6" s="1"/>
  <c r="AG25" i="6" s="1"/>
  <c r="Y114" i="6"/>
  <c r="AR114" i="6" s="1"/>
  <c r="AA34" i="6"/>
  <c r="AC34" i="6" s="1"/>
  <c r="AD34" i="6" s="1"/>
  <c r="AE101" i="6"/>
  <c r="AE37" i="6"/>
  <c r="AE75" i="6"/>
  <c r="AE85" i="6"/>
  <c r="AE128" i="6"/>
  <c r="AE154" i="6"/>
  <c r="Y37" i="6"/>
  <c r="AR37" i="6" s="1"/>
  <c r="Y85" i="6"/>
  <c r="AR85" i="6" s="1"/>
  <c r="Y154" i="6"/>
  <c r="AR154" i="6" s="1"/>
  <c r="AJ149" i="6"/>
  <c r="AJ130" i="6"/>
  <c r="AE59" i="6"/>
  <c r="Z214" i="5"/>
  <c r="AA180" i="5"/>
  <c r="Z161" i="5"/>
  <c r="AA134" i="5"/>
  <c r="Z364" i="5"/>
  <c r="Z439" i="5"/>
  <c r="AE117" i="6"/>
  <c r="AJ146" i="6"/>
  <c r="AE86" i="6"/>
  <c r="AE30" i="6"/>
  <c r="AA106" i="5"/>
  <c r="AA407" i="5"/>
  <c r="AE99" i="6"/>
  <c r="AA30" i="6"/>
  <c r="AP30" i="6" s="1"/>
  <c r="Z149" i="5"/>
  <c r="Z296" i="5"/>
  <c r="AJ59" i="6"/>
  <c r="AE130" i="6"/>
  <c r="Z30" i="6"/>
  <c r="AN30" i="6" s="1"/>
  <c r="Z554" i="5"/>
  <c r="AA552" i="5"/>
  <c r="AE70" i="6"/>
  <c r="Y43" i="6"/>
  <c r="AR43" i="6" s="1"/>
  <c r="Y130" i="6"/>
  <c r="AR130" i="6" s="1"/>
  <c r="Z399" i="5"/>
  <c r="AE43" i="6"/>
  <c r="Y99" i="6"/>
  <c r="AR99" i="6" s="1"/>
  <c r="Z560" i="5"/>
  <c r="AE146" i="6"/>
  <c r="AJ137" i="6"/>
  <c r="Z428" i="5"/>
  <c r="AA452" i="5"/>
  <c r="Y86" i="6"/>
  <c r="AR86" i="6" s="1"/>
  <c r="Y70" i="6"/>
  <c r="AR70" i="6" s="1"/>
  <c r="Y146" i="6"/>
  <c r="AR146" i="6" s="1"/>
  <c r="AA472" i="5"/>
  <c r="Z20" i="5"/>
  <c r="Z367" i="5"/>
  <c r="AA94" i="5"/>
  <c r="Z12" i="5"/>
  <c r="AE115" i="6"/>
  <c r="Z550" i="5"/>
  <c r="AA84" i="5"/>
  <c r="Z420" i="5"/>
  <c r="Z144" i="5"/>
  <c r="Z273" i="5"/>
  <c r="AE149" i="6"/>
  <c r="Z327" i="5"/>
  <c r="Z141" i="5"/>
  <c r="Z402" i="5"/>
  <c r="Z386" i="5"/>
  <c r="AA253" i="5"/>
  <c r="Z543" i="5"/>
  <c r="AA48" i="5"/>
  <c r="Z546" i="5"/>
  <c r="Z10" i="5"/>
  <c r="AA198" i="5"/>
  <c r="AA97" i="5"/>
  <c r="Z309" i="5"/>
  <c r="AA137" i="5"/>
  <c r="AA286" i="5"/>
  <c r="Y149" i="6"/>
  <c r="AR149" i="6" s="1"/>
  <c r="AA38" i="5"/>
  <c r="Z306" i="5"/>
  <c r="Z167" i="5"/>
  <c r="AA473" i="5"/>
  <c r="AE140" i="6"/>
  <c r="Z261" i="5"/>
  <c r="Z362" i="5"/>
  <c r="AA156" i="5"/>
  <c r="Z203" i="5"/>
  <c r="AA263" i="5"/>
  <c r="Z274" i="5"/>
  <c r="AE13" i="6"/>
  <c r="Y140" i="6"/>
  <c r="AR140" i="6" s="1"/>
  <c r="Z29" i="6"/>
  <c r="AF29" i="6" s="1"/>
  <c r="AG29" i="6" s="1"/>
  <c r="AJ119" i="6"/>
  <c r="AJ80" i="6"/>
  <c r="AE14" i="6"/>
  <c r="AA461" i="5"/>
  <c r="AA66" i="5"/>
  <c r="Z530" i="5"/>
  <c r="AJ121" i="6"/>
  <c r="Z474" i="5"/>
  <c r="AA89" i="5"/>
  <c r="AA397" i="5"/>
  <c r="AA492" i="5"/>
  <c r="AE67" i="6"/>
  <c r="Y115" i="6"/>
  <c r="AR115" i="6" s="1"/>
  <c r="AA71" i="5"/>
  <c r="AA171" i="5"/>
  <c r="AA498" i="5"/>
  <c r="Z548" i="5"/>
  <c r="Z174" i="5"/>
  <c r="AJ105" i="6"/>
  <c r="Y119" i="6"/>
  <c r="AR119" i="6" s="1"/>
  <c r="AE60" i="6"/>
  <c r="AA127" i="5"/>
  <c r="Z531" i="5"/>
  <c r="Y50" i="6"/>
  <c r="AR50" i="6" s="1"/>
  <c r="Y139" i="6"/>
  <c r="AR139" i="6" s="1"/>
  <c r="Z92" i="5"/>
  <c r="AA329" i="5"/>
  <c r="Z119" i="5"/>
  <c r="Z443" i="5"/>
  <c r="AE119" i="6"/>
  <c r="Z113" i="5"/>
  <c r="AE80" i="6"/>
  <c r="AA182" i="5"/>
  <c r="Z303" i="5"/>
  <c r="AA107" i="5"/>
  <c r="Z500" i="5"/>
  <c r="AJ117" i="6"/>
  <c r="AA382" i="5"/>
  <c r="AA139" i="5"/>
  <c r="Z43" i="5"/>
  <c r="Z374" i="5"/>
  <c r="AA193" i="5"/>
  <c r="AA74" i="5"/>
  <c r="AJ60" i="6"/>
  <c r="AE46" i="6"/>
  <c r="AA126" i="5"/>
  <c r="AA502" i="5"/>
  <c r="Z187" i="5"/>
  <c r="AA148" i="5"/>
  <c r="AA383" i="5"/>
  <c r="AJ144" i="6"/>
  <c r="AA218" i="5"/>
  <c r="Z501" i="5"/>
  <c r="Z361" i="5"/>
  <c r="AA324" i="5"/>
  <c r="Z351" i="5"/>
  <c r="AA483" i="5"/>
  <c r="Z55" i="5"/>
  <c r="AA269" i="5"/>
  <c r="Z95" i="5"/>
  <c r="AA262" i="5"/>
  <c r="AA160" i="5"/>
  <c r="AA276" i="5"/>
  <c r="Z169" i="5"/>
  <c r="AA21" i="5"/>
  <c r="Z460" i="5"/>
  <c r="Z330" i="5"/>
  <c r="Z266" i="5"/>
  <c r="Z267" i="5"/>
  <c r="Z259" i="5"/>
  <c r="Z35" i="5"/>
  <c r="AA433" i="5"/>
  <c r="AJ56" i="6"/>
  <c r="AA29" i="6"/>
  <c r="AC29" i="6" s="1"/>
  <c r="AD29" i="6" s="1"/>
  <c r="AJ81" i="6"/>
  <c r="AJ88" i="6"/>
  <c r="Z99" i="5"/>
  <c r="AA90" i="5"/>
  <c r="Z368" i="5"/>
  <c r="Z432" i="5"/>
  <c r="Z366" i="5"/>
  <c r="Z352" i="5"/>
  <c r="Z13" i="5"/>
  <c r="Y117" i="6"/>
  <c r="AR117" i="6" s="1"/>
  <c r="Z191" i="5"/>
  <c r="Z387" i="5"/>
  <c r="AA34" i="5"/>
  <c r="AA181" i="5"/>
  <c r="Z482" i="5"/>
  <c r="AJ90" i="6"/>
  <c r="Z207" i="5"/>
  <c r="AA158" i="5"/>
  <c r="Z227" i="5"/>
  <c r="AA442" i="5"/>
  <c r="Z78" i="5"/>
  <c r="AA35" i="6"/>
  <c r="AQ35" i="6" s="1"/>
  <c r="AE29" i="6"/>
  <c r="AA173" i="5"/>
  <c r="Z526" i="5"/>
  <c r="Z122" i="5"/>
  <c r="AA350" i="5"/>
  <c r="Z42" i="5"/>
  <c r="Z359" i="5"/>
  <c r="AJ151" i="6"/>
  <c r="AE81" i="6"/>
  <c r="Z15" i="6"/>
  <c r="AF15" i="6" s="1"/>
  <c r="AG15" i="6" s="1"/>
  <c r="Z289" i="5"/>
  <c r="Z415" i="5"/>
  <c r="AE15" i="6"/>
  <c r="Y88" i="6"/>
  <c r="AR88" i="6" s="1"/>
  <c r="Z186" i="5"/>
  <c r="AA302" i="5"/>
  <c r="Z505" i="5"/>
  <c r="Z326" i="5"/>
  <c r="Z22" i="6"/>
  <c r="AN22" i="6" s="1"/>
  <c r="AA487" i="5"/>
  <c r="Y56" i="6"/>
  <c r="AR56" i="6" s="1"/>
  <c r="Z378" i="5"/>
  <c r="Z28" i="5"/>
  <c r="Z401" i="5"/>
  <c r="AA271" i="5"/>
  <c r="Z117" i="5"/>
  <c r="AA334" i="5"/>
  <c r="AJ145" i="6"/>
  <c r="AJ52" i="6"/>
  <c r="AE88" i="6"/>
  <c r="Z151" i="5"/>
  <c r="AA102" i="5"/>
  <c r="AA118" i="5"/>
  <c r="Z105" i="5"/>
  <c r="AA333" i="5"/>
  <c r="AA421" i="5"/>
  <c r="Z423" i="5"/>
  <c r="Z32" i="5"/>
  <c r="Z18" i="6"/>
  <c r="AF18" i="6" s="1"/>
  <c r="AG18" i="6" s="1"/>
  <c r="AE56" i="6"/>
  <c r="Z384" i="5"/>
  <c r="Z370" i="5"/>
  <c r="Z438" i="5"/>
  <c r="AA541" i="5"/>
  <c r="Z260" i="5"/>
  <c r="Z36" i="5"/>
  <c r="Y40" i="6"/>
  <c r="AR40" i="6" s="1"/>
  <c r="Z363" i="5"/>
  <c r="AA392" i="5"/>
  <c r="Z108" i="5"/>
  <c r="Z69" i="5"/>
  <c r="Z224" i="5"/>
  <c r="AA336" i="5"/>
  <c r="Z372" i="5"/>
  <c r="AA412" i="5"/>
  <c r="Z241" i="5"/>
  <c r="AA297" i="5"/>
  <c r="Z201" i="5"/>
  <c r="AA389" i="5"/>
  <c r="AA339" i="5"/>
  <c r="AE100" i="6"/>
  <c r="AE102" i="6"/>
  <c r="Z437" i="5"/>
  <c r="Z448" i="5"/>
  <c r="Z393" i="5"/>
  <c r="AA153" i="5"/>
  <c r="Z209" i="5"/>
  <c r="Z72" i="5"/>
  <c r="Z344" i="5"/>
  <c r="AJ108" i="6"/>
  <c r="AE152" i="6"/>
  <c r="AJ155" i="6"/>
  <c r="AA459" i="5"/>
  <c r="Z453" i="5"/>
  <c r="Z411" i="5"/>
  <c r="Z165" i="5"/>
  <c r="Z322" i="5"/>
  <c r="Z409" i="5"/>
  <c r="AA194" i="5"/>
  <c r="Z25" i="5"/>
  <c r="AA19" i="5"/>
  <c r="Z458" i="5"/>
  <c r="AA216" i="5"/>
  <c r="AE41" i="6"/>
  <c r="AE19" i="6"/>
  <c r="Z294" i="5"/>
  <c r="AA404" i="5"/>
  <c r="Y102" i="6"/>
  <c r="AR102" i="6" s="1"/>
  <c r="AA337" i="5"/>
  <c r="Z457" i="5"/>
  <c r="Z249" i="5"/>
  <c r="AA348" i="5"/>
  <c r="Z454" i="5"/>
  <c r="Z319" i="5"/>
  <c r="AA26" i="5"/>
  <c r="Z237" i="5"/>
  <c r="AA154" i="5"/>
  <c r="AA162" i="5"/>
  <c r="AJ123" i="6"/>
  <c r="Z210" i="5"/>
  <c r="Y64" i="6"/>
  <c r="AR64" i="6" s="1"/>
  <c r="Y90" i="6"/>
  <c r="AR90" i="6" s="1"/>
  <c r="AA244" i="5"/>
  <c r="AA449" i="5"/>
  <c r="AA416" i="5"/>
  <c r="AA217" i="5"/>
  <c r="Z356" i="5"/>
  <c r="Z355" i="5"/>
  <c r="B174" i="3"/>
  <c r="AA258" i="5"/>
  <c r="Z522" i="5"/>
  <c r="Z343" i="5"/>
  <c r="AA243" i="5"/>
  <c r="AA556" i="5"/>
  <c r="Z463" i="5"/>
  <c r="Z147" i="5"/>
  <c r="AA240" i="5"/>
  <c r="Z497" i="5"/>
  <c r="AA512" i="5"/>
  <c r="AA316" i="5"/>
  <c r="Z332" i="5"/>
  <c r="Z57" i="5"/>
  <c r="Z507" i="5"/>
  <c r="AA353" i="5"/>
  <c r="AA146" i="5"/>
  <c r="AA281" i="5"/>
  <c r="Z114" i="5"/>
  <c r="AA265" i="5"/>
  <c r="R539" i="5"/>
  <c r="Q481" i="5"/>
  <c r="Q258" i="5"/>
  <c r="R267" i="5"/>
  <c r="Q119" i="5"/>
  <c r="R113" i="5"/>
  <c r="R372" i="5"/>
  <c r="Q277" i="5"/>
  <c r="Q8" i="5"/>
  <c r="Q506" i="5"/>
  <c r="R397" i="5"/>
  <c r="Q131" i="5"/>
  <c r="Q303" i="5"/>
  <c r="Z19" i="6"/>
  <c r="AF19" i="6" s="1"/>
  <c r="AG19" i="6" s="1"/>
  <c r="Y41" i="6"/>
  <c r="AR41" i="6" s="1"/>
  <c r="Q383" i="5"/>
  <c r="Q147" i="5"/>
  <c r="R456" i="5"/>
  <c r="Q150" i="5"/>
  <c r="Q31" i="5"/>
  <c r="Q528" i="5"/>
  <c r="Q386" i="5"/>
  <c r="Q325" i="5"/>
  <c r="R507" i="5"/>
  <c r="R241" i="5"/>
  <c r="Q125" i="5"/>
  <c r="AH61" i="6"/>
  <c r="AE108" i="6"/>
  <c r="AE54" i="6"/>
  <c r="Y152" i="6"/>
  <c r="AR152" i="6" s="1"/>
  <c r="Y108" i="6"/>
  <c r="AR108" i="6" s="1"/>
  <c r="Q289" i="5"/>
  <c r="R374" i="5"/>
  <c r="Q344" i="5"/>
  <c r="Q181" i="5"/>
  <c r="Q280" i="5"/>
  <c r="Q422" i="5"/>
  <c r="AH59" i="6"/>
  <c r="AA78" i="8"/>
  <c r="AQ78" i="8" s="1"/>
  <c r="AE94" i="8"/>
  <c r="Q473" i="5"/>
  <c r="Q78" i="5"/>
  <c r="Q407" i="5"/>
  <c r="Q228" i="5"/>
  <c r="R121" i="5"/>
  <c r="AH107" i="6"/>
  <c r="AE105" i="6"/>
  <c r="R403" i="5"/>
  <c r="Q469" i="5"/>
  <c r="Q128" i="5"/>
  <c r="Q239" i="5"/>
  <c r="Q82" i="5"/>
  <c r="Q534" i="5"/>
  <c r="Q305" i="5"/>
  <c r="AH68" i="6"/>
  <c r="Z35" i="6"/>
  <c r="AN35" i="6" s="1"/>
  <c r="Y54" i="6"/>
  <c r="AR54" i="6" s="1"/>
  <c r="Y155" i="6"/>
  <c r="AR155" i="6" s="1"/>
  <c r="R148" i="5"/>
  <c r="Q416" i="5"/>
  <c r="Q462" i="5"/>
  <c r="Q174" i="5"/>
  <c r="Q477" i="5"/>
  <c r="AH74" i="6"/>
  <c r="AE35" i="6"/>
  <c r="Y105" i="6"/>
  <c r="AR105" i="6" s="1"/>
  <c r="Z310" i="5"/>
  <c r="Z170" i="5"/>
  <c r="AA200" i="5"/>
  <c r="Z308" i="5"/>
  <c r="Z8" i="5"/>
  <c r="Z59" i="5"/>
  <c r="Z477" i="5"/>
  <c r="Z377" i="5"/>
  <c r="Z307" i="5"/>
  <c r="Z410" i="5"/>
  <c r="AA450" i="5"/>
  <c r="Z540" i="5"/>
  <c r="Z408" i="5"/>
  <c r="Z304" i="5"/>
  <c r="Z68" i="5"/>
  <c r="AA341" i="5"/>
  <c r="Z53" i="5"/>
  <c r="Z233" i="5"/>
  <c r="AA275" i="5"/>
  <c r="Z272" i="5"/>
  <c r="Z110" i="5"/>
  <c r="Z125" i="5"/>
  <c r="Z516" i="5"/>
  <c r="Z379" i="5"/>
  <c r="AA305" i="5"/>
  <c r="AA489" i="5"/>
  <c r="Z226" i="5"/>
  <c r="AA545" i="5"/>
  <c r="Z517" i="5"/>
  <c r="AA212" i="5"/>
  <c r="Z33" i="5"/>
  <c r="Z185" i="5"/>
  <c r="Z87" i="5"/>
  <c r="AA529" i="5"/>
  <c r="AA436" i="5"/>
  <c r="AA469" i="5"/>
  <c r="Z486" i="5"/>
  <c r="Z196" i="5"/>
  <c r="AA395" i="5"/>
  <c r="AA238" i="5"/>
  <c r="AA335" i="5"/>
  <c r="AA277" i="5"/>
  <c r="Z511" i="5"/>
  <c r="Z490" i="5"/>
  <c r="AA223" i="5"/>
  <c r="AA479" i="5"/>
  <c r="Z292" i="5"/>
  <c r="AA513" i="5"/>
  <c r="Z295" i="5"/>
  <c r="Z551" i="5"/>
  <c r="AA445" i="5"/>
  <c r="Q194" i="5"/>
  <c r="Q225" i="5"/>
  <c r="Q501" i="5"/>
  <c r="R134" i="5"/>
  <c r="Q321" i="5"/>
  <c r="Q329" i="5"/>
  <c r="R513" i="5"/>
  <c r="R197" i="5"/>
  <c r="Q402" i="5"/>
  <c r="R514" i="5"/>
  <c r="R356" i="5"/>
  <c r="R399" i="5"/>
  <c r="Q283" i="5"/>
  <c r="Q369" i="5"/>
  <c r="Q435" i="5"/>
  <c r="Q300" i="5"/>
  <c r="R301" i="5"/>
  <c r="R384" i="5"/>
  <c r="Q377" i="5"/>
  <c r="R187" i="5"/>
  <c r="Q365" i="5"/>
  <c r="Q214" i="5"/>
  <c r="R256" i="5"/>
  <c r="R449" i="5"/>
  <c r="Q190" i="5"/>
  <c r="Q240" i="5"/>
  <c r="R347" i="5"/>
  <c r="Q87" i="5"/>
  <c r="Q355" i="5"/>
  <c r="Q395" i="5"/>
  <c r="Q307" i="5"/>
  <c r="Y46" i="6"/>
  <c r="AR46" i="6" s="1"/>
  <c r="AI11" i="5"/>
  <c r="AJ11" i="5" s="1"/>
  <c r="R497" i="5"/>
  <c r="R259" i="5"/>
  <c r="R257" i="5"/>
  <c r="AE79" i="6"/>
  <c r="AE126" i="8"/>
  <c r="AV11" i="5"/>
  <c r="AX11" i="5" s="1"/>
  <c r="Q406" i="5"/>
  <c r="R145" i="5"/>
  <c r="Q266" i="5"/>
  <c r="Q428" i="5"/>
  <c r="R451" i="5"/>
  <c r="R471" i="5"/>
  <c r="R405" i="5"/>
  <c r="Q67" i="5"/>
  <c r="R271" i="5"/>
  <c r="Q76" i="5"/>
  <c r="Q189" i="5"/>
  <c r="AE121" i="6"/>
  <c r="Y121" i="6"/>
  <c r="AR121" i="6" s="1"/>
  <c r="S11" i="5"/>
  <c r="U11" i="5" s="1"/>
  <c r="Q353" i="5"/>
  <c r="R375" i="5"/>
  <c r="Q427" i="5"/>
  <c r="Q310" i="5"/>
  <c r="Q108" i="5"/>
  <c r="R111" i="5"/>
  <c r="Q209" i="5"/>
  <c r="Q249" i="5"/>
  <c r="R535" i="5"/>
  <c r="R516" i="5"/>
  <c r="R392" i="5"/>
  <c r="Y79" i="6"/>
  <c r="AR79" i="6" s="1"/>
  <c r="Y96" i="6"/>
  <c r="AR96" i="6" s="1"/>
  <c r="R198" i="5"/>
  <c r="Q156" i="5"/>
  <c r="AH9" i="6"/>
  <c r="AH114" i="6"/>
  <c r="AH91" i="6"/>
  <c r="AH83" i="6"/>
  <c r="AH21" i="6"/>
  <c r="AH51" i="6"/>
  <c r="AH85" i="6"/>
  <c r="AH27" i="6"/>
  <c r="AH116" i="6"/>
  <c r="AH109" i="6"/>
  <c r="AH37" i="6"/>
  <c r="AH35" i="6"/>
  <c r="AH126" i="6"/>
  <c r="AH122" i="6"/>
  <c r="AH17" i="6"/>
  <c r="AH78" i="6"/>
  <c r="AH142" i="6"/>
  <c r="AH71" i="6"/>
  <c r="AH47" i="6"/>
  <c r="Y38" i="8"/>
  <c r="AR38" i="8" s="1"/>
  <c r="AH120" i="6"/>
  <c r="AH46" i="6"/>
  <c r="AH95" i="6"/>
  <c r="AH121" i="6"/>
  <c r="AH148" i="6"/>
  <c r="AH104" i="6"/>
  <c r="AH70" i="6"/>
  <c r="AH82" i="6"/>
  <c r="AH20" i="6"/>
  <c r="AH133" i="6"/>
  <c r="AH45" i="6"/>
  <c r="AH19" i="6"/>
  <c r="AH48" i="6"/>
  <c r="AH39" i="6"/>
  <c r="AH138" i="6"/>
  <c r="AH60" i="6"/>
  <c r="AH25" i="6"/>
  <c r="AH67" i="6"/>
  <c r="X102" i="8"/>
  <c r="AJ102" i="8" s="1"/>
  <c r="AE102" i="8"/>
  <c r="Z81" i="5"/>
  <c r="AA434" i="5"/>
  <c r="Z369" i="5"/>
  <c r="AA476" i="5"/>
  <c r="AA164" i="5"/>
  <c r="Z31" i="5"/>
  <c r="Z98" i="5"/>
  <c r="AA357" i="5"/>
  <c r="AA252" i="5"/>
  <c r="AA29" i="5"/>
  <c r="Z519" i="5"/>
  <c r="AA257" i="5"/>
  <c r="Z427" i="5"/>
  <c r="Z199" i="5"/>
  <c r="Z85" i="5"/>
  <c r="AA133" i="5"/>
  <c r="Z219" i="5"/>
  <c r="Z288" i="5"/>
  <c r="AA380" i="5"/>
  <c r="AA365" i="5"/>
  <c r="Z358" i="5"/>
  <c r="AA268" i="5"/>
  <c r="AA44" i="5"/>
  <c r="Z425" i="5"/>
  <c r="AA506" i="5"/>
  <c r="AA371" i="5"/>
  <c r="Z414" i="5"/>
  <c r="Z213" i="5"/>
  <c r="Z242" i="5"/>
  <c r="AA49" i="5"/>
  <c r="Z462" i="5"/>
  <c r="AA188" i="5"/>
  <c r="AA123" i="5"/>
  <c r="Z455" i="5"/>
  <c r="Z183" i="5"/>
  <c r="AA202" i="5"/>
  <c r="AA39" i="5"/>
  <c r="AA521" i="5"/>
  <c r="AA532" i="5"/>
  <c r="Z51" i="5"/>
  <c r="AA104" i="5"/>
  <c r="Z83" i="5"/>
  <c r="Z103" i="5"/>
  <c r="Z478" i="5"/>
  <c r="AA503" i="5"/>
  <c r="Z70" i="5"/>
  <c r="Z493" i="5"/>
  <c r="AA30" i="5"/>
  <c r="Z77" i="5"/>
  <c r="AA47" i="5"/>
  <c r="Z484" i="5"/>
  <c r="AA536" i="5"/>
  <c r="Z520" i="5"/>
  <c r="Z299" i="5"/>
  <c r="AA328" i="5"/>
  <c r="Z464" i="5"/>
  <c r="Z251" i="5"/>
  <c r="AA184" i="5"/>
  <c r="AA142" i="5"/>
  <c r="AA248" i="5"/>
  <c r="Z248" i="5"/>
  <c r="Z116" i="5"/>
  <c r="Z247" i="5"/>
  <c r="Z559" i="5"/>
  <c r="AH96" i="6"/>
  <c r="AH89" i="6"/>
  <c r="AF55" i="8"/>
  <c r="AG55" i="8" s="1"/>
  <c r="AJ98" i="6"/>
  <c r="AJ94" i="6"/>
  <c r="Q366" i="5"/>
  <c r="Q75" i="5"/>
  <c r="Q398" i="5"/>
  <c r="Q527" i="5"/>
  <c r="Q20" i="5"/>
  <c r="Q192" i="5"/>
  <c r="R138" i="5"/>
  <c r="Q536" i="5"/>
  <c r="Q532" i="5"/>
  <c r="AH12" i="6"/>
  <c r="AH77" i="6"/>
  <c r="AH149" i="6"/>
  <c r="AH58" i="6"/>
  <c r="AH117" i="6"/>
  <c r="AH112" i="6"/>
  <c r="AH66" i="6"/>
  <c r="AH84" i="6"/>
  <c r="AH75" i="6"/>
  <c r="AH32" i="6"/>
  <c r="AH33" i="6"/>
  <c r="AH55" i="6"/>
  <c r="AH73" i="6"/>
  <c r="AH16" i="6"/>
  <c r="AH7" i="6"/>
  <c r="R28" i="5"/>
  <c r="Q158" i="5"/>
  <c r="R522" i="5"/>
  <c r="R184" i="5"/>
  <c r="Q139" i="5"/>
  <c r="R143" i="5"/>
  <c r="R361" i="5"/>
  <c r="Q234" i="5"/>
  <c r="R294" i="5"/>
  <c r="Q357" i="5"/>
  <c r="Q458" i="5"/>
  <c r="Q85" i="5"/>
  <c r="R53" i="5"/>
  <c r="R91" i="5"/>
  <c r="Q493" i="5"/>
  <c r="AH103" i="6"/>
  <c r="AH136" i="6"/>
  <c r="AH115" i="6"/>
  <c r="AH79" i="6"/>
  <c r="AH69" i="6"/>
  <c r="AH132" i="6"/>
  <c r="AH98" i="6"/>
  <c r="AH156" i="6"/>
  <c r="AH56" i="6"/>
  <c r="AH119" i="6"/>
  <c r="AH90" i="6"/>
  <c r="AH29" i="6"/>
  <c r="AH81" i="6"/>
  <c r="R320" i="5"/>
  <c r="R142" i="5"/>
  <c r="Q295" i="5"/>
  <c r="R110" i="5"/>
  <c r="AE52" i="6"/>
  <c r="Y145" i="6"/>
  <c r="AR145" i="6" s="1"/>
  <c r="Y52" i="6"/>
  <c r="AR52" i="6" s="1"/>
  <c r="Q559" i="5"/>
  <c r="R349" i="5"/>
  <c r="Q54" i="5"/>
  <c r="R97" i="5"/>
  <c r="Q23" i="5"/>
  <c r="R488" i="5"/>
  <c r="R176" i="5"/>
  <c r="Q336" i="5"/>
  <c r="AH151" i="6"/>
  <c r="AH80" i="6"/>
  <c r="AH135" i="6"/>
  <c r="AH28" i="6"/>
  <c r="AH94" i="6"/>
  <c r="AH44" i="6"/>
  <c r="AH125" i="6"/>
  <c r="AH50" i="6"/>
  <c r="AH18" i="6"/>
  <c r="AH123" i="6"/>
  <c r="AH145" i="6"/>
  <c r="AH26" i="6"/>
  <c r="AH99" i="6"/>
  <c r="AH34" i="6"/>
  <c r="R173" i="5"/>
  <c r="Q22" i="5"/>
  <c r="Q554" i="5"/>
  <c r="Q348" i="5"/>
  <c r="Q447" i="5"/>
  <c r="R288" i="5"/>
  <c r="Q179" i="5"/>
  <c r="Q472" i="5"/>
  <c r="R21" i="5"/>
  <c r="AH92" i="6"/>
  <c r="AH105" i="6"/>
  <c r="AH23" i="6"/>
  <c r="AH49" i="6"/>
  <c r="AH108" i="6"/>
  <c r="AH53" i="6"/>
  <c r="AH36" i="6"/>
  <c r="AH97" i="6"/>
  <c r="AH8" i="6"/>
  <c r="AH129" i="6"/>
  <c r="AH157" i="6"/>
  <c r="AH86" i="6"/>
  <c r="AH144" i="6"/>
  <c r="AH57" i="6"/>
  <c r="AH106" i="6"/>
  <c r="AH38" i="6"/>
  <c r="AH65" i="6"/>
  <c r="AH15" i="6"/>
  <c r="AH42" i="6"/>
  <c r="AH153" i="6"/>
  <c r="AH54" i="6"/>
  <c r="AH11" i="6"/>
  <c r="AH10" i="6"/>
  <c r="AH24" i="6"/>
  <c r="AH88" i="6"/>
  <c r="AH128" i="6"/>
  <c r="AH118" i="6"/>
  <c r="AE145" i="6"/>
  <c r="AJ96" i="6"/>
  <c r="AA318" i="5"/>
  <c r="AH63" i="6"/>
  <c r="AE90" i="6"/>
  <c r="AA54" i="5"/>
  <c r="Z11" i="6"/>
  <c r="AF11" i="6" s="1"/>
  <c r="AG11" i="6" s="1"/>
  <c r="Z40" i="5"/>
  <c r="Z418" i="5"/>
  <c r="Z100" i="5"/>
  <c r="AA549" i="5"/>
  <c r="AE64" i="6"/>
  <c r="Z37" i="5"/>
  <c r="Z135" i="5"/>
  <c r="Z235" i="5"/>
  <c r="AA444" i="5"/>
  <c r="AA178" i="5"/>
  <c r="Z178" i="5"/>
  <c r="Z231" i="5"/>
  <c r="AA231" i="5"/>
  <c r="AA315" i="5"/>
  <c r="Z315" i="5"/>
  <c r="Z481" i="5"/>
  <c r="Z228" i="5"/>
  <c r="AJ64" i="6"/>
  <c r="Z179" i="5"/>
  <c r="AA155" i="5"/>
  <c r="Z518" i="5"/>
  <c r="AA205" i="5"/>
  <c r="AA480" i="5"/>
  <c r="AA321" i="5"/>
  <c r="Z91" i="5"/>
  <c r="Z76" i="5"/>
  <c r="Z45" i="5"/>
  <c r="AA67" i="5"/>
  <c r="AA354" i="5"/>
  <c r="Z290" i="5"/>
  <c r="AA290" i="5"/>
  <c r="AA197" i="5"/>
  <c r="Z197" i="5"/>
  <c r="AA510" i="5"/>
  <c r="Z510" i="5"/>
  <c r="Z311" i="5"/>
  <c r="AA311" i="5"/>
  <c r="AA291" i="5"/>
  <c r="Z112" i="5"/>
  <c r="AE150" i="6"/>
  <c r="AE96" i="6"/>
  <c r="AA468" i="5"/>
  <c r="Z280" i="5"/>
  <c r="AA435" i="5"/>
  <c r="AA270" i="5"/>
  <c r="Z65" i="5"/>
  <c r="Z73" i="5"/>
  <c r="AE94" i="6"/>
  <c r="AA485" i="5"/>
  <c r="Z485" i="5"/>
  <c r="Z24" i="5"/>
  <c r="AA24" i="5"/>
  <c r="Z50" i="5"/>
  <c r="AA50" i="5"/>
  <c r="AA396" i="5"/>
  <c r="AA75" i="5"/>
  <c r="Z61" i="5"/>
  <c r="Z440" i="5"/>
  <c r="Z430" i="5"/>
  <c r="AA234" i="5"/>
  <c r="Z220" i="5"/>
  <c r="Z211" i="5"/>
  <c r="AA215" i="5"/>
  <c r="Z539" i="5"/>
  <c r="AE40" i="6"/>
  <c r="Z236" i="5"/>
  <c r="AA230" i="5"/>
  <c r="Z230" i="5"/>
  <c r="AA403" i="5"/>
  <c r="Z403" i="5"/>
  <c r="Z282" i="5"/>
  <c r="AA282" i="5"/>
  <c r="AA342" i="5"/>
  <c r="AA525" i="5"/>
  <c r="Z495" i="5"/>
  <c r="AA150" i="5"/>
  <c r="AA313" i="5"/>
  <c r="Z298" i="5"/>
  <c r="Z508" i="5"/>
  <c r="Z166" i="5"/>
  <c r="AA405" i="5"/>
  <c r="Z177" i="5"/>
  <c r="Z496" i="5"/>
  <c r="Z88" i="5"/>
  <c r="AA88" i="5"/>
  <c r="Z441" i="5"/>
  <c r="AA441" i="5"/>
  <c r="AA246" i="5"/>
  <c r="Z246" i="5"/>
  <c r="Z93" i="5"/>
  <c r="AH64" i="6"/>
  <c r="AE98" i="6"/>
  <c r="Y94" i="6"/>
  <c r="AR94" i="6" s="1"/>
  <c r="Y98" i="6"/>
  <c r="AR98" i="6" s="1"/>
  <c r="AA189" i="5"/>
  <c r="AA523" i="5"/>
  <c r="AA285" i="5"/>
  <c r="AA499" i="5"/>
  <c r="Z157" i="5"/>
  <c r="Z221" i="5"/>
  <c r="Z82" i="5"/>
  <c r="Z145" i="5"/>
  <c r="AA140" i="5"/>
  <c r="Z140" i="5"/>
  <c r="AA528" i="5"/>
  <c r="Z528" i="5"/>
  <c r="AA206" i="5"/>
  <c r="AA80" i="5"/>
  <c r="Z175" i="5"/>
  <c r="Z346" i="5"/>
  <c r="Z398" i="5"/>
  <c r="Z176" i="5"/>
  <c r="AA394" i="5"/>
  <c r="AA504" i="5"/>
  <c r="AA27" i="5"/>
  <c r="Z385" i="5"/>
  <c r="AA360" i="5"/>
  <c r="Z360" i="5"/>
  <c r="AA163" i="5"/>
  <c r="Z163" i="5"/>
  <c r="AM132" i="6"/>
  <c r="W132" i="6"/>
  <c r="AA475" i="5"/>
  <c r="Z465" i="5"/>
  <c r="Z138" i="5"/>
  <c r="Z190" i="5"/>
  <c r="AA347" i="5"/>
  <c r="AA349" i="5"/>
  <c r="Z239" i="5"/>
  <c r="AA264" i="5"/>
  <c r="AA373" i="5"/>
  <c r="AA130" i="5"/>
  <c r="Z130" i="5"/>
  <c r="AM47" i="6"/>
  <c r="W47" i="6"/>
  <c r="AM135" i="6"/>
  <c r="W135" i="6"/>
  <c r="AA101" i="5"/>
  <c r="Z101" i="5"/>
  <c r="AA381" i="5"/>
  <c r="Z381" i="5"/>
  <c r="AE123" i="6"/>
  <c r="AE144" i="6"/>
  <c r="AE11" i="6"/>
  <c r="AA115" i="5"/>
  <c r="AA62" i="5"/>
  <c r="Z204" i="5"/>
  <c r="Z338" i="5"/>
  <c r="AA124" i="5"/>
  <c r="Z124" i="5"/>
  <c r="AM7" i="6"/>
  <c r="W7" i="6"/>
  <c r="Y7" i="6" s="1"/>
  <c r="AR7" i="6" s="1"/>
  <c r="Z152" i="5"/>
  <c r="AA152" i="5"/>
  <c r="AM89" i="6"/>
  <c r="W89" i="6"/>
  <c r="AH40" i="6"/>
  <c r="Z544" i="5"/>
  <c r="AA245" i="5"/>
  <c r="AA447" i="5"/>
  <c r="Z159" i="5"/>
  <c r="AA255" i="5"/>
  <c r="AA391" i="5"/>
  <c r="Z514" i="5"/>
  <c r="AA312" i="5"/>
  <c r="Z312" i="5"/>
  <c r="Z488" i="5"/>
  <c r="AA488" i="5"/>
  <c r="AA222" i="5"/>
  <c r="Z222" i="5"/>
  <c r="AA558" i="5"/>
  <c r="AJ40" i="6"/>
  <c r="Z470" i="5"/>
  <c r="AA172" i="5"/>
  <c r="Z466" i="5"/>
  <c r="Z279" i="5"/>
  <c r="Z46" i="5"/>
  <c r="Z429" i="5"/>
  <c r="AA534" i="5"/>
  <c r="Z534" i="5"/>
  <c r="Z317" i="5"/>
  <c r="AA317" i="5"/>
  <c r="Z278" i="5"/>
  <c r="AA278" i="5"/>
  <c r="AA136" i="5"/>
  <c r="Z136" i="5"/>
  <c r="AM82" i="6"/>
  <c r="W82" i="6"/>
  <c r="Z424" i="5"/>
  <c r="AA424" i="5"/>
  <c r="Y123" i="6"/>
  <c r="AR123" i="6" s="1"/>
  <c r="AA400" i="5"/>
  <c r="Z376" i="5"/>
  <c r="AA60" i="5"/>
  <c r="Z58" i="5"/>
  <c r="Z168" i="5"/>
  <c r="Z419" i="5"/>
  <c r="Z467" i="5"/>
  <c r="Z340" i="5"/>
  <c r="AA388" i="5"/>
  <c r="Z388" i="5"/>
  <c r="AM141" i="6"/>
  <c r="W141" i="6"/>
  <c r="Y144" i="6"/>
  <c r="AR144" i="6" s="1"/>
  <c r="AA301" i="5"/>
  <c r="Z225" i="5"/>
  <c r="Z320" i="5"/>
  <c r="Z527" i="5"/>
  <c r="AA494" i="5"/>
  <c r="AA451" i="5"/>
  <c r="AA129" i="5"/>
  <c r="Z129" i="5"/>
  <c r="Z143" i="5"/>
  <c r="AA143" i="5"/>
  <c r="AA284" i="5"/>
  <c r="Z284" i="5"/>
  <c r="AA293" i="5"/>
  <c r="Z293" i="5"/>
  <c r="AM44" i="6"/>
  <c r="W44" i="6"/>
  <c r="Z390" i="5"/>
  <c r="Z406" i="5"/>
  <c r="Z208" i="5"/>
  <c r="Z120" i="5"/>
  <c r="Z23" i="5"/>
  <c r="Z64" i="5"/>
  <c r="Z533" i="5"/>
  <c r="AA109" i="5"/>
  <c r="Z109" i="5"/>
  <c r="Z41" i="5"/>
  <c r="AA41" i="5"/>
  <c r="AM48" i="6"/>
  <c r="W48" i="6"/>
  <c r="AM143" i="6"/>
  <c r="W143" i="6"/>
  <c r="AJ63" i="6"/>
  <c r="AE22" i="6"/>
  <c r="AE151" i="6"/>
  <c r="Y151" i="6"/>
  <c r="AR151" i="6" s="1"/>
  <c r="AA22" i="5"/>
  <c r="Z22" i="5"/>
  <c r="AE38" i="8"/>
  <c r="AF66" i="8"/>
  <c r="AG66" i="8" s="1"/>
  <c r="AH134" i="6"/>
  <c r="AH147" i="6"/>
  <c r="AH111" i="6"/>
  <c r="AH150" i="6"/>
  <c r="AH13" i="6"/>
  <c r="AH110" i="6"/>
  <c r="AH154" i="6"/>
  <c r="AH131" i="6"/>
  <c r="AH31" i="6"/>
  <c r="AH124" i="6"/>
  <c r="AH43" i="6"/>
  <c r="AH141" i="6"/>
  <c r="AH140" i="6"/>
  <c r="AH139" i="6"/>
  <c r="AH146" i="6"/>
  <c r="AH87" i="6"/>
  <c r="AH130" i="6"/>
  <c r="AH152" i="6"/>
  <c r="AH52" i="6"/>
  <c r="AH41" i="6"/>
  <c r="AH102" i="6"/>
  <c r="AH113" i="6"/>
  <c r="AH76" i="6"/>
  <c r="AH127" i="6"/>
  <c r="AH14" i="6"/>
  <c r="AH137" i="6"/>
  <c r="AH62" i="6"/>
  <c r="AH30" i="6"/>
  <c r="AH93" i="6"/>
  <c r="AH72" i="6"/>
  <c r="AH155" i="6"/>
  <c r="AH22" i="6"/>
  <c r="AH143" i="6"/>
  <c r="AH100" i="6"/>
  <c r="AH101" i="6"/>
  <c r="R511" i="5"/>
  <c r="Q246" i="5"/>
  <c r="Q446" i="5"/>
  <c r="Q429" i="5"/>
  <c r="Q233" i="5"/>
  <c r="Q224" i="5"/>
  <c r="R326" i="5"/>
  <c r="Q330" i="5"/>
  <c r="Q270" i="5"/>
  <c r="R220" i="5"/>
  <c r="AF27" i="8"/>
  <c r="AG27" i="8" s="1"/>
  <c r="Q517" i="5"/>
  <c r="R503" i="5"/>
  <c r="Q459" i="5"/>
  <c r="R495" i="5"/>
  <c r="Q81" i="5"/>
  <c r="R61" i="5"/>
  <c r="AH33" i="8"/>
  <c r="R500" i="5"/>
  <c r="R245" i="5"/>
  <c r="R103" i="5"/>
  <c r="R40" i="5"/>
  <c r="R151" i="5"/>
  <c r="AF9" i="8"/>
  <c r="AG9" i="8" s="1"/>
  <c r="Q461" i="5"/>
  <c r="R129" i="5"/>
  <c r="Q132" i="5"/>
  <c r="R216" i="5"/>
  <c r="Q465" i="5"/>
  <c r="Q290" i="5"/>
  <c r="R227" i="5"/>
  <c r="Q120" i="5"/>
  <c r="R512" i="5"/>
  <c r="Q206" i="5"/>
  <c r="Q71" i="5"/>
  <c r="R338" i="5"/>
  <c r="Q208" i="5"/>
  <c r="Q335" i="5"/>
  <c r="R376" i="5"/>
  <c r="Q319" i="5"/>
  <c r="AH120" i="8"/>
  <c r="AH46" i="8"/>
  <c r="AH146" i="8"/>
  <c r="AH82" i="8"/>
  <c r="AH61" i="8"/>
  <c r="AH39" i="8"/>
  <c r="AH86" i="8"/>
  <c r="AH81" i="8"/>
  <c r="AH44" i="8"/>
  <c r="AH88" i="8"/>
  <c r="AH76" i="8"/>
  <c r="AH117" i="8"/>
  <c r="Q112" i="5"/>
  <c r="R278" i="5"/>
  <c r="Q322" i="5"/>
  <c r="R311" i="5"/>
  <c r="AH105" i="8"/>
  <c r="AH31" i="8"/>
  <c r="AH107" i="8"/>
  <c r="Q482" i="5"/>
  <c r="R166" i="5"/>
  <c r="R498" i="5"/>
  <c r="AH41" i="8"/>
  <c r="AH52" i="8"/>
  <c r="AH53" i="8"/>
  <c r="AH18" i="8"/>
  <c r="AH32" i="8"/>
  <c r="Q60" i="5"/>
  <c r="Q445" i="5"/>
  <c r="Q439" i="5"/>
  <c r="Q144" i="5"/>
  <c r="AH118" i="8"/>
  <c r="AH126" i="8"/>
  <c r="AH11" i="8"/>
  <c r="AH99" i="8"/>
  <c r="AH122" i="8"/>
  <c r="AH15" i="8"/>
  <c r="AH128" i="8"/>
  <c r="AH92" i="8"/>
  <c r="AH155" i="8"/>
  <c r="AH149" i="8"/>
  <c r="AH28" i="8"/>
  <c r="AH127" i="8"/>
  <c r="AH23" i="8"/>
  <c r="Q393" i="5"/>
  <c r="Q223" i="5"/>
  <c r="Q45" i="5"/>
  <c r="Q292" i="5"/>
  <c r="Q529" i="5"/>
  <c r="AH140" i="8"/>
  <c r="AH112" i="8"/>
  <c r="AH121" i="8"/>
  <c r="AH47" i="8"/>
  <c r="AH115" i="8"/>
  <c r="AH22" i="8"/>
  <c r="R436" i="5"/>
  <c r="Q553" i="5"/>
  <c r="AH157" i="8"/>
  <c r="AH7" i="8"/>
  <c r="AH63" i="8"/>
  <c r="AH20" i="8"/>
  <c r="AH9" i="8"/>
  <c r="AH83" i="8"/>
  <c r="AH59" i="8"/>
  <c r="AH8" i="8"/>
  <c r="AH87" i="8"/>
  <c r="AF143" i="8"/>
  <c r="AG143" i="8" s="1"/>
  <c r="AF152" i="8"/>
  <c r="AG152" i="8" s="1"/>
  <c r="AF23" i="8"/>
  <c r="AG23" i="8" s="1"/>
  <c r="Z78" i="8"/>
  <c r="AN78" i="8" s="1"/>
  <c r="AA56" i="8"/>
  <c r="AQ56" i="8" s="1"/>
  <c r="AA34" i="8"/>
  <c r="AQ34" i="8" s="1"/>
  <c r="AF106" i="8"/>
  <c r="AG106" i="8" s="1"/>
  <c r="AA114" i="8"/>
  <c r="AQ114" i="8" s="1"/>
  <c r="Z102" i="8"/>
  <c r="AN102" i="8" s="1"/>
  <c r="Z91" i="8"/>
  <c r="AN91" i="8" s="1"/>
  <c r="Z51" i="8"/>
  <c r="AN51" i="8" s="1"/>
  <c r="AA42" i="8"/>
  <c r="AQ42" i="8" s="1"/>
  <c r="AA134" i="8"/>
  <c r="AP134" i="8" s="1"/>
  <c r="Z87" i="8"/>
  <c r="AN87" i="8" s="1"/>
  <c r="AQ7" i="8"/>
  <c r="AP7" i="8"/>
  <c r="AC7" i="8"/>
  <c r="AD7" i="8" s="1"/>
  <c r="AQ106" i="8"/>
  <c r="AP106" i="8"/>
  <c r="AC106" i="8"/>
  <c r="AD106" i="8" s="1"/>
  <c r="AJ79" i="8"/>
  <c r="AJ94" i="8"/>
  <c r="AJ87" i="8"/>
  <c r="AC23" i="8"/>
  <c r="AD23" i="8" s="1"/>
  <c r="AP23" i="8"/>
  <c r="AQ23" i="8"/>
  <c r="AQ9" i="8"/>
  <c r="AP9" i="8"/>
  <c r="AC9" i="8"/>
  <c r="AD9" i="8" s="1"/>
  <c r="AJ72" i="8"/>
  <c r="AJ156" i="8"/>
  <c r="AJ145" i="8"/>
  <c r="AQ152" i="8"/>
  <c r="AP152" i="8"/>
  <c r="AC152" i="8"/>
  <c r="AD152" i="8" s="1"/>
  <c r="AH78" i="8"/>
  <c r="AJ110" i="8"/>
  <c r="AH49" i="8"/>
  <c r="AH85" i="8"/>
  <c r="AH96" i="8"/>
  <c r="AF138" i="8"/>
  <c r="AG138" i="8" s="1"/>
  <c r="AK9" i="8"/>
  <c r="AL9" i="8" s="1"/>
  <c r="AO9" i="8" s="1"/>
  <c r="AJ9" i="8"/>
  <c r="AF112" i="8"/>
  <c r="AG112" i="8" s="1"/>
  <c r="AH114" i="8"/>
  <c r="AJ67" i="8"/>
  <c r="Z34" i="8"/>
  <c r="AH109" i="8"/>
  <c r="AQ155" i="8"/>
  <c r="AP155" i="8"/>
  <c r="AC155" i="8"/>
  <c r="AD155" i="8" s="1"/>
  <c r="AH123" i="8"/>
  <c r="Z31" i="8"/>
  <c r="AK31" i="8" s="1"/>
  <c r="AL31" i="8" s="1"/>
  <c r="AJ111" i="8"/>
  <c r="AH19" i="8"/>
  <c r="AC50" i="8"/>
  <c r="AD50" i="8" s="1"/>
  <c r="AP50" i="8"/>
  <c r="AQ50" i="8"/>
  <c r="AH124" i="8"/>
  <c r="AA102" i="8"/>
  <c r="Z146" i="8"/>
  <c r="AH24" i="8"/>
  <c r="AH93" i="8"/>
  <c r="AA51" i="8"/>
  <c r="AA91" i="8"/>
  <c r="Z121" i="8"/>
  <c r="AH43" i="8"/>
  <c r="AH111" i="8"/>
  <c r="AJ104" i="8"/>
  <c r="AA87" i="8"/>
  <c r="AH142" i="8"/>
  <c r="AJ38" i="8"/>
  <c r="AJ96" i="8"/>
  <c r="AH131" i="8"/>
  <c r="AH65" i="8"/>
  <c r="Z33" i="8"/>
  <c r="AJ63" i="8"/>
  <c r="AF7" i="8"/>
  <c r="AG7" i="8" s="1"/>
  <c r="Z153" i="8"/>
  <c r="AH54" i="8"/>
  <c r="AH98" i="8"/>
  <c r="AJ17" i="8"/>
  <c r="AA13" i="8"/>
  <c r="AQ123" i="8"/>
  <c r="AA31" i="8"/>
  <c r="AJ35" i="8"/>
  <c r="AJ151" i="8"/>
  <c r="AA30" i="8"/>
  <c r="AA148" i="8"/>
  <c r="AH150" i="8"/>
  <c r="Z45" i="8"/>
  <c r="AH35" i="8"/>
  <c r="AH80" i="8"/>
  <c r="Z139" i="8"/>
  <c r="AH145" i="8"/>
  <c r="AH151" i="8"/>
  <c r="AH70" i="8"/>
  <c r="AH101" i="8"/>
  <c r="Z53" i="8"/>
  <c r="AH104" i="8"/>
  <c r="AJ97" i="8"/>
  <c r="Z56" i="8"/>
  <c r="AJ64" i="8"/>
  <c r="AJ65" i="8"/>
  <c r="AH69" i="8"/>
  <c r="AJ41" i="8"/>
  <c r="AC95" i="8"/>
  <c r="AD95" i="8" s="1"/>
  <c r="AQ95" i="8"/>
  <c r="AP95" i="8"/>
  <c r="AH137" i="8"/>
  <c r="AH38" i="8"/>
  <c r="AJ146" i="8"/>
  <c r="AC66" i="8"/>
  <c r="AD66" i="8" s="1"/>
  <c r="AQ66" i="8"/>
  <c r="AP66" i="8"/>
  <c r="AJ70" i="8"/>
  <c r="AJ107" i="8"/>
  <c r="AJ83" i="8"/>
  <c r="AJ39" i="8"/>
  <c r="Q537" i="5"/>
  <c r="Q423" i="5"/>
  <c r="R127" i="5"/>
  <c r="Q26" i="5"/>
  <c r="Q38" i="5"/>
  <c r="R122" i="5"/>
  <c r="Q339" i="5"/>
  <c r="R314" i="5"/>
  <c r="AA33" i="8"/>
  <c r="AP118" i="8"/>
  <c r="AC118" i="8"/>
  <c r="AD118" i="8" s="1"/>
  <c r="AQ118" i="8"/>
  <c r="AH138" i="8"/>
  <c r="AJ7" i="8"/>
  <c r="AK7" i="8"/>
  <c r="AL7" i="8" s="1"/>
  <c r="AO7" i="8" s="1"/>
  <c r="AH48" i="8"/>
  <c r="AH58" i="8"/>
  <c r="AH147" i="8"/>
  <c r="AH153" i="8"/>
  <c r="AA98" i="8"/>
  <c r="AJ136" i="8"/>
  <c r="AH55" i="8"/>
  <c r="AJ11" i="8"/>
  <c r="AH73" i="8"/>
  <c r="AH116" i="8"/>
  <c r="AJ115" i="8"/>
  <c r="Z30" i="8"/>
  <c r="Z148" i="8"/>
  <c r="AH45" i="8"/>
  <c r="AJ61" i="8"/>
  <c r="AH156" i="8"/>
  <c r="AA139" i="8"/>
  <c r="AA151" i="8"/>
  <c r="AJ36" i="8"/>
  <c r="AH79" i="8"/>
  <c r="AH84" i="8"/>
  <c r="AH154" i="8"/>
  <c r="Z133" i="8"/>
  <c r="AA53" i="8"/>
  <c r="AA119" i="8"/>
  <c r="AJ132" i="8"/>
  <c r="AJ118" i="8"/>
  <c r="AK118" i="8"/>
  <c r="AL118" i="8" s="1"/>
  <c r="AO118" i="8" s="1"/>
  <c r="AH113" i="8"/>
  <c r="AH97" i="8"/>
  <c r="AH132" i="8"/>
  <c r="AH37" i="8"/>
  <c r="AA125" i="8"/>
  <c r="AH95" i="8"/>
  <c r="AJ112" i="8"/>
  <c r="AK112" i="8"/>
  <c r="AL112" i="8" s="1"/>
  <c r="AO112" i="8" s="1"/>
  <c r="AJ16" i="8"/>
  <c r="AA11" i="8"/>
  <c r="AA153" i="8"/>
  <c r="AQ54" i="8"/>
  <c r="AC54" i="8"/>
  <c r="AD54" i="8" s="1"/>
  <c r="Z98" i="8"/>
  <c r="AK98" i="8" s="1"/>
  <c r="AL98" i="8" s="1"/>
  <c r="AJ116" i="8"/>
  <c r="AQ55" i="8"/>
  <c r="AP55" i="8"/>
  <c r="AC55" i="8"/>
  <c r="AD55" i="8" s="1"/>
  <c r="AH129" i="8"/>
  <c r="AH14" i="8"/>
  <c r="Z81" i="8"/>
  <c r="AJ98" i="8"/>
  <c r="AH136" i="8"/>
  <c r="AJ106" i="8"/>
  <c r="AK106" i="8"/>
  <c r="AL106" i="8" s="1"/>
  <c r="AO106" i="8" s="1"/>
  <c r="AH25" i="8"/>
  <c r="AH68" i="8"/>
  <c r="AH110" i="8"/>
  <c r="AH57" i="8"/>
  <c r="AA45" i="8"/>
  <c r="AH67" i="8"/>
  <c r="AH106" i="8"/>
  <c r="AH143" i="8"/>
  <c r="AA35" i="8"/>
  <c r="AA80" i="8"/>
  <c r="Z151" i="8"/>
  <c r="AH66" i="8"/>
  <c r="Z79" i="8"/>
  <c r="AH133" i="8"/>
  <c r="AJ29" i="8"/>
  <c r="Z119" i="8"/>
  <c r="AF118" i="8"/>
  <c r="AG118" i="8" s="1"/>
  <c r="AH71" i="8"/>
  <c r="AH94" i="8"/>
  <c r="AH29" i="8"/>
  <c r="AH56" i="8"/>
  <c r="Z37" i="8"/>
  <c r="AK37" i="8" s="1"/>
  <c r="AL37" i="8" s="1"/>
  <c r="AJ23" i="8"/>
  <c r="AK23" i="8"/>
  <c r="AL23" i="8" s="1"/>
  <c r="AO23" i="8" s="1"/>
  <c r="AH108" i="8"/>
  <c r="AH125" i="8"/>
  <c r="AH12" i="8"/>
  <c r="AH89" i="8"/>
  <c r="AH141" i="8"/>
  <c r="AP138" i="8"/>
  <c r="AQ138" i="8"/>
  <c r="AC138" i="8"/>
  <c r="AD138" i="8" s="1"/>
  <c r="Q450" i="5"/>
  <c r="R494" i="5"/>
  <c r="Q433" i="5"/>
  <c r="R226" i="5"/>
  <c r="Q101" i="5"/>
  <c r="Q154" i="5"/>
  <c r="R391" i="5"/>
  <c r="Q464" i="5"/>
  <c r="R274" i="5"/>
  <c r="Q455" i="5"/>
  <c r="Q337" i="5"/>
  <c r="Q161" i="5"/>
  <c r="R104" i="5"/>
  <c r="Q102" i="5"/>
  <c r="R163" i="5"/>
  <c r="Q74" i="5"/>
  <c r="R490" i="5"/>
  <c r="AH74" i="8"/>
  <c r="Z134" i="8"/>
  <c r="AJ130" i="8"/>
  <c r="AK152" i="8"/>
  <c r="AL152" i="8" s="1"/>
  <c r="AO152" i="8" s="1"/>
  <c r="AH13" i="8"/>
  <c r="AA81" i="8"/>
  <c r="AA136" i="8"/>
  <c r="AJ47" i="8"/>
  <c r="AH30" i="8"/>
  <c r="AH72" i="8"/>
  <c r="AH148" i="8"/>
  <c r="AH40" i="8"/>
  <c r="AH139" i="8"/>
  <c r="AH26" i="8"/>
  <c r="AJ82" i="8"/>
  <c r="AH152" i="8"/>
  <c r="AA79" i="8"/>
  <c r="AA133" i="8"/>
  <c r="AJ71" i="8"/>
  <c r="AH42" i="8"/>
  <c r="AH135" i="8"/>
  <c r="AF95" i="8"/>
  <c r="AG95" i="8" s="1"/>
  <c r="AH75" i="8"/>
  <c r="Z125" i="8"/>
  <c r="AH144" i="8"/>
  <c r="AH10" i="8"/>
  <c r="AH62" i="8"/>
  <c r="AH100" i="8"/>
  <c r="AJ37" i="8"/>
  <c r="Z65" i="8"/>
  <c r="AK65" i="8" s="1"/>
  <c r="AL65" i="8" s="1"/>
  <c r="AJ129" i="8"/>
  <c r="AH21" i="8"/>
  <c r="AQ92" i="8"/>
  <c r="AP92" i="8"/>
  <c r="AC92" i="8"/>
  <c r="AD92" i="8" s="1"/>
  <c r="AJ55" i="8"/>
  <c r="AK55" i="8"/>
  <c r="AL55" i="8" s="1"/>
  <c r="AO55" i="8" s="1"/>
  <c r="AF90" i="8"/>
  <c r="AG90" i="8" s="1"/>
  <c r="Z114" i="8"/>
  <c r="AK114" i="8" s="1"/>
  <c r="AL114" i="8" s="1"/>
  <c r="AJ31" i="8"/>
  <c r="AH134" i="8"/>
  <c r="AH34" i="8"/>
  <c r="AP112" i="8"/>
  <c r="AC112" i="8"/>
  <c r="AD112" i="8" s="1"/>
  <c r="AQ112" i="8"/>
  <c r="AH90" i="8"/>
  <c r="AJ114" i="8"/>
  <c r="Z136" i="8"/>
  <c r="AK136" i="8" s="1"/>
  <c r="AL136" i="8" s="1"/>
  <c r="AH17" i="8"/>
  <c r="AJ40" i="8"/>
  <c r="AH50" i="8"/>
  <c r="AH102" i="8"/>
  <c r="AA146" i="8"/>
  <c r="AH27" i="8"/>
  <c r="AH51" i="8"/>
  <c r="AH77" i="8"/>
  <c r="AH91" i="8"/>
  <c r="AH130" i="8"/>
  <c r="AH16" i="8"/>
  <c r="AH36" i="8"/>
  <c r="AJ66" i="8"/>
  <c r="AK66" i="8"/>
  <c r="AL66" i="8" s="1"/>
  <c r="AO66" i="8" s="1"/>
  <c r="AA121" i="8"/>
  <c r="AH103" i="8"/>
  <c r="Z42" i="8"/>
  <c r="AH119" i="8"/>
  <c r="AJ62" i="8"/>
  <c r="AJ125" i="8"/>
  <c r="AJ95" i="8"/>
  <c r="AK95" i="8"/>
  <c r="AL95" i="8" s="1"/>
  <c r="AO95" i="8" s="1"/>
  <c r="AH60" i="8"/>
  <c r="AJ126" i="8"/>
  <c r="AQ127" i="8"/>
  <c r="AP127" i="8"/>
  <c r="AC127" i="8"/>
  <c r="AD127" i="8" s="1"/>
  <c r="AA65" i="8"/>
  <c r="B39" i="5"/>
  <c r="AA101" i="6"/>
  <c r="AC101" i="6" s="1"/>
  <c r="AD101" i="6" s="1"/>
  <c r="AF300" i="5"/>
  <c r="AH300" i="5" s="1"/>
  <c r="AF28" i="5"/>
  <c r="AG28" i="5" s="1"/>
  <c r="AF11" i="5"/>
  <c r="AG11" i="5" s="1"/>
  <c r="AF399" i="5"/>
  <c r="AG399" i="5" s="1"/>
  <c r="AF163" i="5"/>
  <c r="AG163" i="5" s="1"/>
  <c r="AF370" i="5"/>
  <c r="AH370" i="5" s="1"/>
  <c r="AF106" i="5"/>
  <c r="AH106" i="5" s="1"/>
  <c r="AF426" i="5"/>
  <c r="AH426" i="5" s="1"/>
  <c r="AF246" i="5"/>
  <c r="AG246" i="5" s="1"/>
  <c r="AF335" i="5"/>
  <c r="AH335" i="5" s="1"/>
  <c r="AF288" i="5"/>
  <c r="AG288" i="5" s="1"/>
  <c r="AF527" i="5"/>
  <c r="AG527" i="5" s="1"/>
  <c r="AF29" i="5"/>
  <c r="AH29" i="5" s="1"/>
  <c r="Z39" i="6"/>
  <c r="AK39" i="6" s="1"/>
  <c r="AL39" i="6" s="1"/>
  <c r="AA39" i="6"/>
  <c r="AC39" i="6" s="1"/>
  <c r="AD39" i="6" s="1"/>
  <c r="AF466" i="5"/>
  <c r="AH466" i="5" s="1"/>
  <c r="AF440" i="5"/>
  <c r="AH440" i="5" s="1"/>
  <c r="AF516" i="5"/>
  <c r="AG516" i="5" s="1"/>
  <c r="AF488" i="5"/>
  <c r="AG488" i="5" s="1"/>
  <c r="AF201" i="5"/>
  <c r="AH201" i="5" s="1"/>
  <c r="AF245" i="5"/>
  <c r="AG245" i="5" s="1"/>
  <c r="AF27" i="5"/>
  <c r="AH27" i="5" s="1"/>
  <c r="AF100" i="5"/>
  <c r="AG100" i="5" s="1"/>
  <c r="AF204" i="5"/>
  <c r="AH204" i="5" s="1"/>
  <c r="AF130" i="5"/>
  <c r="AH130" i="5" s="1"/>
  <c r="AF31" i="5"/>
  <c r="AH31" i="5" s="1"/>
  <c r="AF380" i="5"/>
  <c r="AH380" i="5" s="1"/>
  <c r="AF12" i="5"/>
  <c r="AH12" i="5" s="1"/>
  <c r="AF558" i="5"/>
  <c r="AH558" i="5" s="1"/>
  <c r="AF178" i="5"/>
  <c r="AH178" i="5" s="1"/>
  <c r="AF40" i="5"/>
  <c r="AH40" i="5" s="1"/>
  <c r="AF476" i="5"/>
  <c r="AH476" i="5" s="1"/>
  <c r="AF196" i="5"/>
  <c r="AH196" i="5" s="1"/>
  <c r="AF7" i="5"/>
  <c r="AG7" i="5" s="1"/>
  <c r="AF397" i="5"/>
  <c r="AG397" i="5" s="1"/>
  <c r="AF493" i="5"/>
  <c r="AH493" i="5" s="1"/>
  <c r="AF389" i="5"/>
  <c r="AG389" i="5" s="1"/>
  <c r="AF396" i="5"/>
  <c r="AH396" i="5" s="1"/>
  <c r="AF301" i="5"/>
  <c r="AH301" i="5" s="1"/>
  <c r="AF347" i="5"/>
  <c r="AG347" i="5" s="1"/>
  <c r="AF117" i="5"/>
  <c r="AH117" i="5" s="1"/>
  <c r="AF150" i="5"/>
  <c r="AH150" i="5" s="1"/>
  <c r="AF30" i="5"/>
  <c r="AH30" i="5" s="1"/>
  <c r="AF515" i="5"/>
  <c r="AG515" i="5" s="1"/>
  <c r="AF95" i="5"/>
  <c r="AG95" i="5" s="1"/>
  <c r="AF439" i="5"/>
  <c r="AG439" i="5" s="1"/>
  <c r="AF471" i="5"/>
  <c r="AG471" i="5" s="1"/>
  <c r="AF141" i="5"/>
  <c r="AH141" i="5" s="1"/>
  <c r="B69" i="5"/>
  <c r="AF548" i="5"/>
  <c r="AG548" i="5" s="1"/>
  <c r="AF496" i="5"/>
  <c r="AH496" i="5" s="1"/>
  <c r="AF391" i="5"/>
  <c r="AG391" i="5" s="1"/>
  <c r="AF354" i="5"/>
  <c r="AH354" i="5" s="1"/>
  <c r="AF249" i="5"/>
  <c r="AG249" i="5" s="1"/>
  <c r="AF352" i="5"/>
  <c r="AG352" i="5" s="1"/>
  <c r="AF107" i="5"/>
  <c r="AG107" i="5" s="1"/>
  <c r="AF203" i="5"/>
  <c r="AG203" i="5" s="1"/>
  <c r="AF91" i="5"/>
  <c r="AG91" i="5" s="1"/>
  <c r="AF225" i="5"/>
  <c r="AG225" i="5" s="1"/>
  <c r="AF39" i="5"/>
  <c r="AG39" i="5" s="1"/>
  <c r="AF534" i="5"/>
  <c r="AG534" i="5" s="1"/>
  <c r="AF514" i="5"/>
  <c r="AH514" i="5" s="1"/>
  <c r="AF528" i="5"/>
  <c r="AG528" i="5" s="1"/>
  <c r="AF535" i="5"/>
  <c r="AG535" i="5" s="1"/>
  <c r="AF62" i="5"/>
  <c r="AH62" i="5" s="1"/>
  <c r="AF244" i="5"/>
  <c r="AG244" i="5" s="1"/>
  <c r="AF240" i="5"/>
  <c r="AG240" i="5" s="1"/>
  <c r="AF43" i="5"/>
  <c r="AH43" i="5" s="1"/>
  <c r="AF156" i="5"/>
  <c r="AG156" i="5" s="1"/>
  <c r="AF207" i="5"/>
  <c r="AH207" i="5" s="1"/>
  <c r="AF41" i="5"/>
  <c r="AG41" i="5" s="1"/>
  <c r="AF115" i="5"/>
  <c r="AH115" i="5" s="1"/>
  <c r="AF470" i="5"/>
  <c r="AH470" i="5" s="1"/>
  <c r="AF105" i="5"/>
  <c r="AG105" i="5" s="1"/>
  <c r="AF538" i="5"/>
  <c r="AG538" i="5" s="1"/>
  <c r="AF511" i="5"/>
  <c r="AG511" i="5" s="1"/>
  <c r="AF510" i="5"/>
  <c r="AG510" i="5" s="1"/>
  <c r="AF512" i="5"/>
  <c r="AH512" i="5" s="1"/>
  <c r="AF416" i="5"/>
  <c r="AG416" i="5" s="1"/>
  <c r="AF217" i="5"/>
  <c r="AG217" i="5" s="1"/>
  <c r="AF215" i="5"/>
  <c r="AG215" i="5" s="1"/>
  <c r="AF77" i="5"/>
  <c r="AH77" i="5" s="1"/>
  <c r="AF134" i="5"/>
  <c r="AH134" i="5" s="1"/>
  <c r="AF187" i="5"/>
  <c r="AH187" i="5" s="1"/>
  <c r="AF47" i="5"/>
  <c r="AH47" i="5" s="1"/>
  <c r="AF230" i="5"/>
  <c r="AH230" i="5" s="1"/>
  <c r="AF79" i="5"/>
  <c r="AG79" i="5" s="1"/>
  <c r="AF424" i="5"/>
  <c r="AG424" i="5" s="1"/>
  <c r="AF405" i="5"/>
  <c r="AH405" i="5" s="1"/>
  <c r="AF377" i="5"/>
  <c r="AH377" i="5" s="1"/>
  <c r="AF436" i="5"/>
  <c r="AH436" i="5" s="1"/>
  <c r="AF323" i="5"/>
  <c r="AH323" i="5" s="1"/>
  <c r="AF318" i="5"/>
  <c r="AH318" i="5" s="1"/>
  <c r="AF340" i="5"/>
  <c r="AG340" i="5" s="1"/>
  <c r="AF232" i="5"/>
  <c r="AH232" i="5" s="1"/>
  <c r="AF22" i="5"/>
  <c r="AH22" i="5" s="1"/>
  <c r="AF44" i="5"/>
  <c r="AH44" i="5" s="1"/>
  <c r="AF93" i="5"/>
  <c r="AG93" i="5" s="1"/>
  <c r="AF312" i="5"/>
  <c r="AH312" i="5" s="1"/>
  <c r="AF205" i="5"/>
  <c r="AG205" i="5" s="1"/>
  <c r="AF251" i="5"/>
  <c r="AH251" i="5" s="1"/>
  <c r="AF325" i="5"/>
  <c r="AG325" i="5" s="1"/>
  <c r="AF222" i="5"/>
  <c r="AH222" i="5" s="1"/>
  <c r="AF139" i="5"/>
  <c r="AH139" i="5" s="1"/>
  <c r="AF457" i="5"/>
  <c r="AH457" i="5" s="1"/>
  <c r="AF329" i="5"/>
  <c r="AG329" i="5" s="1"/>
  <c r="AF210" i="5"/>
  <c r="AH210" i="5" s="1"/>
  <c r="AF229" i="5"/>
  <c r="AH229" i="5" s="1"/>
  <c r="AF262" i="5"/>
  <c r="AG262" i="5" s="1"/>
  <c r="AF294" i="5"/>
  <c r="AG294" i="5" s="1"/>
  <c r="AF34" i="5"/>
  <c r="AH34" i="5" s="1"/>
  <c r="AF158" i="5"/>
  <c r="AH158" i="5" s="1"/>
  <c r="AF345" i="5"/>
  <c r="AH345" i="5" s="1"/>
  <c r="X26" i="6"/>
  <c r="AA26" i="6" s="1"/>
  <c r="X24" i="6"/>
  <c r="AA24" i="6" s="1"/>
  <c r="X12" i="6"/>
  <c r="AA12" i="6" s="1"/>
  <c r="X19" i="6"/>
  <c r="AA19" i="6" s="1"/>
  <c r="X29" i="6"/>
  <c r="X30" i="6"/>
  <c r="X9" i="6"/>
  <c r="AA9" i="6" s="1"/>
  <c r="X35" i="6"/>
  <c r="X33" i="6"/>
  <c r="X31" i="6"/>
  <c r="X34" i="6"/>
  <c r="X32" i="6"/>
  <c r="X36" i="6"/>
  <c r="X18" i="6"/>
  <c r="AA18" i="6" s="1"/>
  <c r="X16" i="6"/>
  <c r="AA16" i="6" s="1"/>
  <c r="X21" i="6"/>
  <c r="AA21" i="6" s="1"/>
  <c r="X14" i="6"/>
  <c r="AA14" i="6" s="1"/>
  <c r="X13" i="6"/>
  <c r="AA13" i="6" s="1"/>
  <c r="X22" i="6"/>
  <c r="AA22" i="6" s="1"/>
  <c r="X17" i="6"/>
  <c r="AA17" i="6" s="1"/>
  <c r="AQ17" i="6" s="1"/>
  <c r="X15" i="6"/>
  <c r="AA15" i="6" s="1"/>
  <c r="X25" i="6"/>
  <c r="AA25" i="6" s="1"/>
  <c r="X23" i="6"/>
  <c r="AA23" i="6" s="1"/>
  <c r="X28" i="6"/>
  <c r="X10" i="6"/>
  <c r="AA10" i="6" s="1"/>
  <c r="AP10" i="6" s="1"/>
  <c r="X8" i="6"/>
  <c r="AA8" i="6" s="1"/>
  <c r="X20" i="6"/>
  <c r="AA20" i="6" s="1"/>
  <c r="X27" i="6"/>
  <c r="X11" i="6"/>
  <c r="AA11" i="6" s="1"/>
  <c r="AF541" i="5"/>
  <c r="AH541" i="5" s="1"/>
  <c r="AF520" i="5"/>
  <c r="AH520" i="5" s="1"/>
  <c r="AF419" i="5"/>
  <c r="AG419" i="5" s="1"/>
  <c r="AF494" i="5"/>
  <c r="AH494" i="5" s="1"/>
  <c r="AF429" i="5"/>
  <c r="AH429" i="5" s="1"/>
  <c r="AF539" i="5"/>
  <c r="AH539" i="5" s="1"/>
  <c r="AF499" i="5"/>
  <c r="AG499" i="5" s="1"/>
  <c r="AF469" i="5"/>
  <c r="AG469" i="5" s="1"/>
  <c r="AF495" i="5"/>
  <c r="AG495" i="5" s="1"/>
  <c r="AF485" i="5"/>
  <c r="AH485" i="5" s="1"/>
  <c r="AF348" i="5"/>
  <c r="AH348" i="5" s="1"/>
  <c r="AF505" i="5"/>
  <c r="AH505" i="5" s="1"/>
  <c r="AF413" i="5"/>
  <c r="AH413" i="5" s="1"/>
  <c r="AF455" i="5"/>
  <c r="AG455" i="5" s="1"/>
  <c r="AF326" i="5"/>
  <c r="AG326" i="5" s="1"/>
  <c r="AF394" i="5"/>
  <c r="AG394" i="5" s="1"/>
  <c r="AF293" i="5"/>
  <c r="AG293" i="5" s="1"/>
  <c r="AF418" i="5"/>
  <c r="AH418" i="5" s="1"/>
  <c r="AF212" i="5"/>
  <c r="AH212" i="5" s="1"/>
  <c r="AF151" i="5"/>
  <c r="AH151" i="5" s="1"/>
  <c r="AF324" i="5"/>
  <c r="AG324" i="5" s="1"/>
  <c r="AF166" i="5"/>
  <c r="AH166" i="5" s="1"/>
  <c r="AF332" i="5"/>
  <c r="AG332" i="5" s="1"/>
  <c r="AF98" i="5"/>
  <c r="AG98" i="5" s="1"/>
  <c r="AF256" i="5"/>
  <c r="AH256" i="5" s="1"/>
  <c r="AF234" i="5"/>
  <c r="AH234" i="5" s="1"/>
  <c r="AF68" i="5"/>
  <c r="AG68" i="5" s="1"/>
  <c r="AF21" i="5"/>
  <c r="AH21" i="5" s="1"/>
  <c r="AF167" i="5"/>
  <c r="AH167" i="5" s="1"/>
  <c r="AF70" i="5"/>
  <c r="AH70" i="5" s="1"/>
  <c r="AF224" i="5"/>
  <c r="AG224" i="5" s="1"/>
  <c r="AF129" i="5"/>
  <c r="AH129" i="5" s="1"/>
  <c r="AF85" i="5"/>
  <c r="AH85" i="5" s="1"/>
  <c r="AF147" i="5"/>
  <c r="AG147" i="5" s="1"/>
  <c r="AF72" i="5"/>
  <c r="AG72" i="5" s="1"/>
  <c r="AF164" i="5"/>
  <c r="AG164" i="5" s="1"/>
  <c r="AF38" i="5"/>
  <c r="AH38" i="5" s="1"/>
  <c r="AF24" i="5"/>
  <c r="AH24" i="5" s="1"/>
  <c r="AF87" i="5"/>
  <c r="AG87" i="5" s="1"/>
  <c r="AF49" i="5"/>
  <c r="AG49" i="5" s="1"/>
  <c r="AF128" i="5"/>
  <c r="AH128" i="5" s="1"/>
  <c r="AF50" i="5"/>
  <c r="AH50" i="5" s="1"/>
  <c r="AF258" i="5"/>
  <c r="AH258" i="5" s="1"/>
  <c r="AF160" i="5"/>
  <c r="AG160" i="5" s="1"/>
  <c r="AF116" i="5"/>
  <c r="AH116" i="5" s="1"/>
  <c r="AF302" i="5"/>
  <c r="AG302" i="5" s="1"/>
  <c r="AF278" i="5"/>
  <c r="AG278" i="5" s="1"/>
  <c r="AF253" i="5"/>
  <c r="AG253" i="5" s="1"/>
  <c r="AF241" i="5"/>
  <c r="AH241" i="5" s="1"/>
  <c r="AF350" i="5"/>
  <c r="AH350" i="5" s="1"/>
  <c r="AF316" i="5"/>
  <c r="AH316" i="5" s="1"/>
  <c r="AF365" i="5"/>
  <c r="AH365" i="5" s="1"/>
  <c r="AF10" i="5"/>
  <c r="AG10" i="5" s="1"/>
  <c r="AF559" i="5"/>
  <c r="AH559" i="5" s="1"/>
  <c r="AF508" i="5"/>
  <c r="AG508" i="5" s="1"/>
  <c r="AF260" i="5"/>
  <c r="AH260" i="5" s="1"/>
  <c r="AF492" i="5"/>
  <c r="AH492" i="5" s="1"/>
  <c r="AF343" i="5"/>
  <c r="AH343" i="5" s="1"/>
  <c r="AF526" i="5"/>
  <c r="AH526" i="5" s="1"/>
  <c r="AF443" i="5"/>
  <c r="AG443" i="5" s="1"/>
  <c r="AF477" i="5"/>
  <c r="AH477" i="5" s="1"/>
  <c r="AF481" i="5"/>
  <c r="AG481" i="5" s="1"/>
  <c r="AF459" i="5"/>
  <c r="AH459" i="5" s="1"/>
  <c r="AF296" i="5"/>
  <c r="AH296" i="5" s="1"/>
  <c r="AF502" i="5"/>
  <c r="AG502" i="5" s="1"/>
  <c r="AF386" i="5"/>
  <c r="AG386" i="5" s="1"/>
  <c r="AF411" i="5"/>
  <c r="AH411" i="5" s="1"/>
  <c r="AF308" i="5"/>
  <c r="AH308" i="5" s="1"/>
  <c r="AF375" i="5"/>
  <c r="AG375" i="5" s="1"/>
  <c r="AF328" i="5"/>
  <c r="AG328" i="5" s="1"/>
  <c r="AF381" i="5"/>
  <c r="AG381" i="5" s="1"/>
  <c r="AF395" i="5"/>
  <c r="AG395" i="5" s="1"/>
  <c r="AF170" i="5"/>
  <c r="AH170" i="5" s="1"/>
  <c r="AF297" i="5"/>
  <c r="AH297" i="5" s="1"/>
  <c r="AF101" i="5"/>
  <c r="AH101" i="5" s="1"/>
  <c r="AF355" i="5"/>
  <c r="AG355" i="5" s="1"/>
  <c r="AF54" i="5"/>
  <c r="AG54" i="5" s="1"/>
  <c r="AF211" i="5"/>
  <c r="AG211" i="5" s="1"/>
  <c r="AF200" i="5"/>
  <c r="AH200" i="5" s="1"/>
  <c r="AF52" i="5"/>
  <c r="AH52" i="5" s="1"/>
  <c r="AF351" i="5"/>
  <c r="AH351" i="5" s="1"/>
  <c r="AF182" i="5"/>
  <c r="AH182" i="5" s="1"/>
  <c r="AF59" i="5"/>
  <c r="AH59" i="5" s="1"/>
  <c r="AF193" i="5"/>
  <c r="AH193" i="5" s="1"/>
  <c r="AF133" i="5"/>
  <c r="AH133" i="5" s="1"/>
  <c r="AF83" i="5"/>
  <c r="AH83" i="5" s="1"/>
  <c r="AF148" i="5"/>
  <c r="AG148" i="5" s="1"/>
  <c r="AF195" i="5"/>
  <c r="AH195" i="5" s="1"/>
  <c r="AF155" i="5"/>
  <c r="AG155" i="5" s="1"/>
  <c r="AF32" i="5"/>
  <c r="AH32" i="5" s="1"/>
  <c r="AF46" i="5"/>
  <c r="AG46" i="5" s="1"/>
  <c r="AF259" i="5"/>
  <c r="AH259" i="5" s="1"/>
  <c r="AF55" i="5"/>
  <c r="AH55" i="5" s="1"/>
  <c r="AF173" i="5"/>
  <c r="AH173" i="5" s="1"/>
  <c r="AF89" i="5"/>
  <c r="AH89" i="5" s="1"/>
  <c r="AF299" i="5"/>
  <c r="AH299" i="5" s="1"/>
  <c r="AF277" i="5"/>
  <c r="AG277" i="5" s="1"/>
  <c r="AF135" i="5"/>
  <c r="AG135" i="5" s="1"/>
  <c r="AF321" i="5"/>
  <c r="AH321" i="5" s="1"/>
  <c r="AF120" i="5"/>
  <c r="AG120" i="5" s="1"/>
  <c r="AF273" i="5"/>
  <c r="AH273" i="5" s="1"/>
  <c r="AF276" i="5"/>
  <c r="AH276" i="5" s="1"/>
  <c r="AF556" i="5"/>
  <c r="AH556" i="5" s="1"/>
  <c r="AF144" i="5"/>
  <c r="AG144" i="5" s="1"/>
  <c r="AF468" i="5"/>
  <c r="AH468" i="5" s="1"/>
  <c r="AF13" i="5"/>
  <c r="AH13" i="5" s="1"/>
  <c r="AF552" i="5"/>
  <c r="AH552" i="5" s="1"/>
  <c r="AF501" i="5"/>
  <c r="AG501" i="5" s="1"/>
  <c r="AF465" i="5"/>
  <c r="AG465" i="5" s="1"/>
  <c r="AF463" i="5"/>
  <c r="AG463" i="5" s="1"/>
  <c r="AF319" i="5"/>
  <c r="AG319" i="5" s="1"/>
  <c r="AF519" i="5"/>
  <c r="AG519" i="5" s="1"/>
  <c r="AF460" i="5"/>
  <c r="AG460" i="5" s="1"/>
  <c r="AF451" i="5"/>
  <c r="AG451" i="5" s="1"/>
  <c r="AF444" i="5"/>
  <c r="AG444" i="5" s="1"/>
  <c r="AF464" i="5"/>
  <c r="AH464" i="5" s="1"/>
  <c r="AF248" i="5"/>
  <c r="AH248" i="5" s="1"/>
  <c r="AF480" i="5"/>
  <c r="AG480" i="5" s="1"/>
  <c r="AF315" i="5"/>
  <c r="AH315" i="5" s="1"/>
  <c r="AF403" i="5"/>
  <c r="AH403" i="5" s="1"/>
  <c r="AF285" i="5"/>
  <c r="AH285" i="5" s="1"/>
  <c r="AF367" i="5"/>
  <c r="AG367" i="5" s="1"/>
  <c r="AF283" i="5"/>
  <c r="AH283" i="5" s="1"/>
  <c r="AF371" i="5"/>
  <c r="AG371" i="5" s="1"/>
  <c r="AF374" i="5"/>
  <c r="AH374" i="5" s="1"/>
  <c r="AF125" i="5"/>
  <c r="AH125" i="5" s="1"/>
  <c r="AF359" i="5"/>
  <c r="AH359" i="5" s="1"/>
  <c r="AF110" i="5"/>
  <c r="AG110" i="5" s="1"/>
  <c r="AF311" i="5"/>
  <c r="AG311" i="5" s="1"/>
  <c r="AF404" i="5"/>
  <c r="AG404" i="5" s="1"/>
  <c r="AF143" i="5"/>
  <c r="AG143" i="5" s="1"/>
  <c r="AF191" i="5"/>
  <c r="AG191" i="5" s="1"/>
  <c r="AF36" i="5"/>
  <c r="AG36" i="5" s="1"/>
  <c r="AF235" i="5"/>
  <c r="AH235" i="5" s="1"/>
  <c r="AF146" i="5"/>
  <c r="AH146" i="5" s="1"/>
  <c r="AF35" i="5"/>
  <c r="AG35" i="5" s="1"/>
  <c r="AF223" i="5"/>
  <c r="AG223" i="5" s="1"/>
  <c r="AF84" i="5"/>
  <c r="AH84" i="5" s="1"/>
  <c r="AF142" i="5"/>
  <c r="AG142" i="5" s="1"/>
  <c r="AF186" i="5"/>
  <c r="AG186" i="5" s="1"/>
  <c r="AF281" i="5"/>
  <c r="AH281" i="5" s="1"/>
  <c r="AF124" i="5"/>
  <c r="AH124" i="5" s="1"/>
  <c r="AF78" i="5"/>
  <c r="AH78" i="5" s="1"/>
  <c r="AF51" i="5"/>
  <c r="AH51" i="5" s="1"/>
  <c r="AF48" i="5"/>
  <c r="AH48" i="5" s="1"/>
  <c r="AF57" i="5"/>
  <c r="AG57" i="5" s="1"/>
  <c r="AF176" i="5"/>
  <c r="AG176" i="5" s="1"/>
  <c r="AF102" i="5"/>
  <c r="AG102" i="5" s="1"/>
  <c r="AF81" i="5"/>
  <c r="AH81" i="5" s="1"/>
  <c r="AF320" i="5"/>
  <c r="AH320" i="5" s="1"/>
  <c r="AF238" i="5"/>
  <c r="AH238" i="5" s="1"/>
  <c r="AF42" i="5"/>
  <c r="AH42" i="5" s="1"/>
  <c r="AF126" i="5"/>
  <c r="AH126" i="5" s="1"/>
  <c r="AF275" i="5"/>
  <c r="AG275" i="5" s="1"/>
  <c r="AF279" i="5"/>
  <c r="AG279" i="5" s="1"/>
  <c r="AF127" i="5"/>
  <c r="AH127" i="5" s="1"/>
  <c r="AF174" i="5"/>
  <c r="AH174" i="5" s="1"/>
  <c r="AF337" i="5"/>
  <c r="AH337" i="5" s="1"/>
  <c r="AF490" i="5"/>
  <c r="AG490" i="5" s="1"/>
  <c r="AF272" i="5"/>
  <c r="AH272" i="5" s="1"/>
  <c r="AF531" i="5"/>
  <c r="AG531" i="5" s="1"/>
  <c r="AF362" i="5"/>
  <c r="AH362" i="5" s="1"/>
  <c r="AF449" i="5"/>
  <c r="AG449" i="5" s="1"/>
  <c r="AF560" i="5"/>
  <c r="AH560" i="5" s="1"/>
  <c r="AF427" i="5"/>
  <c r="AH427" i="5" s="1"/>
  <c r="AF199" i="5"/>
  <c r="AG199" i="5" s="1"/>
  <c r="AF472" i="5"/>
  <c r="AG472" i="5" s="1"/>
  <c r="AF304" i="5"/>
  <c r="AH304" i="5" s="1"/>
  <c r="AF412" i="5"/>
  <c r="AH412" i="5" s="1"/>
  <c r="AF172" i="5"/>
  <c r="AH172" i="5" s="1"/>
  <c r="AF360" i="5"/>
  <c r="AH360" i="5" s="1"/>
  <c r="AF274" i="5"/>
  <c r="AH274" i="5" s="1"/>
  <c r="AF383" i="5"/>
  <c r="AH383" i="5" s="1"/>
  <c r="AF331" i="5"/>
  <c r="AH331" i="5" s="1"/>
  <c r="AF90" i="5"/>
  <c r="AG90" i="5" s="1"/>
  <c r="AF298" i="5"/>
  <c r="AH298" i="5" s="1"/>
  <c r="AF80" i="5"/>
  <c r="AG80" i="5" s="1"/>
  <c r="AF290" i="5"/>
  <c r="AG290" i="5" s="1"/>
  <c r="AF372" i="5"/>
  <c r="AH372" i="5" s="1"/>
  <c r="AF175" i="5"/>
  <c r="AH175" i="5" s="1"/>
  <c r="AF208" i="5"/>
  <c r="AG208" i="5" s="1"/>
  <c r="AF20" i="5"/>
  <c r="AG20" i="5" s="1"/>
  <c r="AF228" i="5"/>
  <c r="AG228" i="5" s="1"/>
  <c r="AF114" i="5"/>
  <c r="AG114" i="5" s="1"/>
  <c r="AF75" i="5"/>
  <c r="AG75" i="5" s="1"/>
  <c r="AF220" i="5"/>
  <c r="AH220" i="5" s="1"/>
  <c r="AF45" i="5"/>
  <c r="AH45" i="5" s="1"/>
  <c r="AF268" i="5"/>
  <c r="AH268" i="5" s="1"/>
  <c r="AF154" i="5"/>
  <c r="AH154" i="5" s="1"/>
  <c r="AF271" i="5"/>
  <c r="AG271" i="5" s="1"/>
  <c r="AF137" i="5"/>
  <c r="AG137" i="5" s="1"/>
  <c r="AF388" i="5"/>
  <c r="AH388" i="5" s="1"/>
  <c r="AF96" i="5"/>
  <c r="AG96" i="5" s="1"/>
  <c r="AF64" i="5"/>
  <c r="AH64" i="5" s="1"/>
  <c r="AF63" i="5"/>
  <c r="AH63" i="5" s="1"/>
  <c r="AF198" i="5"/>
  <c r="AH198" i="5" s="1"/>
  <c r="AF103" i="5"/>
  <c r="AH103" i="5" s="1"/>
  <c r="AF94" i="5"/>
  <c r="AG94" i="5" s="1"/>
  <c r="AF25" i="5"/>
  <c r="AG25" i="5" s="1"/>
  <c r="AF305" i="5"/>
  <c r="AH305" i="5" s="1"/>
  <c r="AF169" i="5"/>
  <c r="AH169" i="5" s="1"/>
  <c r="AF165" i="5"/>
  <c r="AG165" i="5" s="1"/>
  <c r="AF390" i="5"/>
  <c r="AH390" i="5" s="1"/>
  <c r="AF341" i="5"/>
  <c r="AG341" i="5" s="1"/>
  <c r="AF161" i="5"/>
  <c r="AH161" i="5" s="1"/>
  <c r="AF221" i="5"/>
  <c r="AG221" i="5" s="1"/>
  <c r="AF498" i="5"/>
  <c r="AH498" i="5" s="1"/>
  <c r="AF518" i="5"/>
  <c r="AH518" i="5" s="1"/>
  <c r="AF491" i="5"/>
  <c r="AG491" i="5" s="1"/>
  <c r="AF410" i="5"/>
  <c r="AG410" i="5" s="1"/>
  <c r="AF540" i="5"/>
  <c r="AG540" i="5" s="1"/>
  <c r="AF452" i="5"/>
  <c r="AH452" i="5" s="1"/>
  <c r="AF438" i="5"/>
  <c r="AH438" i="5" s="1"/>
  <c r="AF544" i="5"/>
  <c r="AG544" i="5" s="1"/>
  <c r="AF392" i="5"/>
  <c r="AH392" i="5" s="1"/>
  <c r="AF138" i="5"/>
  <c r="AG138" i="5" s="1"/>
  <c r="AF327" i="5"/>
  <c r="AH327" i="5" s="1"/>
  <c r="AF233" i="5"/>
  <c r="AH233" i="5" s="1"/>
  <c r="AF339" i="5"/>
  <c r="AH339" i="5" s="1"/>
  <c r="AF334" i="5"/>
  <c r="AH334" i="5" s="1"/>
  <c r="AF71" i="5"/>
  <c r="AG71" i="5" s="1"/>
  <c r="AF284" i="5"/>
  <c r="AH284" i="5" s="1"/>
  <c r="AF310" i="5"/>
  <c r="AG310" i="5" s="1"/>
  <c r="AF264" i="5"/>
  <c r="AH264" i="5" s="1"/>
  <c r="AF363" i="5"/>
  <c r="AG363" i="5" s="1"/>
  <c r="AF159" i="5"/>
  <c r="AG159" i="5" s="1"/>
  <c r="AF171" i="5"/>
  <c r="AH171" i="5" s="1"/>
  <c r="AF99" i="5"/>
  <c r="AH99" i="5" s="1"/>
  <c r="AF231" i="5"/>
  <c r="AG231" i="5" s="1"/>
  <c r="AF122" i="5"/>
  <c r="AH122" i="5" s="1"/>
  <c r="AF61" i="5"/>
  <c r="AG61" i="5" s="1"/>
  <c r="AF192" i="5"/>
  <c r="AH192" i="5" s="1"/>
  <c r="AF88" i="5"/>
  <c r="AH88" i="5" s="1"/>
  <c r="AF314" i="5"/>
  <c r="AG314" i="5" s="1"/>
  <c r="AF104" i="5"/>
  <c r="AH104" i="5" s="1"/>
  <c r="AF188" i="5"/>
  <c r="AH188" i="5" s="1"/>
  <c r="AF97" i="5"/>
  <c r="AG97" i="5" s="1"/>
  <c r="AF255" i="5"/>
  <c r="AH255" i="5" s="1"/>
  <c r="AF69" i="5"/>
  <c r="AH69" i="5" s="1"/>
  <c r="AF112" i="5"/>
  <c r="AG112" i="5" s="1"/>
  <c r="AF65" i="5"/>
  <c r="AG65" i="5" s="1"/>
  <c r="AF289" i="5"/>
  <c r="AH289" i="5" s="1"/>
  <c r="AF109" i="5"/>
  <c r="AG109" i="5" s="1"/>
  <c r="AF33" i="5"/>
  <c r="AG33" i="5" s="1"/>
  <c r="AF26" i="5"/>
  <c r="AH26" i="5" s="1"/>
  <c r="AF56" i="5"/>
  <c r="AG56" i="5" s="1"/>
  <c r="AF213" i="5"/>
  <c r="AG213" i="5" s="1"/>
  <c r="AF168" i="5"/>
  <c r="AG168" i="5" s="1"/>
  <c r="AF549" i="5"/>
  <c r="AH549" i="5" s="1"/>
  <c r="AF385" i="5"/>
  <c r="AG385" i="5" s="1"/>
  <c r="AF194" i="5"/>
  <c r="AG194" i="5" s="1"/>
  <c r="AF254" i="5"/>
  <c r="AH254" i="5" s="1"/>
  <c r="AF425" i="5"/>
  <c r="AH425" i="5" s="1"/>
  <c r="AF554" i="5"/>
  <c r="AG554" i="5" s="1"/>
  <c r="AF453" i="5"/>
  <c r="AH453" i="5" s="1"/>
  <c r="AF421" i="5"/>
  <c r="AH421" i="5" s="1"/>
  <c r="AF252" i="5"/>
  <c r="AH252" i="5" s="1"/>
  <c r="AF291" i="5"/>
  <c r="AH291" i="5" s="1"/>
  <c r="AF162" i="5"/>
  <c r="AH162" i="5" s="1"/>
  <c r="AF8" i="5"/>
  <c r="AG8" i="5" s="1"/>
  <c r="AF467" i="5"/>
  <c r="AH467" i="5" s="1"/>
  <c r="AF454" i="5"/>
  <c r="AH454" i="5" s="1"/>
  <c r="AF513" i="5"/>
  <c r="AH513" i="5" s="1"/>
  <c r="AF400" i="5"/>
  <c r="AH400" i="5" s="1"/>
  <c r="AF484" i="5"/>
  <c r="AH484" i="5" s="1"/>
  <c r="AF489" i="5"/>
  <c r="AG489" i="5" s="1"/>
  <c r="AF113" i="5"/>
  <c r="AH113" i="5" s="1"/>
  <c r="AF408" i="5"/>
  <c r="AG408" i="5" s="1"/>
  <c r="AF521" i="5"/>
  <c r="AH521" i="5" s="1"/>
  <c r="AF447" i="5"/>
  <c r="AG447" i="5" s="1"/>
  <c r="AF555" i="5"/>
  <c r="AG555" i="5" s="1"/>
  <c r="AF441" i="5"/>
  <c r="AH441" i="5" s="1"/>
  <c r="AF500" i="5"/>
  <c r="AH500" i="5" s="1"/>
  <c r="AF402" i="5"/>
  <c r="AG402" i="5" s="1"/>
  <c r="AF76" i="5"/>
  <c r="AG76" i="5" s="1"/>
  <c r="AF364" i="5"/>
  <c r="AH364" i="5" s="1"/>
  <c r="AF216" i="5"/>
  <c r="AH216" i="5" s="1"/>
  <c r="AF307" i="5"/>
  <c r="AG307" i="5" s="1"/>
  <c r="AF282" i="5"/>
  <c r="AH282" i="5" s="1"/>
  <c r="AF92" i="5"/>
  <c r="AH92" i="5" s="1"/>
  <c r="AF287" i="5"/>
  <c r="AG287" i="5" s="1"/>
  <c r="AF378" i="5"/>
  <c r="AH378" i="5" s="1"/>
  <c r="AF242" i="5"/>
  <c r="AH242" i="5" s="1"/>
  <c r="AF280" i="5"/>
  <c r="AG280" i="5" s="1"/>
  <c r="AF37" i="5"/>
  <c r="AG37" i="5" s="1"/>
  <c r="AF183" i="5"/>
  <c r="AH183" i="5" s="1"/>
  <c r="AF67" i="5"/>
  <c r="AH67" i="5" s="1"/>
  <c r="AF236" i="5"/>
  <c r="AH236" i="5" s="1"/>
  <c r="AF121" i="5"/>
  <c r="AG121" i="5" s="1"/>
  <c r="AF239" i="5"/>
  <c r="AG239" i="5" s="1"/>
  <c r="AF145" i="5"/>
  <c r="AH145" i="5" s="1"/>
  <c r="AF74" i="5"/>
  <c r="AH74" i="5" s="1"/>
  <c r="AF190" i="5"/>
  <c r="AH190" i="5" s="1"/>
  <c r="AF82" i="5"/>
  <c r="AG82" i="5" s="1"/>
  <c r="AF179" i="5"/>
  <c r="AH179" i="5" s="1"/>
  <c r="AF60" i="5"/>
  <c r="AG60" i="5" s="1"/>
  <c r="AF237" i="5"/>
  <c r="AH237" i="5" s="1"/>
  <c r="AF53" i="5"/>
  <c r="AG53" i="5" s="1"/>
  <c r="AF58" i="5"/>
  <c r="AG58" i="5" s="1"/>
  <c r="AF86" i="5"/>
  <c r="AH86" i="5" s="1"/>
  <c r="AF353" i="5"/>
  <c r="AG353" i="5" s="1"/>
  <c r="AF202" i="5"/>
  <c r="AH202" i="5" s="1"/>
  <c r="AF66" i="5"/>
  <c r="AH66" i="5" s="1"/>
  <c r="AF247" i="5"/>
  <c r="AH247" i="5" s="1"/>
  <c r="AF73" i="5"/>
  <c r="AG73" i="5" s="1"/>
  <c r="AF118" i="5"/>
  <c r="AH118" i="5" s="1"/>
  <c r="AF206" i="5"/>
  <c r="AH206" i="5" s="1"/>
  <c r="AF149" i="5"/>
  <c r="AH149" i="5" s="1"/>
  <c r="AF227" i="5"/>
  <c r="AH227" i="5" s="1"/>
  <c r="AF243" i="5"/>
  <c r="AG243" i="5" s="1"/>
  <c r="AF509" i="5"/>
  <c r="AG509" i="5" s="1"/>
  <c r="AF525" i="5"/>
  <c r="AH525" i="5" s="1"/>
  <c r="B138" i="3"/>
  <c r="B139" i="3" s="1"/>
  <c r="B136" i="3"/>
  <c r="AF108" i="5"/>
  <c r="AG108" i="5" s="1"/>
  <c r="AF250" i="5"/>
  <c r="AG250" i="5" s="1"/>
  <c r="AF303" i="5"/>
  <c r="AG303" i="5" s="1"/>
  <c r="AF185" i="5"/>
  <c r="AH185" i="5" s="1"/>
  <c r="AF257" i="5"/>
  <c r="AH257" i="5" s="1"/>
  <c r="AF557" i="5"/>
  <c r="AG557" i="5" s="1"/>
  <c r="AF261" i="5"/>
  <c r="AG261" i="5" s="1"/>
  <c r="AF123" i="5"/>
  <c r="AH123" i="5" s="1"/>
  <c r="AF445" i="5"/>
  <c r="AH445" i="5" s="1"/>
  <c r="AF209" i="5"/>
  <c r="AH209" i="5" s="1"/>
  <c r="AF478" i="5"/>
  <c r="AG478" i="5" s="1"/>
  <c r="AF267" i="5"/>
  <c r="AG267" i="5" s="1"/>
  <c r="AF432" i="5"/>
  <c r="AG432" i="5" s="1"/>
  <c r="AF434" i="5"/>
  <c r="AH434" i="5" s="1"/>
  <c r="AF473" i="5"/>
  <c r="AH473" i="5" s="1"/>
  <c r="AF522" i="5"/>
  <c r="AH522" i="5" s="1"/>
  <c r="AF435" i="5"/>
  <c r="AH435" i="5" s="1"/>
  <c r="AF214" i="5"/>
  <c r="AG214" i="5" s="1"/>
  <c r="AF450" i="5"/>
  <c r="AH450" i="5" s="1"/>
  <c r="AF313" i="5"/>
  <c r="AH313" i="5" s="1"/>
  <c r="AF189" i="5"/>
  <c r="AG189" i="5" s="1"/>
  <c r="AF265" i="5"/>
  <c r="AH265" i="5" s="1"/>
  <c r="AF132" i="5"/>
  <c r="AG132" i="5" s="1"/>
  <c r="AF269" i="5"/>
  <c r="AG269" i="5" s="1"/>
  <c r="AF197" i="5"/>
  <c r="AG197" i="5" s="1"/>
  <c r="AF475" i="5"/>
  <c r="AG475" i="5" s="1"/>
  <c r="AF219" i="5"/>
  <c r="AG219" i="5" s="1"/>
  <c r="AF119" i="5"/>
  <c r="AH119" i="5" s="1"/>
  <c r="AF295" i="5"/>
  <c r="AH295" i="5" s="1"/>
  <c r="AF433" i="5"/>
  <c r="AH433" i="5" s="1"/>
  <c r="AF448" i="5"/>
  <c r="AG448" i="5" s="1"/>
  <c r="AF487" i="5"/>
  <c r="AH487" i="5" s="1"/>
  <c r="AF357" i="5"/>
  <c r="AH357" i="5" s="1"/>
  <c r="AF517" i="5"/>
  <c r="AG517" i="5" s="1"/>
  <c r="AF532" i="5"/>
  <c r="AH532" i="5" s="1"/>
  <c r="AF546" i="5"/>
  <c r="AH546" i="5" s="1"/>
  <c r="AF503" i="5"/>
  <c r="AH503" i="5" s="1"/>
  <c r="AF547" i="5"/>
  <c r="AH547" i="5" s="1"/>
  <c r="AF356" i="5"/>
  <c r="AG356" i="5" s="1"/>
  <c r="AF270" i="5"/>
  <c r="AG270" i="5" s="1"/>
  <c r="AF152" i="5"/>
  <c r="AH152" i="5" s="1"/>
  <c r="AF131" i="5"/>
  <c r="AG131" i="5" s="1"/>
  <c r="AF218" i="5"/>
  <c r="AG218" i="5" s="1"/>
  <c r="AF309" i="5"/>
  <c r="AH309" i="5" s="1"/>
  <c r="AF177" i="5"/>
  <c r="AH177" i="5" s="1"/>
  <c r="AF306" i="5"/>
  <c r="AH306" i="5" s="1"/>
  <c r="AF263" i="5"/>
  <c r="AH263" i="5" s="1"/>
  <c r="AF136" i="5"/>
  <c r="AG136" i="5" s="1"/>
  <c r="AF266" i="5"/>
  <c r="AH266" i="5" s="1"/>
  <c r="AF180" i="5"/>
  <c r="AG180" i="5" s="1"/>
  <c r="AF344" i="5"/>
  <c r="AH344" i="5" s="1"/>
  <c r="AF342" i="5"/>
  <c r="AG342" i="5" s="1"/>
  <c r="AF536" i="5"/>
  <c r="AH536" i="5" s="1"/>
  <c r="AF373" i="5"/>
  <c r="AH373" i="5" s="1"/>
  <c r="AF401" i="5"/>
  <c r="AH401" i="5" s="1"/>
  <c r="AF111" i="5"/>
  <c r="AG111" i="5" s="1"/>
  <c r="AF23" i="5"/>
  <c r="AH23" i="5" s="1"/>
  <c r="AF157" i="5"/>
  <c r="AH157" i="5" s="1"/>
  <c r="AF140" i="5"/>
  <c r="AG140" i="5" s="1"/>
  <c r="AF226" i="5"/>
  <c r="AG226" i="5" s="1"/>
  <c r="AF322" i="5"/>
  <c r="AG322" i="5" s="1"/>
  <c r="AF181" i="5"/>
  <c r="AH181" i="5" s="1"/>
  <c r="AF317" i="5"/>
  <c r="AH317" i="5" s="1"/>
  <c r="AF286" i="5"/>
  <c r="AH286" i="5" s="1"/>
  <c r="AF153" i="5"/>
  <c r="AG153" i="5" s="1"/>
  <c r="AF292" i="5"/>
  <c r="AG292" i="5" s="1"/>
  <c r="AF184" i="5"/>
  <c r="AH184" i="5" s="1"/>
  <c r="AF366" i="5"/>
  <c r="AH366" i="5" s="1"/>
  <c r="AF346" i="5"/>
  <c r="AG346" i="5" s="1"/>
  <c r="AF336" i="5"/>
  <c r="AG336" i="5" s="1"/>
  <c r="AF423" i="5"/>
  <c r="AH423" i="5" s="1"/>
  <c r="AF497" i="5"/>
  <c r="AG497" i="5" s="1"/>
  <c r="AF420" i="5"/>
  <c r="AG420" i="5" s="1"/>
  <c r="AF407" i="5"/>
  <c r="AH407" i="5" s="1"/>
  <c r="AF393" i="5"/>
  <c r="AH393" i="5" s="1"/>
  <c r="AF456" i="5"/>
  <c r="AH456" i="5" s="1"/>
  <c r="AF398" i="5"/>
  <c r="AH398" i="5" s="1"/>
  <c r="AF428" i="5"/>
  <c r="AH428" i="5" s="1"/>
  <c r="AF529" i="5"/>
  <c r="AG529" i="5" s="1"/>
  <c r="AF409" i="5"/>
  <c r="AG409" i="5" s="1"/>
  <c r="AF333" i="5"/>
  <c r="AG333" i="5" s="1"/>
  <c r="AF486" i="5"/>
  <c r="AH486" i="5" s="1"/>
  <c r="AF369" i="5"/>
  <c r="AH369" i="5" s="1"/>
  <c r="AF382" i="5"/>
  <c r="AG382" i="5" s="1"/>
  <c r="AF504" i="5"/>
  <c r="AG504" i="5" s="1"/>
  <c r="AF417" i="5"/>
  <c r="AH417" i="5" s="1"/>
  <c r="AF542" i="5"/>
  <c r="AG542" i="5" s="1"/>
  <c r="AF431" i="5"/>
  <c r="AH431" i="5" s="1"/>
  <c r="AF530" i="5"/>
  <c r="AG530" i="5" s="1"/>
  <c r="AF462" i="5"/>
  <c r="AG462" i="5" s="1"/>
  <c r="AF368" i="5"/>
  <c r="AG368" i="5" s="1"/>
  <c r="AF506" i="5"/>
  <c r="AG506" i="5" s="1"/>
  <c r="AF437" i="5"/>
  <c r="AH437" i="5" s="1"/>
  <c r="AF387" i="5"/>
  <c r="AH387" i="5" s="1"/>
  <c r="AF537" i="5"/>
  <c r="AG537" i="5" s="1"/>
  <c r="AF430" i="5"/>
  <c r="AH430" i="5" s="1"/>
  <c r="AF19" i="5"/>
  <c r="AG19" i="5" s="1"/>
  <c r="AF446" i="5"/>
  <c r="AG446" i="5" s="1"/>
  <c r="AF550" i="5"/>
  <c r="AH550" i="5" s="1"/>
  <c r="AF483" i="5"/>
  <c r="AG483" i="5" s="1"/>
  <c r="AF415" i="5"/>
  <c r="AH415" i="5" s="1"/>
  <c r="AF524" i="5"/>
  <c r="AG524" i="5" s="1"/>
  <c r="AF545" i="5"/>
  <c r="AG545" i="5" s="1"/>
  <c r="AF406" i="5"/>
  <c r="AG406" i="5" s="1"/>
  <c r="AF349" i="5"/>
  <c r="AH349" i="5" s="1"/>
  <c r="AF458" i="5"/>
  <c r="AG458" i="5" s="1"/>
  <c r="AF533" i="5"/>
  <c r="AH533" i="5" s="1"/>
  <c r="AF551" i="5"/>
  <c r="AG551" i="5" s="1"/>
  <c r="AF414" i="5"/>
  <c r="AH414" i="5" s="1"/>
  <c r="AF361" i="5"/>
  <c r="AH361" i="5" s="1"/>
  <c r="AF461" i="5"/>
  <c r="AG461" i="5" s="1"/>
  <c r="AF543" i="5"/>
  <c r="AH543" i="5" s="1"/>
  <c r="AF330" i="5"/>
  <c r="AH330" i="5" s="1"/>
  <c r="AF422" i="5"/>
  <c r="AG422" i="5" s="1"/>
  <c r="AF376" i="5"/>
  <c r="AH376" i="5" s="1"/>
  <c r="AF479" i="5"/>
  <c r="AH479" i="5" s="1"/>
  <c r="AF384" i="5"/>
  <c r="AH384" i="5" s="1"/>
  <c r="AF474" i="5"/>
  <c r="AH474" i="5" s="1"/>
  <c r="AF358" i="5"/>
  <c r="AH358" i="5" s="1"/>
  <c r="AF523" i="5"/>
  <c r="AH523" i="5" s="1"/>
  <c r="AF442" i="5"/>
  <c r="AH442" i="5" s="1"/>
  <c r="AF553" i="5"/>
  <c r="AH553" i="5" s="1"/>
  <c r="AF338" i="5"/>
  <c r="AG338" i="5" s="1"/>
  <c r="AF482" i="5"/>
  <c r="AG482" i="5" s="1"/>
  <c r="AF379" i="5"/>
  <c r="AH379" i="5" s="1"/>
  <c r="B33" i="5"/>
  <c r="B65" i="5"/>
  <c r="Z7" i="5"/>
  <c r="AG507" i="5"/>
  <c r="AH507" i="5"/>
  <c r="B172" i="3"/>
  <c r="G87" i="2"/>
  <c r="G86" i="2"/>
  <c r="B94" i="3"/>
  <c r="I46" i="2" s="1"/>
  <c r="B93" i="3"/>
  <c r="I45" i="2" s="1"/>
  <c r="B57" i="3"/>
  <c r="E89" i="3" s="1"/>
  <c r="B59" i="3"/>
  <c r="B95" i="3"/>
  <c r="I47" i="2" s="1"/>
  <c r="I33" i="2"/>
  <c r="E90" i="3"/>
  <c r="N85" i="4"/>
  <c r="N21" i="4"/>
  <c r="N48" i="4"/>
  <c r="N42" i="4"/>
  <c r="K80" i="4"/>
  <c r="L80" i="4" s="1"/>
  <c r="M80" i="4" s="1"/>
  <c r="N80" i="4" s="1"/>
  <c r="N46" i="4"/>
  <c r="K26" i="4"/>
  <c r="L26" i="4" s="1"/>
  <c r="M26" i="4" s="1"/>
  <c r="N26" i="4" s="1"/>
  <c r="N53" i="4"/>
  <c r="N13" i="4"/>
  <c r="K76" i="4"/>
  <c r="L76" i="4" s="1"/>
  <c r="M76" i="4" s="1"/>
  <c r="N76" i="4" s="1"/>
  <c r="K52" i="4"/>
  <c r="L52" i="4" s="1"/>
  <c r="M52" i="4" s="1"/>
  <c r="N52" i="4" s="1"/>
  <c r="K14" i="4"/>
  <c r="L14" i="4" s="1"/>
  <c r="M14" i="4" s="1"/>
  <c r="N14" i="4" s="1"/>
  <c r="K10" i="4"/>
  <c r="L10" i="4" s="1"/>
  <c r="M10" i="4" s="1"/>
  <c r="N10" i="4" s="1"/>
  <c r="K57" i="4"/>
  <c r="L57" i="4" s="1"/>
  <c r="M57" i="4" s="1"/>
  <c r="N57" i="4" s="1"/>
  <c r="K5" i="4"/>
  <c r="L5" i="4" s="1"/>
  <c r="M5" i="4" s="1"/>
  <c r="N5" i="4" s="1"/>
  <c r="K99" i="4"/>
  <c r="L99" i="4" s="1"/>
  <c r="M99" i="4" s="1"/>
  <c r="N99" i="4" s="1"/>
  <c r="K39" i="4"/>
  <c r="L39" i="4" s="1"/>
  <c r="M39" i="4" s="1"/>
  <c r="N39" i="4" s="1"/>
  <c r="K17" i="4"/>
  <c r="L17" i="4" s="1"/>
  <c r="M17" i="4" s="1"/>
  <c r="N17" i="4" s="1"/>
  <c r="K70" i="4"/>
  <c r="L70" i="4" s="1"/>
  <c r="M70" i="4" s="1"/>
  <c r="N70" i="4" s="1"/>
  <c r="K36" i="4"/>
  <c r="L36" i="4" s="1"/>
  <c r="M36" i="4" s="1"/>
  <c r="N36" i="4" s="1"/>
  <c r="K37" i="4"/>
  <c r="L37" i="4" s="1"/>
  <c r="M37" i="4" s="1"/>
  <c r="N37" i="4" s="1"/>
  <c r="N79" i="4"/>
  <c r="K28" i="4"/>
  <c r="L28" i="4" s="1"/>
  <c r="M28" i="4" s="1"/>
  <c r="N28" i="4" s="1"/>
  <c r="K82" i="4"/>
  <c r="L82" i="4" s="1"/>
  <c r="M82" i="4" s="1"/>
  <c r="N82" i="4" s="1"/>
  <c r="N102" i="4"/>
  <c r="K7" i="4"/>
  <c r="L7" i="4" s="1"/>
  <c r="M7" i="4" s="1"/>
  <c r="N7" i="4" s="1"/>
  <c r="N96" i="4"/>
  <c r="K8" i="4"/>
  <c r="L8" i="4" s="1"/>
  <c r="M8" i="4" s="1"/>
  <c r="N8" i="4" s="1"/>
  <c r="K35" i="4"/>
  <c r="L35" i="4" s="1"/>
  <c r="M35" i="4" s="1"/>
  <c r="N35" i="4" s="1"/>
  <c r="K63" i="4"/>
  <c r="L63" i="4" s="1"/>
  <c r="M63" i="4" s="1"/>
  <c r="N63" i="4" s="1"/>
  <c r="N73" i="4"/>
  <c r="K18" i="4"/>
  <c r="L18" i="4" s="1"/>
  <c r="M18" i="4" s="1"/>
  <c r="N18" i="4" s="1"/>
  <c r="K91" i="4"/>
  <c r="L91" i="4" s="1"/>
  <c r="M91" i="4" s="1"/>
  <c r="N91" i="4" s="1"/>
  <c r="N67" i="4"/>
  <c r="N78" i="4"/>
  <c r="K33" i="4"/>
  <c r="L33" i="4" s="1"/>
  <c r="M33" i="4" s="1"/>
  <c r="N33" i="4" s="1"/>
  <c r="K92" i="4"/>
  <c r="L92" i="4" s="1"/>
  <c r="M92" i="4" s="1"/>
  <c r="N92" i="4" s="1"/>
  <c r="K49" i="4"/>
  <c r="L49" i="4" s="1"/>
  <c r="M49" i="4" s="1"/>
  <c r="N49" i="4" s="1"/>
  <c r="K38" i="4"/>
  <c r="L38" i="4" s="1"/>
  <c r="M38" i="4" s="1"/>
  <c r="N38" i="4" s="1"/>
  <c r="K68" i="4"/>
  <c r="L68" i="4" s="1"/>
  <c r="M68" i="4" s="1"/>
  <c r="N68" i="4" s="1"/>
  <c r="N25" i="4"/>
  <c r="K30" i="4"/>
  <c r="L30" i="4" s="1"/>
  <c r="M30" i="4" s="1"/>
  <c r="N30" i="4" s="1"/>
  <c r="K88" i="4"/>
  <c r="L88" i="4" s="1"/>
  <c r="M88" i="4" s="1"/>
  <c r="N88" i="4" s="1"/>
  <c r="N86" i="4"/>
  <c r="K44" i="4"/>
  <c r="L44" i="4" s="1"/>
  <c r="M44" i="4" s="1"/>
  <c r="N44" i="4" s="1"/>
  <c r="N101" i="4"/>
  <c r="K66" i="4"/>
  <c r="L66" i="4" s="1"/>
  <c r="M66" i="4" s="1"/>
  <c r="N66" i="4" s="1"/>
  <c r="K29" i="4"/>
  <c r="L29" i="4" s="1"/>
  <c r="M29" i="4" s="1"/>
  <c r="N29" i="4" s="1"/>
  <c r="K90" i="4"/>
  <c r="L90" i="4" s="1"/>
  <c r="M90" i="4" s="1"/>
  <c r="N90" i="4" s="1"/>
  <c r="K100" i="4"/>
  <c r="L100" i="4" s="1"/>
  <c r="M100" i="4" s="1"/>
  <c r="N100" i="4" s="1"/>
  <c r="K72" i="4"/>
  <c r="L72" i="4" s="1"/>
  <c r="M72" i="4" s="1"/>
  <c r="N72" i="4" s="1"/>
  <c r="AK90" i="8" l="1"/>
  <c r="AL90" i="8" s="1"/>
  <c r="AO90" i="8" s="1"/>
  <c r="AK133" i="8"/>
  <c r="AL133" i="8" s="1"/>
  <c r="Z35" i="8"/>
  <c r="AQ116" i="8"/>
  <c r="AK45" i="8"/>
  <c r="AL45" i="8" s="1"/>
  <c r="AC123" i="8"/>
  <c r="AD123" i="8" s="1"/>
  <c r="AP49" i="8"/>
  <c r="AJ90" i="8"/>
  <c r="AF150" i="8"/>
  <c r="AG150" i="8" s="1"/>
  <c r="Z11" i="8"/>
  <c r="AK11" i="8" s="1"/>
  <c r="AL11" i="8" s="1"/>
  <c r="Z64" i="8"/>
  <c r="AP116" i="8"/>
  <c r="AF92" i="8"/>
  <c r="AG92" i="8" s="1"/>
  <c r="AA16" i="8"/>
  <c r="Z88" i="8"/>
  <c r="AK88" i="8" s="1"/>
  <c r="AL88" i="8" s="1"/>
  <c r="AA88" i="8"/>
  <c r="AP88" i="8" s="1"/>
  <c r="AK42" i="8"/>
  <c r="AL42" i="8" s="1"/>
  <c r="AK119" i="8"/>
  <c r="AL119" i="8" s="1"/>
  <c r="AC18" i="8"/>
  <c r="AD18" i="8" s="1"/>
  <c r="AN31" i="6"/>
  <c r="Z80" i="8"/>
  <c r="AK80" i="8" s="1"/>
  <c r="AL80" i="8" s="1"/>
  <c r="AA17" i="8"/>
  <c r="AC17" i="8" s="1"/>
  <c r="AD17" i="8" s="1"/>
  <c r="Z83" i="8"/>
  <c r="AK83" i="8" s="1"/>
  <c r="AL83" i="8" s="1"/>
  <c r="AF127" i="8"/>
  <c r="AG127" i="8" s="1"/>
  <c r="AI127" i="8" s="1"/>
  <c r="AK121" i="8"/>
  <c r="AL121" i="8" s="1"/>
  <c r="Z72" i="6"/>
  <c r="AK72" i="6" s="1"/>
  <c r="AL72" i="6" s="1"/>
  <c r="AF54" i="8"/>
  <c r="AG54" i="8" s="1"/>
  <c r="AI54" i="8" s="1"/>
  <c r="Z17" i="8"/>
  <c r="AN17" i="8" s="1"/>
  <c r="AK127" i="8"/>
  <c r="AL127" i="8" s="1"/>
  <c r="AO127" i="8" s="1"/>
  <c r="AK150" i="8"/>
  <c r="AL150" i="8" s="1"/>
  <c r="AO150" i="8" s="1"/>
  <c r="AA145" i="8"/>
  <c r="AQ145" i="8" s="1"/>
  <c r="AC10" i="8"/>
  <c r="AD10" i="8" s="1"/>
  <c r="AQ10" i="8"/>
  <c r="AC122" i="8"/>
  <c r="AD122" i="8" s="1"/>
  <c r="AF123" i="8"/>
  <c r="AG123" i="8" s="1"/>
  <c r="AI123" i="8" s="1"/>
  <c r="AF130" i="8"/>
  <c r="AG130" i="8" s="1"/>
  <c r="AI130" i="8" s="1"/>
  <c r="Z132" i="8"/>
  <c r="AK132" i="8" s="1"/>
  <c r="AL132" i="8" s="1"/>
  <c r="AQ18" i="8"/>
  <c r="AA60" i="8"/>
  <c r="AC60" i="8" s="1"/>
  <c r="AD60" i="8" s="1"/>
  <c r="AF10" i="8"/>
  <c r="AG10" i="8" s="1"/>
  <c r="AI10" i="8" s="1"/>
  <c r="AK123" i="8"/>
  <c r="AL123" i="8" s="1"/>
  <c r="AO123" i="8" s="1"/>
  <c r="AQ67" i="8"/>
  <c r="AK130" i="8"/>
  <c r="AL130" i="8" s="1"/>
  <c r="AO130" i="8" s="1"/>
  <c r="AK27" i="8"/>
  <c r="AL27" i="8" s="1"/>
  <c r="AO27" i="8" s="1"/>
  <c r="AK139" i="8"/>
  <c r="AL139" i="8" s="1"/>
  <c r="AF84" i="8"/>
  <c r="AG84" i="8" s="1"/>
  <c r="AI84" i="8" s="1"/>
  <c r="AP67" i="8"/>
  <c r="Z39" i="8"/>
  <c r="AN39" i="8" s="1"/>
  <c r="AA39" i="8"/>
  <c r="AC39" i="8" s="1"/>
  <c r="AD39" i="8" s="1"/>
  <c r="Z43" i="8"/>
  <c r="AF43" i="8" s="1"/>
  <c r="AG43" i="8" s="1"/>
  <c r="AI43" i="8" s="1"/>
  <c r="AK84" i="8"/>
  <c r="AL84" i="8" s="1"/>
  <c r="AO84" i="8" s="1"/>
  <c r="AA126" i="8"/>
  <c r="AC126" i="8" s="1"/>
  <c r="AD126" i="8" s="1"/>
  <c r="AF18" i="8"/>
  <c r="AG18" i="8" s="1"/>
  <c r="AI18" i="8" s="1"/>
  <c r="AF32" i="8"/>
  <c r="AG32" i="8" s="1"/>
  <c r="AI32" i="8" s="1"/>
  <c r="AQ122" i="8"/>
  <c r="AQ27" i="8"/>
  <c r="AK122" i="8"/>
  <c r="AL122" i="8" s="1"/>
  <c r="AO122" i="8" s="1"/>
  <c r="Z72" i="8"/>
  <c r="AK72" i="8" s="1"/>
  <c r="AL72" i="8" s="1"/>
  <c r="AK103" i="8"/>
  <c r="AL103" i="8" s="1"/>
  <c r="AO103" i="8" s="1"/>
  <c r="AK141" i="8"/>
  <c r="AL141" i="8" s="1"/>
  <c r="AO141" i="8" s="1"/>
  <c r="AF122" i="8"/>
  <c r="AG122" i="8" s="1"/>
  <c r="AI122" i="8" s="1"/>
  <c r="AA74" i="8"/>
  <c r="AP74" i="8" s="1"/>
  <c r="AC130" i="8"/>
  <c r="AD130" i="8" s="1"/>
  <c r="AA156" i="8"/>
  <c r="AQ156" i="8" s="1"/>
  <c r="AA157" i="8"/>
  <c r="AC157" i="8" s="1"/>
  <c r="AD157" i="8" s="1"/>
  <c r="AA83" i="8"/>
  <c r="AC83" i="8" s="1"/>
  <c r="AD83" i="8" s="1"/>
  <c r="AP150" i="8"/>
  <c r="AQ76" i="8"/>
  <c r="AC27" i="8"/>
  <c r="AD27" i="8" s="1"/>
  <c r="Z136" i="6"/>
  <c r="AN136" i="6" s="1"/>
  <c r="Z154" i="8"/>
  <c r="AK154" i="8" s="1"/>
  <c r="AL154" i="8" s="1"/>
  <c r="AQ150" i="8"/>
  <c r="Z71" i="8"/>
  <c r="AK71" i="8" s="1"/>
  <c r="AL71" i="8" s="1"/>
  <c r="AA72" i="8"/>
  <c r="AQ72" i="8" s="1"/>
  <c r="AP76" i="8"/>
  <c r="Z74" i="8"/>
  <c r="AN74" i="8" s="1"/>
  <c r="AF103" i="8"/>
  <c r="AG103" i="8" s="1"/>
  <c r="AI103" i="8" s="1"/>
  <c r="Z129" i="8"/>
  <c r="AK129" i="8" s="1"/>
  <c r="AL129" i="8" s="1"/>
  <c r="AA154" i="8"/>
  <c r="AP154" i="8" s="1"/>
  <c r="Z13" i="8"/>
  <c r="AF13" i="8" s="1"/>
  <c r="AG13" i="8" s="1"/>
  <c r="AI13" i="8" s="1"/>
  <c r="Z157" i="8"/>
  <c r="AN157" i="8" s="1"/>
  <c r="AF63" i="8"/>
  <c r="AG63" i="8" s="1"/>
  <c r="AA129" i="8"/>
  <c r="AC129" i="8" s="1"/>
  <c r="AD129" i="8" s="1"/>
  <c r="AP113" i="8"/>
  <c r="AK18" i="8"/>
  <c r="AL18" i="8" s="1"/>
  <c r="AO18" i="8" s="1"/>
  <c r="AA69" i="6"/>
  <c r="AQ69" i="6" s="1"/>
  <c r="Z126" i="6"/>
  <c r="AN126" i="6" s="1"/>
  <c r="Z69" i="6"/>
  <c r="AK69" i="6" s="1"/>
  <c r="AL69" i="6" s="1"/>
  <c r="AA136" i="6"/>
  <c r="AP136" i="6" s="1"/>
  <c r="AA128" i="6"/>
  <c r="AQ128" i="6" s="1"/>
  <c r="Z81" i="6"/>
  <c r="AF81" i="6" s="1"/>
  <c r="AG81" i="6" s="1"/>
  <c r="AI81" i="6" s="1"/>
  <c r="Z101" i="6"/>
  <c r="AF101" i="6" s="1"/>
  <c r="AG101" i="6" s="1"/>
  <c r="AI101" i="6" s="1"/>
  <c r="AA126" i="6"/>
  <c r="AP126" i="6" s="1"/>
  <c r="AA81" i="6"/>
  <c r="AP81" i="6" s="1"/>
  <c r="BA11" i="5"/>
  <c r="AP31" i="6"/>
  <c r="Z120" i="6"/>
  <c r="AF120" i="6" s="1"/>
  <c r="AG120" i="6" s="1"/>
  <c r="AI120" i="6" s="1"/>
  <c r="AA29" i="8"/>
  <c r="AF50" i="8"/>
  <c r="AG50" i="8" s="1"/>
  <c r="AK155" i="8"/>
  <c r="AL155" i="8" s="1"/>
  <c r="AO155" i="8" s="1"/>
  <c r="AJ141" i="8"/>
  <c r="AQ130" i="8"/>
  <c r="AJ18" i="8"/>
  <c r="AA111" i="6"/>
  <c r="AC111" i="6" s="1"/>
  <c r="AD111" i="6" s="1"/>
  <c r="AA72" i="6"/>
  <c r="AP72" i="6" s="1"/>
  <c r="AQ90" i="8"/>
  <c r="AJ103" i="8"/>
  <c r="AA43" i="8"/>
  <c r="AC43" i="8" s="1"/>
  <c r="AD43" i="8" s="1"/>
  <c r="Z16" i="8"/>
  <c r="AN16" i="8" s="1"/>
  <c r="Z145" i="8"/>
  <c r="AK145" i="8" s="1"/>
  <c r="AL145" i="8" s="1"/>
  <c r="Z111" i="6"/>
  <c r="AF111" i="6" s="1"/>
  <c r="AG111" i="6" s="1"/>
  <c r="AI111" i="6" s="1"/>
  <c r="Z74" i="6"/>
  <c r="AK74" i="6" s="1"/>
  <c r="AL74" i="6" s="1"/>
  <c r="AK92" i="8"/>
  <c r="AL92" i="8" s="1"/>
  <c r="AO92" i="8" s="1"/>
  <c r="AP90" i="8"/>
  <c r="AK138" i="8"/>
  <c r="AL138" i="8" s="1"/>
  <c r="AO138" i="8" s="1"/>
  <c r="AK10" i="8"/>
  <c r="AL10" i="8" s="1"/>
  <c r="AO10" i="8" s="1"/>
  <c r="AK143" i="8"/>
  <c r="AL143" i="8" s="1"/>
  <c r="AO143" i="8" s="1"/>
  <c r="AA85" i="8"/>
  <c r="AQ85" i="8" s="1"/>
  <c r="AA71" i="6"/>
  <c r="AC71" i="6" s="1"/>
  <c r="AD71" i="6" s="1"/>
  <c r="AA93" i="6"/>
  <c r="AP93" i="6" s="1"/>
  <c r="Z76" i="6"/>
  <c r="AF76" i="6" s="1"/>
  <c r="AG76" i="6" s="1"/>
  <c r="AI76" i="6" s="1"/>
  <c r="Z156" i="8"/>
  <c r="AF113" i="8"/>
  <c r="AG113" i="8" s="1"/>
  <c r="AI113" i="8" s="1"/>
  <c r="Z71" i="6"/>
  <c r="AK71" i="6" s="1"/>
  <c r="AL71" i="6" s="1"/>
  <c r="AA106" i="6"/>
  <c r="AP106" i="6" s="1"/>
  <c r="Z93" i="6"/>
  <c r="AK93" i="6" s="1"/>
  <c r="AL93" i="6" s="1"/>
  <c r="AA76" i="6"/>
  <c r="AC76" i="6" s="1"/>
  <c r="AD76" i="6" s="1"/>
  <c r="AK48" i="8"/>
  <c r="AL48" i="8" s="1"/>
  <c r="AO48" i="8" s="1"/>
  <c r="AK63" i="8"/>
  <c r="AL63" i="8" s="1"/>
  <c r="AO63" i="8" s="1"/>
  <c r="AC31" i="6"/>
  <c r="AD31" i="6" s="1"/>
  <c r="Z106" i="6"/>
  <c r="AF106" i="6" s="1"/>
  <c r="AG106" i="6" s="1"/>
  <c r="AI106" i="6" s="1"/>
  <c r="AA74" i="6"/>
  <c r="AQ74" i="6" s="1"/>
  <c r="AK50" i="8"/>
  <c r="AL50" i="8" s="1"/>
  <c r="AO50" i="8" s="1"/>
  <c r="Z29" i="8"/>
  <c r="AN29" i="8" s="1"/>
  <c r="AK113" i="8"/>
  <c r="AL113" i="8" s="1"/>
  <c r="AO113" i="8" s="1"/>
  <c r="AF155" i="8"/>
  <c r="AG155" i="8" s="1"/>
  <c r="AI155" i="8" s="1"/>
  <c r="AQ113" i="8"/>
  <c r="AC111" i="8"/>
  <c r="AD111" i="8" s="1"/>
  <c r="AA156" i="6"/>
  <c r="AP156" i="6" s="1"/>
  <c r="AP32" i="8"/>
  <c r="AC101" i="8"/>
  <c r="AD101" i="8" s="1"/>
  <c r="AA80" i="6"/>
  <c r="AQ80" i="6" s="1"/>
  <c r="AC140" i="8"/>
  <c r="AD140" i="8" s="1"/>
  <c r="AA96" i="8"/>
  <c r="AP96" i="8" s="1"/>
  <c r="AF10" i="6"/>
  <c r="AG10" i="6" s="1"/>
  <c r="AI10" i="6" s="1"/>
  <c r="Z63" i="6"/>
  <c r="AF63" i="6" s="1"/>
  <c r="AG63" i="6" s="1"/>
  <c r="AI63" i="6" s="1"/>
  <c r="AF109" i="8"/>
  <c r="AG109" i="8" s="1"/>
  <c r="AI109" i="8" s="1"/>
  <c r="AN32" i="6"/>
  <c r="AC52" i="8"/>
  <c r="AD52" i="8" s="1"/>
  <c r="AA45" i="6"/>
  <c r="AQ45" i="6" s="1"/>
  <c r="AA131" i="6"/>
  <c r="AP131" i="6" s="1"/>
  <c r="AQ52" i="8"/>
  <c r="AP103" i="8"/>
  <c r="Z131" i="6"/>
  <c r="AN131" i="6" s="1"/>
  <c r="AA92" i="6"/>
  <c r="AP92" i="6" s="1"/>
  <c r="AQ101" i="8"/>
  <c r="Z156" i="6"/>
  <c r="AK156" i="6" s="1"/>
  <c r="AL156" i="6" s="1"/>
  <c r="AQ140" i="8"/>
  <c r="AA108" i="8"/>
  <c r="AC108" i="8" s="1"/>
  <c r="AD108" i="8" s="1"/>
  <c r="AQ93" i="8"/>
  <c r="Z59" i="6"/>
  <c r="AN59" i="6" s="1"/>
  <c r="AK54" i="8"/>
  <c r="AL54" i="8" s="1"/>
  <c r="AO54" i="8" s="1"/>
  <c r="AP149" i="8"/>
  <c r="AC103" i="8"/>
  <c r="AD103" i="8" s="1"/>
  <c r="Z135" i="8"/>
  <c r="AN135" i="8" s="1"/>
  <c r="Z96" i="8"/>
  <c r="AN96" i="8" s="1"/>
  <c r="AA63" i="6"/>
  <c r="AQ63" i="6" s="1"/>
  <c r="AQ32" i="8"/>
  <c r="AP111" i="8"/>
  <c r="AQ149" i="8"/>
  <c r="Z92" i="6"/>
  <c r="AF92" i="6" s="1"/>
  <c r="AG92" i="6" s="1"/>
  <c r="AI92" i="6" s="1"/>
  <c r="AA59" i="6"/>
  <c r="AQ59" i="6" s="1"/>
  <c r="AA135" i="8"/>
  <c r="AP135" i="8" s="1"/>
  <c r="Z108" i="8"/>
  <c r="AN108" i="8" s="1"/>
  <c r="AF49" i="8"/>
  <c r="AG49" i="8" s="1"/>
  <c r="AI49" i="8" s="1"/>
  <c r="AF120" i="8"/>
  <c r="AG120" i="8" s="1"/>
  <c r="AI120" i="8" s="1"/>
  <c r="AF117" i="8"/>
  <c r="AG117" i="8" s="1"/>
  <c r="AI117" i="8" s="1"/>
  <c r="AF141" i="8"/>
  <c r="AG141" i="8" s="1"/>
  <c r="AI141" i="8" s="1"/>
  <c r="AK49" i="8"/>
  <c r="AL49" i="8" s="1"/>
  <c r="AO49" i="8" s="1"/>
  <c r="AA64" i="8"/>
  <c r="AC64" i="8" s="1"/>
  <c r="AD64" i="8" s="1"/>
  <c r="AQ49" i="8"/>
  <c r="Z118" i="6"/>
  <c r="AK118" i="6" s="1"/>
  <c r="AL118" i="6" s="1"/>
  <c r="Z124" i="6"/>
  <c r="AF124" i="6" s="1"/>
  <c r="AG124" i="6" s="1"/>
  <c r="AI124" i="6" s="1"/>
  <c r="AA124" i="6"/>
  <c r="AQ124" i="6" s="1"/>
  <c r="Z60" i="6"/>
  <c r="AF60" i="6" s="1"/>
  <c r="AG60" i="6" s="1"/>
  <c r="AI60" i="6" s="1"/>
  <c r="AC63" i="8"/>
  <c r="AD63" i="8" s="1"/>
  <c r="AC84" i="8"/>
  <c r="AD84" i="8" s="1"/>
  <c r="AP63" i="8"/>
  <c r="AP84" i="8"/>
  <c r="Z133" i="6"/>
  <c r="AN133" i="6" s="1"/>
  <c r="AA120" i="6"/>
  <c r="AQ120" i="6" s="1"/>
  <c r="AC32" i="6"/>
  <c r="AD32" i="6" s="1"/>
  <c r="Z60" i="8"/>
  <c r="AK60" i="8" s="1"/>
  <c r="AL60" i="8" s="1"/>
  <c r="AA133" i="6"/>
  <c r="AP133" i="6" s="1"/>
  <c r="Z62" i="8"/>
  <c r="AK62" i="8" s="1"/>
  <c r="AL62" i="8" s="1"/>
  <c r="AC143" i="8"/>
  <c r="AD143" i="8" s="1"/>
  <c r="AA94" i="8"/>
  <c r="AQ94" i="8" s="1"/>
  <c r="Z36" i="8"/>
  <c r="AK36" i="8" s="1"/>
  <c r="AL36" i="8" s="1"/>
  <c r="AA62" i="8"/>
  <c r="AP62" i="8" s="1"/>
  <c r="AP143" i="8"/>
  <c r="AA36" i="8"/>
  <c r="AP36" i="8" s="1"/>
  <c r="AA60" i="6"/>
  <c r="AQ60" i="6" s="1"/>
  <c r="AP32" i="6"/>
  <c r="Z94" i="8"/>
  <c r="AK94" i="8" s="1"/>
  <c r="AL94" i="8" s="1"/>
  <c r="Z109" i="6"/>
  <c r="AF109" i="6" s="1"/>
  <c r="AG109" i="6" s="1"/>
  <c r="AI109" i="6" s="1"/>
  <c r="AP141" i="8"/>
  <c r="AK120" i="8"/>
  <c r="AL120" i="8" s="1"/>
  <c r="AO120" i="8" s="1"/>
  <c r="AP120" i="8"/>
  <c r="AF12" i="8"/>
  <c r="AG12" i="8" s="1"/>
  <c r="AI12" i="8" s="1"/>
  <c r="AA109" i="6"/>
  <c r="AC109" i="6" s="1"/>
  <c r="AD109" i="6" s="1"/>
  <c r="AQ141" i="8"/>
  <c r="AK12" i="8"/>
  <c r="AL12" i="8" s="1"/>
  <c r="AO12" i="8" s="1"/>
  <c r="AK34" i="8"/>
  <c r="AL34" i="8" s="1"/>
  <c r="AA128" i="8"/>
  <c r="AC128" i="8" s="1"/>
  <c r="AD128" i="8" s="1"/>
  <c r="AA132" i="8"/>
  <c r="AQ132" i="8" s="1"/>
  <c r="Z128" i="8"/>
  <c r="AK128" i="8" s="1"/>
  <c r="AL128" i="8" s="1"/>
  <c r="Z41" i="8"/>
  <c r="AK41" i="8" s="1"/>
  <c r="AL41" i="8" s="1"/>
  <c r="AA118" i="6"/>
  <c r="AQ118" i="6" s="1"/>
  <c r="AA41" i="8"/>
  <c r="AQ41" i="8" s="1"/>
  <c r="AP24" i="8"/>
  <c r="AC46" i="8"/>
  <c r="AD46" i="8" s="1"/>
  <c r="AQ24" i="8"/>
  <c r="AK109" i="8"/>
  <c r="AL109" i="8" s="1"/>
  <c r="AO109" i="8" s="1"/>
  <c r="AK32" i="8"/>
  <c r="AL32" i="8" s="1"/>
  <c r="AO32" i="8" s="1"/>
  <c r="AK117" i="8"/>
  <c r="AL117" i="8" s="1"/>
  <c r="AO117" i="8" s="1"/>
  <c r="AK111" i="8"/>
  <c r="AL111" i="8" s="1"/>
  <c r="AO111" i="8" s="1"/>
  <c r="Z95" i="6"/>
  <c r="AN95" i="6" s="1"/>
  <c r="AP99" i="8"/>
  <c r="AA95" i="6"/>
  <c r="AQ95" i="6" s="1"/>
  <c r="AQ44" i="8"/>
  <c r="AK137" i="8"/>
  <c r="AL137" i="8" s="1"/>
  <c r="AO137" i="8" s="1"/>
  <c r="AF100" i="8"/>
  <c r="AG100" i="8" s="1"/>
  <c r="AI100" i="8" s="1"/>
  <c r="R11" i="5"/>
  <c r="AC44" i="8"/>
  <c r="AD44" i="8" s="1"/>
  <c r="Z57" i="8"/>
  <c r="AK57" i="8" s="1"/>
  <c r="AL57" i="8" s="1"/>
  <c r="AC8" i="8"/>
  <c r="AD8" i="8" s="1"/>
  <c r="AK24" i="8"/>
  <c r="AL24" i="8" s="1"/>
  <c r="AO24" i="8" s="1"/>
  <c r="Z85" i="8"/>
  <c r="AN85" i="8" s="1"/>
  <c r="AA57" i="8"/>
  <c r="AP57" i="8" s="1"/>
  <c r="AP8" i="8"/>
  <c r="AK67" i="8"/>
  <c r="AL67" i="8" s="1"/>
  <c r="AO67" i="8" s="1"/>
  <c r="AF24" i="8"/>
  <c r="AG24" i="8" s="1"/>
  <c r="AI24" i="8" s="1"/>
  <c r="AF67" i="8"/>
  <c r="AG67" i="8" s="1"/>
  <c r="AI67" i="8" s="1"/>
  <c r="AK116" i="8"/>
  <c r="AL116" i="8" s="1"/>
  <c r="AO116" i="8" s="1"/>
  <c r="AC109" i="8"/>
  <c r="AD109" i="8" s="1"/>
  <c r="AF8" i="8"/>
  <c r="AG8" i="8" s="1"/>
  <c r="AI8" i="8" s="1"/>
  <c r="AF116" i="8"/>
  <c r="AG116" i="8" s="1"/>
  <c r="AI116" i="8" s="1"/>
  <c r="AP117" i="8"/>
  <c r="AC77" i="8"/>
  <c r="AD77" i="8" s="1"/>
  <c r="AQ117" i="8"/>
  <c r="AK8" i="8"/>
  <c r="AL8" i="8" s="1"/>
  <c r="AO8" i="8" s="1"/>
  <c r="AK15" i="8"/>
  <c r="AL15" i="8" s="1"/>
  <c r="AO15" i="8" s="1"/>
  <c r="AF15" i="8"/>
  <c r="AG15" i="8" s="1"/>
  <c r="AI15" i="8" s="1"/>
  <c r="AK99" i="8"/>
  <c r="AL99" i="8" s="1"/>
  <c r="AO99" i="8" s="1"/>
  <c r="AP109" i="8"/>
  <c r="AA37" i="8"/>
  <c r="AP37" i="8" s="1"/>
  <c r="AC21" i="8"/>
  <c r="AD21" i="8" s="1"/>
  <c r="AA61" i="8"/>
  <c r="AC61" i="8" s="1"/>
  <c r="AD61" i="8" s="1"/>
  <c r="AF131" i="8"/>
  <c r="AG131" i="8" s="1"/>
  <c r="AI131" i="8" s="1"/>
  <c r="AA67" i="6"/>
  <c r="AC67" i="6" s="1"/>
  <c r="AD67" i="6" s="1"/>
  <c r="AA107" i="8"/>
  <c r="AQ107" i="8" s="1"/>
  <c r="AK68" i="8"/>
  <c r="AL68" i="8" s="1"/>
  <c r="AO68" i="8" s="1"/>
  <c r="AF68" i="8"/>
  <c r="AG68" i="8" s="1"/>
  <c r="AI68" i="8" s="1"/>
  <c r="AK19" i="8"/>
  <c r="AL19" i="8" s="1"/>
  <c r="AO19" i="8" s="1"/>
  <c r="AF46" i="8"/>
  <c r="AG46" i="8" s="1"/>
  <c r="AI46" i="8" s="1"/>
  <c r="AA22" i="8"/>
  <c r="AQ22" i="8" s="1"/>
  <c r="AF48" i="8"/>
  <c r="AG48" i="8" s="1"/>
  <c r="AI48" i="8" s="1"/>
  <c r="Z107" i="8"/>
  <c r="AK107" i="8" s="1"/>
  <c r="AL107" i="8" s="1"/>
  <c r="AC15" i="8"/>
  <c r="AD15" i="8" s="1"/>
  <c r="AF52" i="8"/>
  <c r="AG52" i="8" s="1"/>
  <c r="AI52" i="8" s="1"/>
  <c r="AK140" i="8"/>
  <c r="AL140" i="8" s="1"/>
  <c r="AO140" i="8" s="1"/>
  <c r="AF69" i="8"/>
  <c r="AG69" i="8" s="1"/>
  <c r="AI69" i="8" s="1"/>
  <c r="AC28" i="6"/>
  <c r="AD28" i="6" s="1"/>
  <c r="AQ12" i="8"/>
  <c r="AK52" i="8"/>
  <c r="AL52" i="8" s="1"/>
  <c r="AO52" i="8" s="1"/>
  <c r="AF140" i="8"/>
  <c r="AG140" i="8" s="1"/>
  <c r="AI140" i="8" s="1"/>
  <c r="AK100" i="8"/>
  <c r="AL100" i="8" s="1"/>
  <c r="AO100" i="8" s="1"/>
  <c r="AQ15" i="8"/>
  <c r="Z51" i="6"/>
  <c r="AN51" i="6" s="1"/>
  <c r="AP86" i="8"/>
  <c r="AQ105" i="8"/>
  <c r="AQ100" i="8"/>
  <c r="AQ120" i="8"/>
  <c r="AC147" i="8"/>
  <c r="AD147" i="8" s="1"/>
  <c r="AF44" i="8"/>
  <c r="AG44" i="8" s="1"/>
  <c r="AI44" i="8" s="1"/>
  <c r="AA82" i="8"/>
  <c r="AQ82" i="8" s="1"/>
  <c r="AP26" i="8"/>
  <c r="AP14" i="8"/>
  <c r="AK58" i="8"/>
  <c r="AL58" i="8" s="1"/>
  <c r="AO58" i="8" s="1"/>
  <c r="AQ26" i="8"/>
  <c r="AC86" i="8"/>
  <c r="AD86" i="8" s="1"/>
  <c r="AC131" i="8"/>
  <c r="AD131" i="8" s="1"/>
  <c r="Z110" i="8"/>
  <c r="AN110" i="8" s="1"/>
  <c r="AC144" i="8"/>
  <c r="AD144" i="8" s="1"/>
  <c r="AC105" i="8"/>
  <c r="AD105" i="8" s="1"/>
  <c r="AQ14" i="8"/>
  <c r="AP147" i="8"/>
  <c r="AP131" i="8"/>
  <c r="AP144" i="8"/>
  <c r="AP48" i="8"/>
  <c r="Z82" i="8"/>
  <c r="AN82" i="8" s="1"/>
  <c r="AJ100" i="8"/>
  <c r="AJ49" i="8"/>
  <c r="AF58" i="8"/>
  <c r="AG58" i="8" s="1"/>
  <c r="AI58" i="8" s="1"/>
  <c r="AK93" i="8"/>
  <c r="AL93" i="8" s="1"/>
  <c r="AO93" i="8" s="1"/>
  <c r="AK131" i="8"/>
  <c r="AL131" i="8" s="1"/>
  <c r="AO131" i="8" s="1"/>
  <c r="AA110" i="8"/>
  <c r="AC110" i="8" s="1"/>
  <c r="AD110" i="8" s="1"/>
  <c r="AQ48" i="8"/>
  <c r="AF76" i="8"/>
  <c r="AG76" i="8" s="1"/>
  <c r="AI76" i="8" s="1"/>
  <c r="AF111" i="8"/>
  <c r="AG111" i="8" s="1"/>
  <c r="AI111" i="8" s="1"/>
  <c r="AP78" i="8"/>
  <c r="AA51" i="6"/>
  <c r="AP51" i="6" s="1"/>
  <c r="AK76" i="8"/>
  <c r="AL76" i="8" s="1"/>
  <c r="AO76" i="8" s="1"/>
  <c r="AK44" i="8"/>
  <c r="AL44" i="8" s="1"/>
  <c r="AO44" i="8" s="1"/>
  <c r="AF26" i="8"/>
  <c r="AG26" i="8" s="1"/>
  <c r="AI26" i="8" s="1"/>
  <c r="Z126" i="8"/>
  <c r="AN126" i="8" s="1"/>
  <c r="AF99" i="8"/>
  <c r="AG99" i="8" s="1"/>
  <c r="AI99" i="8" s="1"/>
  <c r="AK26" i="8"/>
  <c r="AL26" i="8" s="1"/>
  <c r="AO26" i="8" s="1"/>
  <c r="AA77" i="6"/>
  <c r="AQ77" i="6" s="1"/>
  <c r="Z77" i="6"/>
  <c r="AK77" i="6" s="1"/>
  <c r="AL77" i="6" s="1"/>
  <c r="AA148" i="6"/>
  <c r="AC148" i="6" s="1"/>
  <c r="AD148" i="6" s="1"/>
  <c r="Z58" i="6"/>
  <c r="AF58" i="6" s="1"/>
  <c r="AG58" i="6" s="1"/>
  <c r="AI58" i="6" s="1"/>
  <c r="AA113" i="6"/>
  <c r="AC113" i="6" s="1"/>
  <c r="AD113" i="6" s="1"/>
  <c r="Z148" i="6"/>
  <c r="AF148" i="6" s="1"/>
  <c r="AG148" i="6" s="1"/>
  <c r="AI148" i="6" s="1"/>
  <c r="Z83" i="6"/>
  <c r="AF83" i="6" s="1"/>
  <c r="AG83" i="6" s="1"/>
  <c r="AI83" i="6" s="1"/>
  <c r="AA125" i="6"/>
  <c r="AQ125" i="6" s="1"/>
  <c r="Z65" i="6"/>
  <c r="AN65" i="6" s="1"/>
  <c r="AN36" i="6"/>
  <c r="AF24" i="6"/>
  <c r="AG24" i="6" s="1"/>
  <c r="AI24" i="6" s="1"/>
  <c r="Z122" i="6"/>
  <c r="AF122" i="6" s="1"/>
  <c r="AG122" i="6" s="1"/>
  <c r="AI122" i="6" s="1"/>
  <c r="Z113" i="6"/>
  <c r="AN113" i="6" s="1"/>
  <c r="AA138" i="6"/>
  <c r="AQ138" i="6" s="1"/>
  <c r="Z138" i="6"/>
  <c r="AF138" i="6" s="1"/>
  <c r="AG138" i="6" s="1"/>
  <c r="AI138" i="6" s="1"/>
  <c r="AN26" i="6"/>
  <c r="AA55" i="6"/>
  <c r="AC55" i="6" s="1"/>
  <c r="AD55" i="6" s="1"/>
  <c r="Z45" i="6"/>
  <c r="AN45" i="6" s="1"/>
  <c r="AA157" i="6"/>
  <c r="AP157" i="6" s="1"/>
  <c r="Z75" i="6"/>
  <c r="AN75" i="6" s="1"/>
  <c r="Z80" i="6"/>
  <c r="AK80" i="6" s="1"/>
  <c r="AL80" i="6" s="1"/>
  <c r="Z157" i="6"/>
  <c r="AK157" i="6" s="1"/>
  <c r="AL157" i="6" s="1"/>
  <c r="Z66" i="6"/>
  <c r="AK66" i="6" s="1"/>
  <c r="AL66" i="6" s="1"/>
  <c r="Z154" i="6"/>
  <c r="AN154" i="6" s="1"/>
  <c r="AP28" i="6"/>
  <c r="Z55" i="6"/>
  <c r="AN55" i="6" s="1"/>
  <c r="AA66" i="6"/>
  <c r="AQ66" i="6" s="1"/>
  <c r="AA75" i="6"/>
  <c r="AP75" i="6" s="1"/>
  <c r="AA53" i="6"/>
  <c r="AC53" i="6" s="1"/>
  <c r="AD53" i="6" s="1"/>
  <c r="AA83" i="6"/>
  <c r="AP83" i="6" s="1"/>
  <c r="AA62" i="6"/>
  <c r="AQ62" i="6" s="1"/>
  <c r="AA142" i="6"/>
  <c r="AQ142" i="6" s="1"/>
  <c r="Z53" i="6"/>
  <c r="AK53" i="6" s="1"/>
  <c r="AL53" i="6" s="1"/>
  <c r="Z128" i="6"/>
  <c r="AF128" i="6" s="1"/>
  <c r="AG128" i="6" s="1"/>
  <c r="AI128" i="6" s="1"/>
  <c r="Z62" i="6"/>
  <c r="AF62" i="6" s="1"/>
  <c r="AG62" i="6" s="1"/>
  <c r="AI62" i="6" s="1"/>
  <c r="Z125" i="6"/>
  <c r="AN125" i="6" s="1"/>
  <c r="AA58" i="6"/>
  <c r="AC58" i="6" s="1"/>
  <c r="AD58" i="6" s="1"/>
  <c r="Z142" i="6"/>
  <c r="AF142" i="6" s="1"/>
  <c r="AG142" i="6" s="1"/>
  <c r="AI142" i="6" s="1"/>
  <c r="AA65" i="6"/>
  <c r="AQ65" i="6" s="1"/>
  <c r="AA84" i="6"/>
  <c r="AQ84" i="6" s="1"/>
  <c r="AF16" i="6"/>
  <c r="AG16" i="6" s="1"/>
  <c r="AI16" i="6" s="1"/>
  <c r="AA122" i="6"/>
  <c r="AQ122" i="6" s="1"/>
  <c r="AF28" i="6"/>
  <c r="AG28" i="6" s="1"/>
  <c r="AI28" i="6" s="1"/>
  <c r="AF13" i="6"/>
  <c r="AG13" i="6" s="1"/>
  <c r="AI13" i="6" s="1"/>
  <c r="AN33" i="6"/>
  <c r="AA110" i="6"/>
  <c r="AQ110" i="6" s="1"/>
  <c r="Z110" i="6"/>
  <c r="AN110" i="6" s="1"/>
  <c r="AA153" i="6"/>
  <c r="AQ153" i="6" s="1"/>
  <c r="Z67" i="6"/>
  <c r="AK67" i="6" s="1"/>
  <c r="AL67" i="6" s="1"/>
  <c r="Z153" i="6"/>
  <c r="AK153" i="6" s="1"/>
  <c r="AL153" i="6" s="1"/>
  <c r="AP27" i="6"/>
  <c r="AN21" i="6"/>
  <c r="AF17" i="6"/>
  <c r="AG17" i="6" s="1"/>
  <c r="AI17" i="6" s="1"/>
  <c r="AA112" i="6"/>
  <c r="AQ112" i="6" s="1"/>
  <c r="Z152" i="6"/>
  <c r="AK152" i="6" s="1"/>
  <c r="AL152" i="6" s="1"/>
  <c r="AN8" i="6"/>
  <c r="Z112" i="6"/>
  <c r="AK112" i="6" s="1"/>
  <c r="AL112" i="6" s="1"/>
  <c r="Z107" i="6"/>
  <c r="AF107" i="6" s="1"/>
  <c r="AG107" i="6" s="1"/>
  <c r="AI107" i="6" s="1"/>
  <c r="Z91" i="6"/>
  <c r="AN91" i="6" s="1"/>
  <c r="AA91" i="6"/>
  <c r="AQ91" i="6" s="1"/>
  <c r="AA107" i="6"/>
  <c r="AQ107" i="6" s="1"/>
  <c r="Z61" i="6"/>
  <c r="AF61" i="6" s="1"/>
  <c r="AG61" i="6" s="1"/>
  <c r="AI61" i="6" s="1"/>
  <c r="AQ27" i="6"/>
  <c r="AA147" i="6"/>
  <c r="AC147" i="6" s="1"/>
  <c r="AD147" i="6" s="1"/>
  <c r="Z147" i="6"/>
  <c r="AK147" i="6" s="1"/>
  <c r="AL147" i="6" s="1"/>
  <c r="AA104" i="6"/>
  <c r="AC104" i="6" s="1"/>
  <c r="AD104" i="6" s="1"/>
  <c r="Z68" i="6"/>
  <c r="AF68" i="6" s="1"/>
  <c r="AG68" i="6" s="1"/>
  <c r="AI68" i="6" s="1"/>
  <c r="AA137" i="6"/>
  <c r="AC137" i="6" s="1"/>
  <c r="AD137" i="6" s="1"/>
  <c r="AA49" i="6"/>
  <c r="AP49" i="6" s="1"/>
  <c r="AA11" i="5"/>
  <c r="AA134" i="6"/>
  <c r="AQ134" i="6" s="1"/>
  <c r="Z134" i="6"/>
  <c r="AF134" i="6" s="1"/>
  <c r="AG134" i="6" s="1"/>
  <c r="AI134" i="6" s="1"/>
  <c r="Z137" i="6"/>
  <c r="AF137" i="6" s="1"/>
  <c r="AG137" i="6" s="1"/>
  <c r="AI137" i="6" s="1"/>
  <c r="AA154" i="6"/>
  <c r="AC154" i="6" s="1"/>
  <c r="AD154" i="6" s="1"/>
  <c r="AP12" i="8"/>
  <c r="AK75" i="8"/>
  <c r="AL75" i="8" s="1"/>
  <c r="AO75" i="8" s="1"/>
  <c r="AN15" i="6"/>
  <c r="AP75" i="8"/>
  <c r="AF93" i="8"/>
  <c r="AG93" i="8" s="1"/>
  <c r="AI93" i="8" s="1"/>
  <c r="AK20" i="8"/>
  <c r="AL20" i="8" s="1"/>
  <c r="AO20" i="8" s="1"/>
  <c r="AK147" i="8"/>
  <c r="AL147" i="8" s="1"/>
  <c r="AO147" i="8" s="1"/>
  <c r="AQ75" i="8"/>
  <c r="AN20" i="6"/>
  <c r="AP36" i="6"/>
  <c r="Z104" i="6"/>
  <c r="AF104" i="6" s="1"/>
  <c r="AG104" i="6" s="1"/>
  <c r="AI104" i="6" s="1"/>
  <c r="AA42" i="6"/>
  <c r="AC42" i="6" s="1"/>
  <c r="AD42" i="6" s="1"/>
  <c r="AC20" i="8"/>
  <c r="AD20" i="8" s="1"/>
  <c r="AP137" i="8"/>
  <c r="AK46" i="8"/>
  <c r="AL46" i="8" s="1"/>
  <c r="AO46" i="8" s="1"/>
  <c r="Z47" i="8"/>
  <c r="AK47" i="8" s="1"/>
  <c r="AL47" i="8" s="1"/>
  <c r="AC36" i="6"/>
  <c r="AD36" i="6" s="1"/>
  <c r="AC30" i="6"/>
  <c r="AD30" i="6" s="1"/>
  <c r="Z155" i="6"/>
  <c r="AN155" i="6" s="1"/>
  <c r="AQ20" i="8"/>
  <c r="AC137" i="8"/>
  <c r="AD137" i="8" s="1"/>
  <c r="AP29" i="6"/>
  <c r="Z38" i="6"/>
  <c r="AF38" i="6" s="1"/>
  <c r="AG38" i="6" s="1"/>
  <c r="AI38" i="6" s="1"/>
  <c r="AA38" i="6"/>
  <c r="AC38" i="6" s="1"/>
  <c r="AD38" i="6" s="1"/>
  <c r="Z42" i="6"/>
  <c r="AN42" i="6" s="1"/>
  <c r="AF20" i="8"/>
  <c r="AG20" i="8" s="1"/>
  <c r="AI20" i="8" s="1"/>
  <c r="AK69" i="8"/>
  <c r="AL69" i="8" s="1"/>
  <c r="AO69" i="8" s="1"/>
  <c r="AA61" i="6"/>
  <c r="AQ61" i="6" s="1"/>
  <c r="AA47" i="8"/>
  <c r="AP47" i="8" s="1"/>
  <c r="AA97" i="8"/>
  <c r="AC97" i="8" s="1"/>
  <c r="AD97" i="8" s="1"/>
  <c r="AK59" i="8"/>
  <c r="AL59" i="8" s="1"/>
  <c r="AO59" i="8" s="1"/>
  <c r="AP19" i="8"/>
  <c r="AF59" i="8"/>
  <c r="AG59" i="8" s="1"/>
  <c r="AI59" i="8" s="1"/>
  <c r="AK14" i="8"/>
  <c r="AL14" i="8" s="1"/>
  <c r="AO14" i="8" s="1"/>
  <c r="BB11" i="5"/>
  <c r="AQ99" i="8"/>
  <c r="Z84" i="6"/>
  <c r="AK84" i="6" s="1"/>
  <c r="AL84" i="6" s="1"/>
  <c r="Z97" i="8"/>
  <c r="AK97" i="8" s="1"/>
  <c r="AL97" i="8" s="1"/>
  <c r="AK53" i="8"/>
  <c r="AL53" i="8" s="1"/>
  <c r="AP46" i="8"/>
  <c r="AF137" i="8"/>
  <c r="AG137" i="8" s="1"/>
  <c r="AI137" i="8" s="1"/>
  <c r="AF21" i="8"/>
  <c r="AG21" i="8" s="1"/>
  <c r="AI21" i="8" s="1"/>
  <c r="AA104" i="8"/>
  <c r="AC104" i="8" s="1"/>
  <c r="AD104" i="8" s="1"/>
  <c r="AF14" i="8"/>
  <c r="AG14" i="8" s="1"/>
  <c r="AI14" i="8" s="1"/>
  <c r="AA68" i="6"/>
  <c r="AC68" i="6" s="1"/>
  <c r="AD68" i="6" s="1"/>
  <c r="Z103" i="6"/>
  <c r="AN103" i="6" s="1"/>
  <c r="AA71" i="8"/>
  <c r="AP71" i="8" s="1"/>
  <c r="Z70" i="8"/>
  <c r="AK70" i="8" s="1"/>
  <c r="AL70" i="8" s="1"/>
  <c r="Z40" i="8"/>
  <c r="AK40" i="8" s="1"/>
  <c r="AL40" i="8" s="1"/>
  <c r="AC100" i="8"/>
  <c r="AD100" i="8" s="1"/>
  <c r="Z49" i="6"/>
  <c r="AK49" i="6" s="1"/>
  <c r="AL49" i="6" s="1"/>
  <c r="AK89" i="8"/>
  <c r="AL89" i="8" s="1"/>
  <c r="AO89" i="8" s="1"/>
  <c r="Z22" i="8"/>
  <c r="AF22" i="8" s="1"/>
  <c r="AG22" i="8" s="1"/>
  <c r="AI22" i="8" s="1"/>
  <c r="Z104" i="8"/>
  <c r="AN104" i="8" s="1"/>
  <c r="AI66" i="8"/>
  <c r="AU66" i="8" s="1"/>
  <c r="AW66" i="8" s="1"/>
  <c r="AA40" i="8"/>
  <c r="AC40" i="8" s="1"/>
  <c r="AD40" i="8" s="1"/>
  <c r="AP58" i="8"/>
  <c r="AF19" i="8"/>
  <c r="AG19" i="8" s="1"/>
  <c r="AI19" i="8" s="1"/>
  <c r="AJ69" i="8"/>
  <c r="AQ58" i="8"/>
  <c r="Z64" i="6"/>
  <c r="AK64" i="6" s="1"/>
  <c r="AL64" i="6" s="1"/>
  <c r="AF89" i="8"/>
  <c r="AG89" i="8" s="1"/>
  <c r="AI89" i="8" s="1"/>
  <c r="AQ19" i="8"/>
  <c r="AA70" i="6"/>
  <c r="AP70" i="6" s="1"/>
  <c r="AK21" i="8"/>
  <c r="AL21" i="8" s="1"/>
  <c r="AO21" i="8" s="1"/>
  <c r="AA70" i="8"/>
  <c r="AP70" i="8" s="1"/>
  <c r="AF147" i="8"/>
  <c r="AG147" i="8" s="1"/>
  <c r="AI147" i="8" s="1"/>
  <c r="AF142" i="8"/>
  <c r="AG142" i="8" s="1"/>
  <c r="AI142" i="8" s="1"/>
  <c r="AK142" i="8"/>
  <c r="AL142" i="8" s="1"/>
  <c r="AO142" i="8" s="1"/>
  <c r="AP21" i="8"/>
  <c r="Z61" i="8"/>
  <c r="AN61" i="8" s="1"/>
  <c r="AP77" i="8"/>
  <c r="AF75" i="8"/>
  <c r="AG75" i="8" s="1"/>
  <c r="AI75" i="8" s="1"/>
  <c r="AP68" i="8"/>
  <c r="AA124" i="8"/>
  <c r="AP124" i="8" s="1"/>
  <c r="AQ68" i="8"/>
  <c r="Z124" i="8"/>
  <c r="AN124" i="8" s="1"/>
  <c r="Z127" i="6"/>
  <c r="AK127" i="6" s="1"/>
  <c r="AL127" i="6" s="1"/>
  <c r="AA127" i="6"/>
  <c r="AC127" i="6" s="1"/>
  <c r="AD127" i="6" s="1"/>
  <c r="AN27" i="6"/>
  <c r="AP34" i="6"/>
  <c r="AA146" i="6"/>
  <c r="AP146" i="6" s="1"/>
  <c r="AA103" i="6"/>
  <c r="AQ103" i="6" s="1"/>
  <c r="AF77" i="8"/>
  <c r="AG77" i="8" s="1"/>
  <c r="AI77" i="8" s="1"/>
  <c r="AK77" i="8"/>
  <c r="AL77" i="8" s="1"/>
  <c r="AO77" i="8" s="1"/>
  <c r="AK144" i="8"/>
  <c r="AL144" i="8" s="1"/>
  <c r="AO144" i="8" s="1"/>
  <c r="AK101" i="8"/>
  <c r="AL101" i="8" s="1"/>
  <c r="AO101" i="8" s="1"/>
  <c r="AK149" i="8"/>
  <c r="AL149" i="8" s="1"/>
  <c r="AO149" i="8" s="1"/>
  <c r="AF101" i="8"/>
  <c r="AG101" i="8" s="1"/>
  <c r="AI101" i="8" s="1"/>
  <c r="AK25" i="8"/>
  <c r="AL25" i="8" s="1"/>
  <c r="AO25" i="8" s="1"/>
  <c r="AF25" i="8"/>
  <c r="AG25" i="8" s="1"/>
  <c r="AI25" i="8" s="1"/>
  <c r="AF144" i="8"/>
  <c r="AG144" i="8" s="1"/>
  <c r="AI144" i="8" s="1"/>
  <c r="AJ14" i="8"/>
  <c r="Z73" i="8"/>
  <c r="AK73" i="8" s="1"/>
  <c r="AL73" i="8" s="1"/>
  <c r="AP59" i="8"/>
  <c r="AF149" i="8"/>
  <c r="AG149" i="8" s="1"/>
  <c r="AI149" i="8" s="1"/>
  <c r="AQ59" i="8"/>
  <c r="AA73" i="8"/>
  <c r="AC73" i="8" s="1"/>
  <c r="AD73" i="8" s="1"/>
  <c r="AQ25" i="8"/>
  <c r="AQ69" i="8"/>
  <c r="AC25" i="8"/>
  <c r="AD25" i="8" s="1"/>
  <c r="AC69" i="8"/>
  <c r="AD69" i="8" s="1"/>
  <c r="AF105" i="8"/>
  <c r="AG105" i="8" s="1"/>
  <c r="AI105" i="8" s="1"/>
  <c r="AP93" i="8"/>
  <c r="AK105" i="8"/>
  <c r="AL105" i="8" s="1"/>
  <c r="AO105" i="8" s="1"/>
  <c r="AK86" i="8"/>
  <c r="AL86" i="8" s="1"/>
  <c r="AO86" i="8" s="1"/>
  <c r="AC78" i="8"/>
  <c r="AD78" i="8" s="1"/>
  <c r="AP89" i="8"/>
  <c r="Z115" i="8"/>
  <c r="AK115" i="8" s="1"/>
  <c r="AL115" i="8" s="1"/>
  <c r="AC89" i="8"/>
  <c r="AD89" i="8" s="1"/>
  <c r="AF86" i="8"/>
  <c r="AG86" i="8" s="1"/>
  <c r="AI86" i="8" s="1"/>
  <c r="AA115" i="8"/>
  <c r="AP115" i="8" s="1"/>
  <c r="AN23" i="6"/>
  <c r="AQ33" i="6"/>
  <c r="AA114" i="6"/>
  <c r="AQ114" i="6" s="1"/>
  <c r="AA99" i="6"/>
  <c r="AQ99" i="6" s="1"/>
  <c r="Z97" i="6"/>
  <c r="AF97" i="6" s="1"/>
  <c r="AG97" i="6" s="1"/>
  <c r="AI97" i="6" s="1"/>
  <c r="AC33" i="6"/>
  <c r="AD33" i="6" s="1"/>
  <c r="AA116" i="6"/>
  <c r="AP116" i="6" s="1"/>
  <c r="Z140" i="6"/>
  <c r="AK140" i="6" s="1"/>
  <c r="AL140" i="6" s="1"/>
  <c r="AA97" i="6"/>
  <c r="AP97" i="6" s="1"/>
  <c r="Z146" i="6"/>
  <c r="AK146" i="6" s="1"/>
  <c r="AL146" i="6" s="1"/>
  <c r="AF30" i="6"/>
  <c r="AG30" i="6" s="1"/>
  <c r="AI30" i="6" s="1"/>
  <c r="Z116" i="6"/>
  <c r="AF116" i="6" s="1"/>
  <c r="AG116" i="6" s="1"/>
  <c r="AI116" i="6" s="1"/>
  <c r="Z99" i="6"/>
  <c r="AN99" i="6" s="1"/>
  <c r="AA140" i="6"/>
  <c r="AQ140" i="6" s="1"/>
  <c r="AA37" i="6"/>
  <c r="AP37" i="6" s="1"/>
  <c r="Z37" i="6"/>
  <c r="AK37" i="6" s="1"/>
  <c r="AL37" i="6" s="1"/>
  <c r="AA28" i="8"/>
  <c r="AP28" i="8" s="1"/>
  <c r="Z28" i="8"/>
  <c r="AN28" i="8" s="1"/>
  <c r="AP142" i="8"/>
  <c r="AQ142" i="8"/>
  <c r="AA73" i="6"/>
  <c r="AC73" i="6" s="1"/>
  <c r="AD73" i="6" s="1"/>
  <c r="AN14" i="6"/>
  <c r="Z73" i="6"/>
  <c r="AF73" i="6" s="1"/>
  <c r="AG73" i="6" s="1"/>
  <c r="AI73" i="6" s="1"/>
  <c r="AK11" i="5"/>
  <c r="AN25" i="6"/>
  <c r="Z52" i="6"/>
  <c r="AK52" i="6" s="1"/>
  <c r="AL52" i="6" s="1"/>
  <c r="AA129" i="6"/>
  <c r="AQ129" i="6" s="1"/>
  <c r="AI33" i="6"/>
  <c r="AG229" i="5"/>
  <c r="AG31" i="5"/>
  <c r="AA88" i="6"/>
  <c r="AC88" i="6" s="1"/>
  <c r="AD88" i="6" s="1"/>
  <c r="AA52" i="6"/>
  <c r="AQ52" i="6" s="1"/>
  <c r="Z88" i="6"/>
  <c r="AK88" i="6" s="1"/>
  <c r="AL88" i="6" s="1"/>
  <c r="Z129" i="6"/>
  <c r="AN129" i="6" s="1"/>
  <c r="AI8" i="6"/>
  <c r="Z70" i="6"/>
  <c r="AN70" i="6" s="1"/>
  <c r="AN19" i="6"/>
  <c r="AA90" i="6"/>
  <c r="AQ90" i="6" s="1"/>
  <c r="Z90" i="6"/>
  <c r="AN90" i="6" s="1"/>
  <c r="AH516" i="5"/>
  <c r="AA152" i="6"/>
  <c r="AC152" i="6" s="1"/>
  <c r="AD152" i="6" s="1"/>
  <c r="Z46" i="6"/>
  <c r="AK46" i="6" s="1"/>
  <c r="AL46" i="6" s="1"/>
  <c r="Z145" i="6"/>
  <c r="AF145" i="6" s="1"/>
  <c r="AG145" i="6" s="1"/>
  <c r="AI145" i="6" s="1"/>
  <c r="AA56" i="6"/>
  <c r="AC56" i="6" s="1"/>
  <c r="AD56" i="6" s="1"/>
  <c r="AI32" i="6"/>
  <c r="AA115" i="6"/>
  <c r="AC115" i="6" s="1"/>
  <c r="AD115" i="6" s="1"/>
  <c r="Z115" i="6"/>
  <c r="AN115" i="6" s="1"/>
  <c r="AI118" i="8"/>
  <c r="AU118" i="8" s="1"/>
  <c r="AW118" i="8" s="1"/>
  <c r="Z100" i="6"/>
  <c r="AK100" i="6" s="1"/>
  <c r="AL100" i="6" s="1"/>
  <c r="AF9" i="6"/>
  <c r="AG9" i="6" s="1"/>
  <c r="AI9" i="6" s="1"/>
  <c r="AA46" i="6"/>
  <c r="AQ46" i="6" s="1"/>
  <c r="AA100" i="6"/>
  <c r="AP100" i="6" s="1"/>
  <c r="AA145" i="6"/>
  <c r="AP145" i="6" s="1"/>
  <c r="AA64" i="6"/>
  <c r="AQ64" i="6" s="1"/>
  <c r="Z86" i="6"/>
  <c r="AN86" i="6" s="1"/>
  <c r="AA86" i="6"/>
  <c r="AC86" i="6" s="1"/>
  <c r="AD86" i="6" s="1"/>
  <c r="Z56" i="6"/>
  <c r="AF56" i="6" s="1"/>
  <c r="AG56" i="6" s="1"/>
  <c r="AI56" i="6" s="1"/>
  <c r="AK78" i="8"/>
  <c r="AL78" i="8" s="1"/>
  <c r="AO78" i="8" s="1"/>
  <c r="AW11" i="5"/>
  <c r="AT11" i="5"/>
  <c r="AA121" i="6"/>
  <c r="AC121" i="6" s="1"/>
  <c r="AD121" i="6" s="1"/>
  <c r="Z150" i="6"/>
  <c r="AK150" i="6" s="1"/>
  <c r="AL150" i="6" s="1"/>
  <c r="AF78" i="8"/>
  <c r="AG78" i="8" s="1"/>
  <c r="AI78" i="8" s="1"/>
  <c r="AA43" i="6"/>
  <c r="AC43" i="6" s="1"/>
  <c r="AD43" i="6" s="1"/>
  <c r="Z57" i="6"/>
  <c r="AK57" i="6" s="1"/>
  <c r="AL57" i="6" s="1"/>
  <c r="AF22" i="6"/>
  <c r="AG22" i="6" s="1"/>
  <c r="AI22" i="6" s="1"/>
  <c r="AF34" i="6"/>
  <c r="AG34" i="6" s="1"/>
  <c r="AI34" i="6" s="1"/>
  <c r="AA57" i="6"/>
  <c r="AP57" i="6" s="1"/>
  <c r="Z121" i="6"/>
  <c r="AF121" i="6" s="1"/>
  <c r="AG121" i="6" s="1"/>
  <c r="AI121" i="6" s="1"/>
  <c r="AA150" i="6"/>
  <c r="AP150" i="6" s="1"/>
  <c r="Z43" i="6"/>
  <c r="AF43" i="6" s="1"/>
  <c r="AG43" i="6" s="1"/>
  <c r="AI43" i="6" s="1"/>
  <c r="Z85" i="6"/>
  <c r="AN85" i="6" s="1"/>
  <c r="AI55" i="8"/>
  <c r="AU55" i="8" s="1"/>
  <c r="AW55" i="8" s="1"/>
  <c r="AF12" i="6"/>
  <c r="AG12" i="6" s="1"/>
  <c r="AI12" i="6" s="1"/>
  <c r="AQ34" i="6"/>
  <c r="AI27" i="8"/>
  <c r="Z114" i="6"/>
  <c r="AN114" i="6" s="1"/>
  <c r="AA85" i="6"/>
  <c r="AC85" i="6" s="1"/>
  <c r="AD85" i="6" s="1"/>
  <c r="Z87" i="6"/>
  <c r="AK87" i="6" s="1"/>
  <c r="AL87" i="6" s="1"/>
  <c r="AA155" i="6"/>
  <c r="AC155" i="6" s="1"/>
  <c r="AD155" i="6" s="1"/>
  <c r="Z78" i="6"/>
  <c r="AF78" i="6" s="1"/>
  <c r="AG78" i="6" s="1"/>
  <c r="AI78" i="6" s="1"/>
  <c r="AA105" i="6"/>
  <c r="AC105" i="6" s="1"/>
  <c r="AD105" i="6" s="1"/>
  <c r="AQ30" i="6"/>
  <c r="AA87" i="6"/>
  <c r="AP87" i="6" s="1"/>
  <c r="Z149" i="6"/>
  <c r="AF149" i="6" s="1"/>
  <c r="AG149" i="6" s="1"/>
  <c r="AI149" i="6" s="1"/>
  <c r="AF102" i="8"/>
  <c r="AG102" i="8" s="1"/>
  <c r="AI102" i="8" s="1"/>
  <c r="AQ29" i="6"/>
  <c r="AA78" i="6"/>
  <c r="AP78" i="6" s="1"/>
  <c r="AA149" i="6"/>
  <c r="AQ149" i="6" s="1"/>
  <c r="Z105" i="6"/>
  <c r="AF105" i="6" s="1"/>
  <c r="AG105" i="6" s="1"/>
  <c r="AI105" i="6" s="1"/>
  <c r="Z117" i="6"/>
  <c r="AF117" i="6" s="1"/>
  <c r="AG117" i="6" s="1"/>
  <c r="AI117" i="6" s="1"/>
  <c r="Z119" i="6"/>
  <c r="AF119" i="6" s="1"/>
  <c r="AG119" i="6" s="1"/>
  <c r="AI119" i="6" s="1"/>
  <c r="AA130" i="6"/>
  <c r="AP130" i="6" s="1"/>
  <c r="AI19" i="6"/>
  <c r="Z130" i="6"/>
  <c r="AK130" i="6" s="1"/>
  <c r="AL130" i="6" s="1"/>
  <c r="AA117" i="6"/>
  <c r="AC117" i="6" s="1"/>
  <c r="AD117" i="6" s="1"/>
  <c r="AA119" i="6"/>
  <c r="AP119" i="6" s="1"/>
  <c r="Z41" i="6"/>
  <c r="AF41" i="6" s="1"/>
  <c r="AG41" i="6" s="1"/>
  <c r="AI41" i="6" s="1"/>
  <c r="AI29" i="6"/>
  <c r="Z79" i="6"/>
  <c r="AF79" i="6" s="1"/>
  <c r="AG79" i="6" s="1"/>
  <c r="AI79" i="6" s="1"/>
  <c r="AA50" i="6"/>
  <c r="AC50" i="6" s="1"/>
  <c r="AD50" i="6" s="1"/>
  <c r="AA79" i="6"/>
  <c r="AC79" i="6" s="1"/>
  <c r="AD79" i="6" s="1"/>
  <c r="AC35" i="6"/>
  <c r="AD35" i="6" s="1"/>
  <c r="Z102" i="6"/>
  <c r="AK102" i="6" s="1"/>
  <c r="AL102" i="6" s="1"/>
  <c r="Z50" i="6"/>
  <c r="AF50" i="6" s="1"/>
  <c r="AG50" i="6" s="1"/>
  <c r="AI50" i="6" s="1"/>
  <c r="AP35" i="6"/>
  <c r="AN29" i="6"/>
  <c r="AA102" i="6"/>
  <c r="AQ102" i="6" s="1"/>
  <c r="AA54" i="6"/>
  <c r="AP54" i="6" s="1"/>
  <c r="AI21" i="6"/>
  <c r="AH11" i="5"/>
  <c r="AH54" i="5"/>
  <c r="Z139" i="6"/>
  <c r="AK139" i="6" s="1"/>
  <c r="AL139" i="6" s="1"/>
  <c r="Z96" i="6"/>
  <c r="AN96" i="6" s="1"/>
  <c r="AI20" i="6"/>
  <c r="AI25" i="6"/>
  <c r="AA96" i="6"/>
  <c r="AQ96" i="6" s="1"/>
  <c r="Z54" i="6"/>
  <c r="AF54" i="6" s="1"/>
  <c r="AG54" i="6" s="1"/>
  <c r="AI54" i="6" s="1"/>
  <c r="AA139" i="6"/>
  <c r="AC139" i="6" s="1"/>
  <c r="AD139" i="6" s="1"/>
  <c r="AI18" i="6"/>
  <c r="AA40" i="6"/>
  <c r="AC40" i="6" s="1"/>
  <c r="AD40" i="6" s="1"/>
  <c r="AG141" i="5"/>
  <c r="AI31" i="6"/>
  <c r="AA94" i="6"/>
  <c r="AQ94" i="6" s="1"/>
  <c r="AI14" i="6"/>
  <c r="AN18" i="6"/>
  <c r="AH397" i="5"/>
  <c r="AA108" i="6"/>
  <c r="AP108" i="6" s="1"/>
  <c r="AA41" i="6"/>
  <c r="AC41" i="6" s="1"/>
  <c r="AD41" i="6" s="1"/>
  <c r="Z108" i="6"/>
  <c r="AK108" i="6" s="1"/>
  <c r="AL108" i="6" s="1"/>
  <c r="Z40" i="6"/>
  <c r="AF40" i="6" s="1"/>
  <c r="AG40" i="6" s="1"/>
  <c r="AI40" i="6" s="1"/>
  <c r="Z94" i="6"/>
  <c r="AF94" i="6" s="1"/>
  <c r="AG94" i="6" s="1"/>
  <c r="AI94" i="6" s="1"/>
  <c r="AA123" i="6"/>
  <c r="AQ123" i="6" s="1"/>
  <c r="AA151" i="6"/>
  <c r="AP151" i="6" s="1"/>
  <c r="Z123" i="6"/>
  <c r="AK123" i="6" s="1"/>
  <c r="AL123" i="6" s="1"/>
  <c r="Z151" i="6"/>
  <c r="AK151" i="6" s="1"/>
  <c r="AL151" i="6" s="1"/>
  <c r="Z144" i="6"/>
  <c r="AK144" i="6" s="1"/>
  <c r="AL144" i="6" s="1"/>
  <c r="AG232" i="5"/>
  <c r="Z38" i="8"/>
  <c r="AK38" i="8" s="1"/>
  <c r="AL38" i="8" s="1"/>
  <c r="AI23" i="6"/>
  <c r="AH79" i="5"/>
  <c r="AF35" i="6"/>
  <c r="AG35" i="6" s="1"/>
  <c r="AI35" i="6" s="1"/>
  <c r="Z98" i="6"/>
  <c r="AK98" i="6" s="1"/>
  <c r="AL98" i="6" s="1"/>
  <c r="AA38" i="8"/>
  <c r="AQ38" i="8" s="1"/>
  <c r="AA98" i="6"/>
  <c r="AQ98" i="6" s="1"/>
  <c r="AG106" i="5"/>
  <c r="AG134" i="5"/>
  <c r="AG12" i="5"/>
  <c r="AH538" i="5"/>
  <c r="AI27" i="6"/>
  <c r="AI36" i="6"/>
  <c r="AI11" i="6"/>
  <c r="AH107" i="5"/>
  <c r="AH41" i="5"/>
  <c r="AH528" i="5"/>
  <c r="T11" i="5"/>
  <c r="AG30" i="5"/>
  <c r="AG158" i="5"/>
  <c r="AK102" i="8"/>
  <c r="AL102" i="8" s="1"/>
  <c r="AO102" i="8" s="1"/>
  <c r="AI112" i="8"/>
  <c r="AU112" i="8" s="1"/>
  <c r="AW112" i="8" s="1"/>
  <c r="AC114" i="8"/>
  <c r="AD114" i="8" s="1"/>
  <c r="AI143" i="8"/>
  <c r="AI15" i="6"/>
  <c r="AI106" i="8"/>
  <c r="AU106" i="8" s="1"/>
  <c r="AW106" i="8" s="1"/>
  <c r="AN11" i="6"/>
  <c r="X7" i="6"/>
  <c r="AA7" i="6" s="1"/>
  <c r="AC7" i="6" s="1"/>
  <c r="AD7" i="6" s="1"/>
  <c r="AI26" i="6"/>
  <c r="AC34" i="8"/>
  <c r="AD34" i="8" s="1"/>
  <c r="AI150" i="8"/>
  <c r="AA144" i="6"/>
  <c r="AP144" i="6" s="1"/>
  <c r="X47" i="6"/>
  <c r="AE47" i="6"/>
  <c r="Y47" i="6"/>
  <c r="X44" i="6"/>
  <c r="AJ44" i="6" s="1"/>
  <c r="Y44" i="6"/>
  <c r="AE44" i="6"/>
  <c r="X82" i="6"/>
  <c r="AJ82" i="6" s="1"/>
  <c r="AE82" i="6"/>
  <c r="Y82" i="6"/>
  <c r="Z7" i="6"/>
  <c r="X143" i="6"/>
  <c r="AJ143" i="6" s="1"/>
  <c r="AE143" i="6"/>
  <c r="Y143" i="6"/>
  <c r="X141" i="6"/>
  <c r="AJ141" i="6" s="1"/>
  <c r="AE141" i="6"/>
  <c r="Y141" i="6"/>
  <c r="AE7" i="6"/>
  <c r="X89" i="6"/>
  <c r="AJ89" i="6" s="1"/>
  <c r="Y89" i="6"/>
  <c r="AE89" i="6"/>
  <c r="X48" i="6"/>
  <c r="AJ48" i="6" s="1"/>
  <c r="Y48" i="6"/>
  <c r="AE48" i="6"/>
  <c r="X132" i="6"/>
  <c r="AJ132" i="6" s="1"/>
  <c r="Y132" i="6"/>
  <c r="AE132" i="6"/>
  <c r="X135" i="6"/>
  <c r="AJ135" i="6" s="1"/>
  <c r="AE135" i="6"/>
  <c r="Y135" i="6"/>
  <c r="AH515" i="5"/>
  <c r="AG558" i="5"/>
  <c r="AH246" i="5"/>
  <c r="AI23" i="8"/>
  <c r="AU23" i="8" s="1"/>
  <c r="AW23" i="8" s="1"/>
  <c r="AI92" i="8"/>
  <c r="AC17" i="6"/>
  <c r="AD17" i="6" s="1"/>
  <c r="AI9" i="8"/>
  <c r="AU9" i="8" s="1"/>
  <c r="AW9" i="8" s="1"/>
  <c r="AI7" i="8"/>
  <c r="AU7" i="8" s="1"/>
  <c r="AW7" i="8" s="1"/>
  <c r="AI152" i="8"/>
  <c r="AU152" i="8" s="1"/>
  <c r="AW152" i="8" s="1"/>
  <c r="AP42" i="8"/>
  <c r="AI63" i="8"/>
  <c r="AC10" i="6"/>
  <c r="AD10" i="6" s="1"/>
  <c r="AC42" i="8"/>
  <c r="AD42" i="8" s="1"/>
  <c r="AQ25" i="6"/>
  <c r="AC25" i="6"/>
  <c r="AD25" i="6" s="1"/>
  <c r="AP25" i="6"/>
  <c r="AP18" i="6"/>
  <c r="AC18" i="6"/>
  <c r="AD18" i="6" s="1"/>
  <c r="AQ18" i="6"/>
  <c r="AC19" i="6"/>
  <c r="AD19" i="6" s="1"/>
  <c r="AP19" i="6"/>
  <c r="AQ19" i="6"/>
  <c r="AC20" i="6"/>
  <c r="AD20" i="6" s="1"/>
  <c r="AP20" i="6"/>
  <c r="AQ20" i="6"/>
  <c r="AC13" i="6"/>
  <c r="AD13" i="6" s="1"/>
  <c r="AP13" i="6"/>
  <c r="AQ13" i="6"/>
  <c r="AP8" i="6"/>
  <c r="AQ8" i="6"/>
  <c r="AC8" i="6"/>
  <c r="AD8" i="6" s="1"/>
  <c r="AP15" i="6"/>
  <c r="AC15" i="6"/>
  <c r="AD15" i="6" s="1"/>
  <c r="AQ15" i="6"/>
  <c r="AC21" i="6"/>
  <c r="AD21" i="6" s="1"/>
  <c r="AQ21" i="6"/>
  <c r="AP21" i="6"/>
  <c r="AP9" i="6"/>
  <c r="AQ9" i="6"/>
  <c r="AC9" i="6"/>
  <c r="AD9" i="6" s="1"/>
  <c r="AP24" i="6"/>
  <c r="AC24" i="6"/>
  <c r="AD24" i="6" s="1"/>
  <c r="AQ24" i="6"/>
  <c r="AP23" i="6"/>
  <c r="AQ23" i="6"/>
  <c r="AC23" i="6"/>
  <c r="AD23" i="6" s="1"/>
  <c r="AQ12" i="6"/>
  <c r="AC12" i="6"/>
  <c r="AD12" i="6" s="1"/>
  <c r="AP12" i="6"/>
  <c r="AP11" i="6"/>
  <c r="AQ11" i="6"/>
  <c r="AC11" i="6"/>
  <c r="AD11" i="6" s="1"/>
  <c r="AC22" i="6"/>
  <c r="AD22" i="6" s="1"/>
  <c r="AP22" i="6"/>
  <c r="AQ22" i="6"/>
  <c r="AC14" i="6"/>
  <c r="AD14" i="6" s="1"/>
  <c r="AP14" i="6"/>
  <c r="AQ14" i="6"/>
  <c r="AQ16" i="6"/>
  <c r="AP16" i="6"/>
  <c r="AC16" i="6"/>
  <c r="AD16" i="6" s="1"/>
  <c r="AP26" i="6"/>
  <c r="AC26" i="6"/>
  <c r="AD26" i="6" s="1"/>
  <c r="AQ26" i="6"/>
  <c r="AQ10" i="6"/>
  <c r="AQ134" i="8"/>
  <c r="AP17" i="6"/>
  <c r="AP34" i="8"/>
  <c r="AF87" i="8"/>
  <c r="AG87" i="8" s="1"/>
  <c r="AI87" i="8" s="1"/>
  <c r="AK87" i="8"/>
  <c r="AL87" i="8" s="1"/>
  <c r="AO87" i="8" s="1"/>
  <c r="AI95" i="8"/>
  <c r="AU95" i="8" s="1"/>
  <c r="AW95" i="8" s="1"/>
  <c r="AC56" i="8"/>
  <c r="AD56" i="8" s="1"/>
  <c r="AP56" i="8"/>
  <c r="AF91" i="8"/>
  <c r="AG91" i="8" s="1"/>
  <c r="AI91" i="8" s="1"/>
  <c r="AC134" i="8"/>
  <c r="AD134" i="8" s="1"/>
  <c r="AP114" i="8"/>
  <c r="AK51" i="8"/>
  <c r="AL51" i="8" s="1"/>
  <c r="AO51" i="8" s="1"/>
  <c r="AF51" i="8"/>
  <c r="AG51" i="8" s="1"/>
  <c r="AI51" i="8" s="1"/>
  <c r="AK91" i="8"/>
  <c r="AL91" i="8" s="1"/>
  <c r="AO91" i="8" s="1"/>
  <c r="AP136" i="8"/>
  <c r="AQ136" i="8"/>
  <c r="AC136" i="8"/>
  <c r="AD136" i="8" s="1"/>
  <c r="AQ45" i="8"/>
  <c r="AP45" i="8"/>
  <c r="AC45" i="8"/>
  <c r="AD45" i="8" s="1"/>
  <c r="AQ153" i="8"/>
  <c r="AP153" i="8"/>
  <c r="AC153" i="8"/>
  <c r="AD153" i="8" s="1"/>
  <c r="AQ139" i="8"/>
  <c r="AP139" i="8"/>
  <c r="AC139" i="8"/>
  <c r="AD139" i="8" s="1"/>
  <c r="AN148" i="8"/>
  <c r="AF148" i="8"/>
  <c r="AG148" i="8" s="1"/>
  <c r="AI148" i="8" s="1"/>
  <c r="AC33" i="8"/>
  <c r="AD33" i="8" s="1"/>
  <c r="AQ33" i="8"/>
  <c r="AP33" i="8"/>
  <c r="AN43" i="8"/>
  <c r="AN56" i="8"/>
  <c r="AF56" i="8"/>
  <c r="AG56" i="8" s="1"/>
  <c r="AI56" i="8" s="1"/>
  <c r="AQ30" i="8"/>
  <c r="AP30" i="8"/>
  <c r="AC30" i="8"/>
  <c r="AD30" i="8" s="1"/>
  <c r="AN156" i="8"/>
  <c r="AF156" i="8"/>
  <c r="AG156" i="8" s="1"/>
  <c r="AI156" i="8" s="1"/>
  <c r="AN34" i="8"/>
  <c r="AF34" i="8"/>
  <c r="AG34" i="8" s="1"/>
  <c r="AI34" i="8" s="1"/>
  <c r="AF129" i="8"/>
  <c r="AG129" i="8" s="1"/>
  <c r="AI129" i="8" s="1"/>
  <c r="AI90" i="8"/>
  <c r="AQ133" i="8"/>
  <c r="AC133" i="8"/>
  <c r="AD133" i="8" s="1"/>
  <c r="AP133" i="8"/>
  <c r="AQ81" i="8"/>
  <c r="AP81" i="8"/>
  <c r="AC81" i="8"/>
  <c r="AD81" i="8" s="1"/>
  <c r="AN151" i="8"/>
  <c r="AF151" i="8"/>
  <c r="AG151" i="8" s="1"/>
  <c r="AI151" i="8" s="1"/>
  <c r="AC11" i="8"/>
  <c r="AD11" i="8" s="1"/>
  <c r="AQ11" i="8"/>
  <c r="AP11" i="8"/>
  <c r="AK151" i="8"/>
  <c r="AL151" i="8" s="1"/>
  <c r="AI138" i="8"/>
  <c r="AC65" i="8"/>
  <c r="AD65" i="8" s="1"/>
  <c r="AQ65" i="8"/>
  <c r="AP65" i="8"/>
  <c r="AN81" i="8"/>
  <c r="AF81" i="8"/>
  <c r="AG81" i="8" s="1"/>
  <c r="AI81" i="8" s="1"/>
  <c r="AQ16" i="8"/>
  <c r="AC16" i="8"/>
  <c r="AD16" i="8" s="1"/>
  <c r="AP16" i="8"/>
  <c r="AN125" i="8"/>
  <c r="AF125" i="8"/>
  <c r="AG125" i="8" s="1"/>
  <c r="AI125" i="8" s="1"/>
  <c r="AQ79" i="8"/>
  <c r="AP79" i="8"/>
  <c r="AC79" i="8"/>
  <c r="AD79" i="8" s="1"/>
  <c r="AN134" i="8"/>
  <c r="AF134" i="8"/>
  <c r="AG134" i="8" s="1"/>
  <c r="AI134" i="8" s="1"/>
  <c r="AN64" i="8"/>
  <c r="AF64" i="8"/>
  <c r="AG64" i="8" s="1"/>
  <c r="AI64" i="8" s="1"/>
  <c r="AP80" i="8"/>
  <c r="AC80" i="8"/>
  <c r="AD80" i="8" s="1"/>
  <c r="AQ80" i="8"/>
  <c r="AQ119" i="8"/>
  <c r="AP119" i="8"/>
  <c r="AC119" i="8"/>
  <c r="AD119" i="8" s="1"/>
  <c r="AN35" i="8"/>
  <c r="AF35" i="8"/>
  <c r="AG35" i="8" s="1"/>
  <c r="AI35" i="8" s="1"/>
  <c r="AN30" i="8"/>
  <c r="AF30" i="8"/>
  <c r="AG30" i="8" s="1"/>
  <c r="AI30" i="8" s="1"/>
  <c r="AK56" i="8"/>
  <c r="AL56" i="8" s="1"/>
  <c r="AK64" i="8"/>
  <c r="AL64" i="8" s="1"/>
  <c r="AN45" i="8"/>
  <c r="AO45" i="8" s="1"/>
  <c r="AF45" i="8"/>
  <c r="AG45" i="8" s="1"/>
  <c r="AI45" i="8" s="1"/>
  <c r="AN33" i="8"/>
  <c r="AF33" i="8"/>
  <c r="AG33" i="8" s="1"/>
  <c r="AI33" i="8" s="1"/>
  <c r="AN121" i="8"/>
  <c r="AF121" i="8"/>
  <c r="AG121" i="8" s="1"/>
  <c r="AI121" i="8" s="1"/>
  <c r="AN146" i="8"/>
  <c r="AF146" i="8"/>
  <c r="AG146" i="8" s="1"/>
  <c r="AI146" i="8" s="1"/>
  <c r="AN31" i="8"/>
  <c r="AO31" i="8" s="1"/>
  <c r="AF31" i="8"/>
  <c r="AG31" i="8" s="1"/>
  <c r="AI31" i="8" s="1"/>
  <c r="AN114" i="8"/>
  <c r="AO114" i="8" s="1"/>
  <c r="AF114" i="8"/>
  <c r="AG114" i="8" s="1"/>
  <c r="AI114" i="8" s="1"/>
  <c r="AQ29" i="8"/>
  <c r="AP29" i="8"/>
  <c r="AC29" i="8"/>
  <c r="AD29" i="8" s="1"/>
  <c r="AQ35" i="8"/>
  <c r="AP35" i="8"/>
  <c r="AC35" i="8"/>
  <c r="AD35" i="8" s="1"/>
  <c r="AN98" i="8"/>
  <c r="AO98" i="8" s="1"/>
  <c r="AF98" i="8"/>
  <c r="AG98" i="8" s="1"/>
  <c r="AI98" i="8" s="1"/>
  <c r="AP53" i="8"/>
  <c r="AQ53" i="8"/>
  <c r="AC53" i="8"/>
  <c r="AD53" i="8" s="1"/>
  <c r="AP98" i="8"/>
  <c r="AQ98" i="8"/>
  <c r="AC98" i="8"/>
  <c r="AD98" i="8" s="1"/>
  <c r="AK146" i="8"/>
  <c r="AL146" i="8" s="1"/>
  <c r="AN53" i="8"/>
  <c r="AF53" i="8"/>
  <c r="AG53" i="8" s="1"/>
  <c r="AI53" i="8" s="1"/>
  <c r="AN139" i="8"/>
  <c r="AF139" i="8"/>
  <c r="AG139" i="8" s="1"/>
  <c r="AI139" i="8" s="1"/>
  <c r="AK30" i="8"/>
  <c r="AL30" i="8" s="1"/>
  <c r="AN153" i="8"/>
  <c r="AF153" i="8"/>
  <c r="AG153" i="8" s="1"/>
  <c r="AI153" i="8" s="1"/>
  <c r="AP102" i="8"/>
  <c r="AQ102" i="8"/>
  <c r="AC102" i="8"/>
  <c r="AD102" i="8" s="1"/>
  <c r="AQ17" i="8"/>
  <c r="AK125" i="8"/>
  <c r="AL125" i="8" s="1"/>
  <c r="AN42" i="8"/>
  <c r="AF42" i="8"/>
  <c r="AG42" i="8" s="1"/>
  <c r="AI42" i="8" s="1"/>
  <c r="AK81" i="8"/>
  <c r="AL81" i="8" s="1"/>
  <c r="AN65" i="8"/>
  <c r="AO65" i="8" s="1"/>
  <c r="AF65" i="8"/>
  <c r="AG65" i="8" s="1"/>
  <c r="AI65" i="8" s="1"/>
  <c r="AP125" i="8"/>
  <c r="AC125" i="8"/>
  <c r="AD125" i="8" s="1"/>
  <c r="AQ125" i="8"/>
  <c r="AN133" i="8"/>
  <c r="AO133" i="8" s="1"/>
  <c r="AF133" i="8"/>
  <c r="AG133" i="8" s="1"/>
  <c r="AI133" i="8" s="1"/>
  <c r="AQ148" i="8"/>
  <c r="AP148" i="8"/>
  <c r="AC148" i="8"/>
  <c r="AD148" i="8" s="1"/>
  <c r="AC13" i="8"/>
  <c r="AD13" i="8" s="1"/>
  <c r="AQ13" i="8"/>
  <c r="AP13" i="8"/>
  <c r="AK153" i="8"/>
  <c r="AL153" i="8" s="1"/>
  <c r="AN136" i="8"/>
  <c r="AO136" i="8" s="1"/>
  <c r="AF136" i="8"/>
  <c r="AG136" i="8" s="1"/>
  <c r="AI136" i="8" s="1"/>
  <c r="AN11" i="8"/>
  <c r="AO11" i="8" s="1"/>
  <c r="AF11" i="8"/>
  <c r="AG11" i="8" s="1"/>
  <c r="AI11" i="8" s="1"/>
  <c r="AN119" i="8"/>
  <c r="AO119" i="8" s="1"/>
  <c r="AF119" i="8"/>
  <c r="AG119" i="8" s="1"/>
  <c r="AI119" i="8" s="1"/>
  <c r="AK134" i="8"/>
  <c r="AL134" i="8" s="1"/>
  <c r="AI50" i="8"/>
  <c r="AQ151" i="8"/>
  <c r="AP151" i="8"/>
  <c r="AC151" i="8"/>
  <c r="AD151" i="8" s="1"/>
  <c r="AC74" i="8"/>
  <c r="AD74" i="8" s="1"/>
  <c r="AQ74" i="8"/>
  <c r="AK35" i="8"/>
  <c r="AL35" i="8" s="1"/>
  <c r="AP87" i="8"/>
  <c r="AC87" i="8"/>
  <c r="AD87" i="8" s="1"/>
  <c r="AQ87" i="8"/>
  <c r="AC91" i="8"/>
  <c r="AD91" i="8" s="1"/>
  <c r="AQ91" i="8"/>
  <c r="AP91" i="8"/>
  <c r="AK148" i="8"/>
  <c r="AL148" i="8" s="1"/>
  <c r="AP83" i="8"/>
  <c r="AK156" i="8"/>
  <c r="AL156" i="8" s="1"/>
  <c r="AC121" i="8"/>
  <c r="AD121" i="8" s="1"/>
  <c r="AP121" i="8"/>
  <c r="AQ121" i="8"/>
  <c r="AP146" i="8"/>
  <c r="AC146" i="8"/>
  <c r="AD146" i="8" s="1"/>
  <c r="AQ146" i="8"/>
  <c r="AN37" i="8"/>
  <c r="AO37" i="8" s="1"/>
  <c r="AF37" i="8"/>
  <c r="AG37" i="8" s="1"/>
  <c r="AI37" i="8" s="1"/>
  <c r="AK29" i="8"/>
  <c r="AL29" i="8" s="1"/>
  <c r="AN79" i="8"/>
  <c r="AF79" i="8"/>
  <c r="AG79" i="8" s="1"/>
  <c r="AI79" i="8" s="1"/>
  <c r="AN72" i="8"/>
  <c r="AO72" i="8" s="1"/>
  <c r="AF72" i="8"/>
  <c r="AG72" i="8" s="1"/>
  <c r="AI72" i="8" s="1"/>
  <c r="AC31" i="8"/>
  <c r="AD31" i="8" s="1"/>
  <c r="AQ31" i="8"/>
  <c r="AP31" i="8"/>
  <c r="AQ51" i="8"/>
  <c r="AP51" i="8"/>
  <c r="AC51" i="8"/>
  <c r="AD51" i="8" s="1"/>
  <c r="AK33" i="8"/>
  <c r="AL33" i="8" s="1"/>
  <c r="AK79" i="8"/>
  <c r="AL79" i="8" s="1"/>
  <c r="AG178" i="5"/>
  <c r="AH389" i="5"/>
  <c r="AH510" i="5"/>
  <c r="AP101" i="6"/>
  <c r="AH527" i="5"/>
  <c r="AQ101" i="6"/>
  <c r="AH95" i="5"/>
  <c r="AG201" i="5"/>
  <c r="AG230" i="5"/>
  <c r="AG512" i="5"/>
  <c r="AH391" i="5"/>
  <c r="AH28" i="5"/>
  <c r="AG312" i="5"/>
  <c r="AG436" i="5"/>
  <c r="AG167" i="5"/>
  <c r="AG521" i="5"/>
  <c r="AG466" i="5"/>
  <c r="AG204" i="5"/>
  <c r="AG335" i="5"/>
  <c r="AH439" i="5"/>
  <c r="AH39" i="5"/>
  <c r="AG301" i="5"/>
  <c r="AH416" i="5"/>
  <c r="AG27" i="5"/>
  <c r="AG426" i="5"/>
  <c r="AH240" i="5"/>
  <c r="AG210" i="5"/>
  <c r="AG457" i="5"/>
  <c r="AH534" i="5"/>
  <c r="AH156" i="5"/>
  <c r="AG318" i="5"/>
  <c r="AG196" i="5"/>
  <c r="AH215" i="5"/>
  <c r="AG470" i="5"/>
  <c r="AH399" i="5"/>
  <c r="AG117" i="5"/>
  <c r="AH249" i="5"/>
  <c r="AH205" i="5"/>
  <c r="AG126" i="5"/>
  <c r="AN39" i="6"/>
  <c r="AO39" i="6" s="1"/>
  <c r="AH231" i="5"/>
  <c r="AH465" i="5"/>
  <c r="AG281" i="5"/>
  <c r="AG161" i="5"/>
  <c r="AH353" i="5"/>
  <c r="AH310" i="5"/>
  <c r="AG227" i="5"/>
  <c r="AH219" i="5"/>
  <c r="AG190" i="5"/>
  <c r="AG273" i="5"/>
  <c r="AH208" i="5"/>
  <c r="AH324" i="5"/>
  <c r="AH36" i="5"/>
  <c r="AG383" i="5"/>
  <c r="AH37" i="5"/>
  <c r="AG26" i="5"/>
  <c r="AH71" i="5"/>
  <c r="AH375" i="5"/>
  <c r="AG467" i="5"/>
  <c r="AH10" i="5"/>
  <c r="AG116" i="5"/>
  <c r="AG413" i="5"/>
  <c r="AG438" i="5"/>
  <c r="AG374" i="5"/>
  <c r="AG55" i="5"/>
  <c r="AG477" i="5"/>
  <c r="AG427" i="5"/>
  <c r="AG103" i="5"/>
  <c r="AH97" i="5"/>
  <c r="AG425" i="5"/>
  <c r="AG81" i="5"/>
  <c r="AG248" i="5"/>
  <c r="AG154" i="5"/>
  <c r="AG216" i="5"/>
  <c r="AG38" i="5"/>
  <c r="AG429" i="5"/>
  <c r="AG174" i="5"/>
  <c r="AG133" i="5"/>
  <c r="AF39" i="6"/>
  <c r="AG39" i="6" s="1"/>
  <c r="AI39" i="6" s="1"/>
  <c r="AG184" i="5"/>
  <c r="AH91" i="5"/>
  <c r="AH548" i="5"/>
  <c r="AH294" i="5"/>
  <c r="AG62" i="5"/>
  <c r="AG47" i="5"/>
  <c r="AH147" i="5"/>
  <c r="AG370" i="5"/>
  <c r="AH325" i="5"/>
  <c r="AG44" i="5"/>
  <c r="AG405" i="5"/>
  <c r="AG300" i="5"/>
  <c r="AH471" i="5"/>
  <c r="AH163" i="5"/>
  <c r="AH131" i="5"/>
  <c r="AG77" i="5"/>
  <c r="AG440" i="5"/>
  <c r="AH451" i="5"/>
  <c r="AG40" i="5"/>
  <c r="AG29" i="5"/>
  <c r="AH404" i="5"/>
  <c r="AH410" i="5"/>
  <c r="AG172" i="5"/>
  <c r="AG396" i="5"/>
  <c r="AH329" i="5"/>
  <c r="AG496" i="5"/>
  <c r="AH244" i="5"/>
  <c r="AH7" i="5"/>
  <c r="AH352" i="5"/>
  <c r="AG207" i="5"/>
  <c r="AG150" i="5"/>
  <c r="AH340" i="5"/>
  <c r="AH105" i="5"/>
  <c r="AG514" i="5"/>
  <c r="AG251" i="5"/>
  <c r="AG130" i="5"/>
  <c r="AH535" i="5"/>
  <c r="AG493" i="5"/>
  <c r="AH288" i="5"/>
  <c r="AG22" i="5"/>
  <c r="AH424" i="5"/>
  <c r="AH511" i="5"/>
  <c r="AG380" i="5"/>
  <c r="AG187" i="5"/>
  <c r="AH488" i="5"/>
  <c r="AG115" i="5"/>
  <c r="AH203" i="5"/>
  <c r="AH224" i="5"/>
  <c r="AH499" i="5"/>
  <c r="AH225" i="5"/>
  <c r="AG146" i="5"/>
  <c r="AH148" i="5"/>
  <c r="AH93" i="5"/>
  <c r="AH245" i="5"/>
  <c r="AH508" i="5"/>
  <c r="AQ39" i="6"/>
  <c r="AG377" i="5"/>
  <c r="AP39" i="6"/>
  <c r="AG222" i="5"/>
  <c r="AH87" i="5"/>
  <c r="AH326" i="5"/>
  <c r="AH278" i="5"/>
  <c r="AH341" i="5"/>
  <c r="AG274" i="5"/>
  <c r="AH186" i="5"/>
  <c r="AH355" i="5"/>
  <c r="AH292" i="5"/>
  <c r="AG259" i="5"/>
  <c r="AH164" i="5"/>
  <c r="AH100" i="5"/>
  <c r="AH102" i="5"/>
  <c r="AG193" i="5"/>
  <c r="AG291" i="5"/>
  <c r="AH135" i="5"/>
  <c r="AG297" i="5"/>
  <c r="AG343" i="5"/>
  <c r="AG50" i="5"/>
  <c r="AH314" i="5"/>
  <c r="AG84" i="5"/>
  <c r="AH217" i="5"/>
  <c r="AG323" i="5"/>
  <c r="AH275" i="5"/>
  <c r="AG520" i="5"/>
  <c r="AG354" i="5"/>
  <c r="AG118" i="5"/>
  <c r="AG233" i="5"/>
  <c r="AH367" i="5"/>
  <c r="AG220" i="5"/>
  <c r="AG43" i="5"/>
  <c r="AG182" i="5"/>
  <c r="AG362" i="5"/>
  <c r="AH165" i="5"/>
  <c r="AG234" i="5"/>
  <c r="AG476" i="5"/>
  <c r="AH57" i="5"/>
  <c r="AG350" i="5"/>
  <c r="AH386" i="5"/>
  <c r="AG64" i="5"/>
  <c r="AG13" i="5"/>
  <c r="AG289" i="5"/>
  <c r="AG418" i="5"/>
  <c r="AG485" i="5"/>
  <c r="AH347" i="5"/>
  <c r="AH159" i="5"/>
  <c r="AG32" i="5"/>
  <c r="AH290" i="5"/>
  <c r="AH385" i="5"/>
  <c r="AH489" i="5"/>
  <c r="AH140" i="5"/>
  <c r="AH270" i="5"/>
  <c r="AH269" i="5"/>
  <c r="AG286" i="5"/>
  <c r="AG522" i="5"/>
  <c r="AH409" i="5"/>
  <c r="AH111" i="5"/>
  <c r="AH239" i="5"/>
  <c r="AH406" i="5"/>
  <c r="AH495" i="5"/>
  <c r="AG139" i="5"/>
  <c r="AH491" i="5"/>
  <c r="AH460" i="5"/>
  <c r="AH537" i="5"/>
  <c r="AG351" i="5"/>
  <c r="AH293" i="5"/>
  <c r="AH322" i="5"/>
  <c r="AH155" i="5"/>
  <c r="AG327" i="5"/>
  <c r="AG237" i="5"/>
  <c r="AH277" i="5"/>
  <c r="AG541" i="5"/>
  <c r="AG321" i="5"/>
  <c r="AG372" i="5"/>
  <c r="AG317" i="5"/>
  <c r="AG256" i="5"/>
  <c r="AH356" i="5"/>
  <c r="AH311" i="5"/>
  <c r="AG549" i="5"/>
  <c r="AH502" i="5"/>
  <c r="AH531" i="5"/>
  <c r="AG468" i="5"/>
  <c r="AG169" i="5"/>
  <c r="AG128" i="5"/>
  <c r="AG85" i="5"/>
  <c r="AH448" i="5"/>
  <c r="AH121" i="5"/>
  <c r="AH65" i="5"/>
  <c r="AG393" i="5"/>
  <c r="AG48" i="5"/>
  <c r="AH223" i="5"/>
  <c r="AG412" i="5"/>
  <c r="AH363" i="5"/>
  <c r="AG263" i="5"/>
  <c r="AH261" i="5"/>
  <c r="AG170" i="5"/>
  <c r="AH132" i="5"/>
  <c r="AG500" i="5"/>
  <c r="AH545" i="5"/>
  <c r="AH73" i="5"/>
  <c r="AG401" i="5"/>
  <c r="AH529" i="5"/>
  <c r="AG473" i="5"/>
  <c r="AG252" i="5"/>
  <c r="AG285" i="5"/>
  <c r="AG241" i="5"/>
  <c r="AH80" i="5"/>
  <c r="AH542" i="5"/>
  <c r="AH461" i="5"/>
  <c r="AH287" i="5"/>
  <c r="AG492" i="5"/>
  <c r="AH75" i="5"/>
  <c r="AG423" i="5"/>
  <c r="AG88" i="5"/>
  <c r="AG484" i="5"/>
  <c r="AH96" i="5"/>
  <c r="AH8" i="5"/>
  <c r="AG149" i="5"/>
  <c r="AH68" i="5"/>
  <c r="AG151" i="5"/>
  <c r="AG505" i="5"/>
  <c r="AH458" i="5"/>
  <c r="AG127" i="5"/>
  <c r="AG74" i="5"/>
  <c r="AH280" i="5"/>
  <c r="AG209" i="5"/>
  <c r="AH191" i="5"/>
  <c r="AH371" i="5"/>
  <c r="AG464" i="5"/>
  <c r="AH501" i="5"/>
  <c r="AG101" i="5"/>
  <c r="AG308" i="5"/>
  <c r="AH443" i="5"/>
  <c r="AG175" i="5"/>
  <c r="AG494" i="5"/>
  <c r="AH33" i="5"/>
  <c r="AG188" i="5"/>
  <c r="AG99" i="5"/>
  <c r="AH444" i="5"/>
  <c r="AH462" i="5"/>
  <c r="AG334" i="5"/>
  <c r="AH408" i="5"/>
  <c r="AH475" i="5"/>
  <c r="AG560" i="5"/>
  <c r="AG21" i="5"/>
  <c r="AG86" i="5"/>
  <c r="AG365" i="5"/>
  <c r="AH160" i="5"/>
  <c r="AH419" i="5"/>
  <c r="AH180" i="5"/>
  <c r="AH120" i="5"/>
  <c r="AG162" i="5"/>
  <c r="AH250" i="5"/>
  <c r="AG268" i="5"/>
  <c r="AH214" i="5"/>
  <c r="AG452" i="5"/>
  <c r="AG364" i="5"/>
  <c r="AG486" i="5"/>
  <c r="AG157" i="5"/>
  <c r="AG339" i="5"/>
  <c r="AG254" i="5"/>
  <c r="AG198" i="5"/>
  <c r="AG258" i="5"/>
  <c r="AH517" i="5"/>
  <c r="AH58" i="5"/>
  <c r="AG398" i="5"/>
  <c r="AG257" i="5"/>
  <c r="AG113" i="5"/>
  <c r="AH422" i="5"/>
  <c r="AG66" i="5"/>
  <c r="AG179" i="5"/>
  <c r="AH109" i="5"/>
  <c r="AG359" i="5"/>
  <c r="AG553" i="5"/>
  <c r="AH446" i="5"/>
  <c r="AH509" i="5"/>
  <c r="AG407" i="5"/>
  <c r="AG358" i="5"/>
  <c r="AG513" i="5"/>
  <c r="AG320" i="5"/>
  <c r="AG431" i="5"/>
  <c r="AG487" i="5"/>
  <c r="AG123" i="5"/>
  <c r="AH497" i="5"/>
  <c r="AG523" i="5"/>
  <c r="AG543" i="5"/>
  <c r="AH136" i="5"/>
  <c r="AG34" i="5"/>
  <c r="AH53" i="5"/>
  <c r="AG378" i="5"/>
  <c r="AH402" i="5"/>
  <c r="AG430" i="5"/>
  <c r="AG503" i="5"/>
  <c r="AH189" i="5"/>
  <c r="AG384" i="5"/>
  <c r="AG539" i="5"/>
  <c r="AG122" i="5"/>
  <c r="AH226" i="5"/>
  <c r="AG235" i="5"/>
  <c r="AH307" i="5"/>
  <c r="AH199" i="5"/>
  <c r="AH483" i="5"/>
  <c r="AH56" i="5"/>
  <c r="AG212" i="5"/>
  <c r="AG104" i="5"/>
  <c r="AG552" i="5"/>
  <c r="AH46" i="5"/>
  <c r="AG411" i="5"/>
  <c r="AG45" i="5"/>
  <c r="AG390" i="5"/>
  <c r="AG145" i="5"/>
  <c r="AG206" i="5"/>
  <c r="AH143" i="5"/>
  <c r="AG242" i="5"/>
  <c r="AH72" i="5"/>
  <c r="AG348" i="5"/>
  <c r="AH279" i="5"/>
  <c r="AG171" i="5"/>
  <c r="AH540" i="5"/>
  <c r="AH176" i="5"/>
  <c r="AG316" i="5"/>
  <c r="AG526" i="5"/>
  <c r="AG360" i="5"/>
  <c r="AH449" i="5"/>
  <c r="AG283" i="5"/>
  <c r="AH194" i="5"/>
  <c r="AG59" i="5"/>
  <c r="AH142" i="5"/>
  <c r="AG63" i="5"/>
  <c r="AH76" i="5"/>
  <c r="AG479" i="5"/>
  <c r="AG337" i="5"/>
  <c r="AH221" i="5"/>
  <c r="AH82" i="5"/>
  <c r="AG276" i="5"/>
  <c r="AH544" i="5"/>
  <c r="AH480" i="5"/>
  <c r="AG83" i="5"/>
  <c r="AH328" i="5"/>
  <c r="AG313" i="5"/>
  <c r="AG331" i="5"/>
  <c r="AG454" i="5"/>
  <c r="AG345" i="5"/>
  <c r="AH267" i="5"/>
  <c r="AG124" i="5"/>
  <c r="AG173" i="5"/>
  <c r="AG559" i="5"/>
  <c r="AG70" i="5"/>
  <c r="AG309" i="5"/>
  <c r="AG546" i="5"/>
  <c r="AG185" i="5"/>
  <c r="AH262" i="5"/>
  <c r="AH455" i="5"/>
  <c r="AH342" i="5"/>
  <c r="AG202" i="5"/>
  <c r="AG255" i="5"/>
  <c r="AH554" i="5"/>
  <c r="AH447" i="5"/>
  <c r="AG24" i="5"/>
  <c r="AG183" i="5"/>
  <c r="AH243" i="5"/>
  <c r="AG284" i="5"/>
  <c r="AG456" i="5"/>
  <c r="AG125" i="5"/>
  <c r="AH463" i="5"/>
  <c r="AH302" i="5"/>
  <c r="AH211" i="5"/>
  <c r="AH481" i="5"/>
  <c r="AH20" i="5"/>
  <c r="AH382" i="5"/>
  <c r="AH271" i="5"/>
  <c r="AH94" i="5"/>
  <c r="AG166" i="5"/>
  <c r="AG366" i="5"/>
  <c r="AH506" i="5"/>
  <c r="AG119" i="5"/>
  <c r="AH551" i="5"/>
  <c r="AH482" i="5"/>
  <c r="AJ20" i="6"/>
  <c r="AK20" i="6"/>
  <c r="AL20" i="6" s="1"/>
  <c r="AJ25" i="6"/>
  <c r="AK25" i="6"/>
  <c r="AL25" i="6" s="1"/>
  <c r="AJ16" i="6"/>
  <c r="AK16" i="6"/>
  <c r="AL16" i="6" s="1"/>
  <c r="AO16" i="6" s="1"/>
  <c r="AJ9" i="6"/>
  <c r="AK9" i="6"/>
  <c r="AL9" i="6" s="1"/>
  <c r="AO9" i="6" s="1"/>
  <c r="AJ19" i="6"/>
  <c r="AK19" i="6"/>
  <c r="AL19" i="6" s="1"/>
  <c r="AJ28" i="6"/>
  <c r="AK28" i="6"/>
  <c r="AL28" i="6" s="1"/>
  <c r="AO28" i="6" s="1"/>
  <c r="AJ13" i="6"/>
  <c r="AK13" i="6"/>
  <c r="AL13" i="6" s="1"/>
  <c r="AO13" i="6" s="1"/>
  <c r="AJ33" i="6"/>
  <c r="AK33" i="6"/>
  <c r="AL33" i="6" s="1"/>
  <c r="AJ12" i="6"/>
  <c r="AK12" i="6"/>
  <c r="AL12" i="6" s="1"/>
  <c r="AO12" i="6" s="1"/>
  <c r="AJ27" i="6"/>
  <c r="AK27" i="6"/>
  <c r="AL27" i="6" s="1"/>
  <c r="AJ15" i="6"/>
  <c r="AK15" i="6"/>
  <c r="AL15" i="6" s="1"/>
  <c r="AJ34" i="6"/>
  <c r="AK34" i="6"/>
  <c r="AL34" i="6" s="1"/>
  <c r="AO34" i="6" s="1"/>
  <c r="AJ31" i="6"/>
  <c r="AK31" i="6"/>
  <c r="AL31" i="6" s="1"/>
  <c r="AJ35" i="6"/>
  <c r="AK35" i="6"/>
  <c r="AL35" i="6" s="1"/>
  <c r="AO35" i="6" s="1"/>
  <c r="AJ26" i="6"/>
  <c r="AK26" i="6"/>
  <c r="AL26" i="6" s="1"/>
  <c r="AJ11" i="6"/>
  <c r="AK11" i="6"/>
  <c r="AL11" i="6" s="1"/>
  <c r="AJ8" i="6"/>
  <c r="AK8" i="6"/>
  <c r="AL8" i="6" s="1"/>
  <c r="AJ22" i="6"/>
  <c r="AK22" i="6"/>
  <c r="AL22" i="6" s="1"/>
  <c r="AO22" i="6" s="1"/>
  <c r="AJ18" i="6"/>
  <c r="AK18" i="6"/>
  <c r="AL18" i="6" s="1"/>
  <c r="AJ30" i="6"/>
  <c r="AK30" i="6"/>
  <c r="AL30" i="6" s="1"/>
  <c r="AO30" i="6" s="1"/>
  <c r="AJ29" i="6"/>
  <c r="AK29" i="6"/>
  <c r="AL29" i="6" s="1"/>
  <c r="AJ23" i="6"/>
  <c r="AK23" i="6"/>
  <c r="AL23" i="6" s="1"/>
  <c r="AJ17" i="6"/>
  <c r="AK17" i="6"/>
  <c r="AL17" i="6" s="1"/>
  <c r="AO17" i="6" s="1"/>
  <c r="AJ14" i="6"/>
  <c r="AK14" i="6"/>
  <c r="AL14" i="6" s="1"/>
  <c r="AJ21" i="6"/>
  <c r="AK21" i="6"/>
  <c r="AL21" i="6" s="1"/>
  <c r="AJ10" i="6"/>
  <c r="AK10" i="6"/>
  <c r="AL10" i="6" s="1"/>
  <c r="AO10" i="6" s="1"/>
  <c r="AJ36" i="6"/>
  <c r="AK36" i="6"/>
  <c r="AL36" i="6" s="1"/>
  <c r="AJ32" i="6"/>
  <c r="AK32" i="6"/>
  <c r="AL32" i="6" s="1"/>
  <c r="AJ24" i="6"/>
  <c r="AK24" i="6"/>
  <c r="AL24" i="6" s="1"/>
  <c r="AO24" i="6" s="1"/>
  <c r="AH61" i="5"/>
  <c r="AG453" i="5"/>
  <c r="AH213" i="5"/>
  <c r="AG89" i="5"/>
  <c r="AG459" i="5"/>
  <c r="AH25" i="5"/>
  <c r="AH555" i="5"/>
  <c r="AH144" i="5"/>
  <c r="AG78" i="5"/>
  <c r="AH319" i="5"/>
  <c r="AG498" i="5"/>
  <c r="AH469" i="5"/>
  <c r="AH394" i="5"/>
  <c r="AH346" i="5"/>
  <c r="AG177" i="5"/>
  <c r="AG69" i="5"/>
  <c r="AH381" i="5"/>
  <c r="AH472" i="5"/>
  <c r="AG282" i="5"/>
  <c r="AG238" i="5"/>
  <c r="AH137" i="5"/>
  <c r="AH490" i="5"/>
  <c r="AH98" i="5"/>
  <c r="AG315" i="5"/>
  <c r="AG129" i="5"/>
  <c r="AH432" i="5"/>
  <c r="AG200" i="5"/>
  <c r="AG295" i="5"/>
  <c r="AH228" i="5"/>
  <c r="AH90" i="5"/>
  <c r="AH114" i="5"/>
  <c r="AG67" i="5"/>
  <c r="AG298" i="5"/>
  <c r="AH332" i="5"/>
  <c r="AG536" i="5"/>
  <c r="AG42" i="5"/>
  <c r="AG556" i="5"/>
  <c r="AG392" i="5"/>
  <c r="AG272" i="5"/>
  <c r="AH49" i="5"/>
  <c r="AG379" i="5"/>
  <c r="AH253" i="5"/>
  <c r="AG525" i="5"/>
  <c r="AG434" i="5"/>
  <c r="AG388" i="5"/>
  <c r="AG51" i="5"/>
  <c r="AH35" i="5"/>
  <c r="AH110" i="5"/>
  <c r="AG403" i="5"/>
  <c r="AH519" i="5"/>
  <c r="AH168" i="5"/>
  <c r="AG305" i="5"/>
  <c r="AG304" i="5"/>
  <c r="AG92" i="5"/>
  <c r="AG441" i="5"/>
  <c r="AG400" i="5"/>
  <c r="AG247" i="5"/>
  <c r="AH60" i="5"/>
  <c r="AG236" i="5"/>
  <c r="AG421" i="5"/>
  <c r="AH524" i="5"/>
  <c r="AH112" i="5"/>
  <c r="AG192" i="5"/>
  <c r="AG264" i="5"/>
  <c r="AH138" i="5"/>
  <c r="AG518" i="5"/>
  <c r="AG547" i="5"/>
  <c r="AG299" i="5"/>
  <c r="AG195" i="5"/>
  <c r="AG52" i="5"/>
  <c r="AH395" i="5"/>
  <c r="AG296" i="5"/>
  <c r="AG260" i="5"/>
  <c r="AG265" i="5"/>
  <c r="AH557" i="5"/>
  <c r="AG428" i="5"/>
  <c r="AG373" i="5"/>
  <c r="AG387" i="5"/>
  <c r="AG433" i="5"/>
  <c r="AG181" i="5"/>
  <c r="AG417" i="5"/>
  <c r="AG361" i="5"/>
  <c r="AH336" i="5"/>
  <c r="AG306" i="5"/>
  <c r="AG474" i="5"/>
  <c r="AH153" i="5"/>
  <c r="AG330" i="5"/>
  <c r="AH19" i="5"/>
  <c r="AG435" i="5"/>
  <c r="AH197" i="5"/>
  <c r="AH108" i="5"/>
  <c r="AG152" i="5"/>
  <c r="AH530" i="5"/>
  <c r="AG357" i="5"/>
  <c r="AG445" i="5"/>
  <c r="AG23" i="5"/>
  <c r="AG349" i="5"/>
  <c r="AG266" i="5"/>
  <c r="AG442" i="5"/>
  <c r="AH420" i="5"/>
  <c r="AH333" i="5"/>
  <c r="AG533" i="5"/>
  <c r="AG532" i="5"/>
  <c r="AH478" i="5"/>
  <c r="AH303" i="5"/>
  <c r="AG344" i="5"/>
  <c r="AH218" i="5"/>
  <c r="AG376" i="5"/>
  <c r="AG550" i="5"/>
  <c r="AH368" i="5"/>
  <c r="AG450" i="5"/>
  <c r="AG369" i="5"/>
  <c r="AH338" i="5"/>
  <c r="AG414" i="5"/>
  <c r="AH504" i="5"/>
  <c r="AG437" i="5"/>
  <c r="AG415" i="5"/>
  <c r="V548" i="5"/>
  <c r="V559" i="5"/>
  <c r="V282" i="5"/>
  <c r="V320" i="5"/>
  <c r="V500" i="5"/>
  <c r="V407" i="5"/>
  <c r="V385" i="5"/>
  <c r="V493" i="5"/>
  <c r="V421" i="5"/>
  <c r="V518" i="5"/>
  <c r="V449" i="5"/>
  <c r="V94" i="5"/>
  <c r="V233" i="5"/>
  <c r="V141" i="5"/>
  <c r="V371" i="5"/>
  <c r="V137" i="5"/>
  <c r="V208" i="5"/>
  <c r="V261" i="5"/>
  <c r="V125" i="5"/>
  <c r="V408" i="5"/>
  <c r="V35" i="5"/>
  <c r="V92" i="5"/>
  <c r="V269" i="5"/>
  <c r="V20" i="5"/>
  <c r="V109" i="5"/>
  <c r="V57" i="5"/>
  <c r="V45" i="5"/>
  <c r="V82" i="5"/>
  <c r="V161" i="5"/>
  <c r="V111" i="5"/>
  <c r="V200" i="5"/>
  <c r="V81" i="5"/>
  <c r="V46" i="5"/>
  <c r="V203" i="5"/>
  <c r="V163" i="5"/>
  <c r="V543" i="5"/>
  <c r="V539" i="5"/>
  <c r="V513" i="5"/>
  <c r="V306" i="5"/>
  <c r="V482" i="5"/>
  <c r="V316" i="5"/>
  <c r="V378" i="5"/>
  <c r="V459" i="5"/>
  <c r="V415" i="5"/>
  <c r="V512" i="5"/>
  <c r="V348" i="5"/>
  <c r="V87" i="5"/>
  <c r="V159" i="5"/>
  <c r="V132" i="5"/>
  <c r="V257" i="5"/>
  <c r="V91" i="5"/>
  <c r="V198" i="5"/>
  <c r="V220" i="5"/>
  <c r="V191" i="5"/>
  <c r="V84" i="5"/>
  <c r="V65" i="5"/>
  <c r="V540" i="5"/>
  <c r="V555" i="5"/>
  <c r="V477" i="5"/>
  <c r="V276" i="5"/>
  <c r="V454" i="5"/>
  <c r="V504" i="5"/>
  <c r="V369" i="5"/>
  <c r="V311" i="5"/>
  <c r="V370" i="5"/>
  <c r="V392" i="5"/>
  <c r="V252" i="5"/>
  <c r="V251" i="5"/>
  <c r="V19" i="5"/>
  <c r="V118" i="5"/>
  <c r="V245" i="5"/>
  <c r="V77" i="5"/>
  <c r="V190" i="5"/>
  <c r="V175" i="5"/>
  <c r="V122" i="5"/>
  <c r="V243" i="5"/>
  <c r="V43" i="5"/>
  <c r="V67" i="5"/>
  <c r="V373" i="5"/>
  <c r="V352" i="5"/>
  <c r="V86" i="5"/>
  <c r="V134" i="5"/>
  <c r="V28" i="5"/>
  <c r="V23" i="5"/>
  <c r="V71" i="5"/>
  <c r="V123" i="5"/>
  <c r="V106" i="5"/>
  <c r="V162" i="5"/>
  <c r="V89" i="5"/>
  <c r="V222" i="5"/>
  <c r="V164" i="5"/>
  <c r="V124" i="5"/>
  <c r="V147" i="5"/>
  <c r="V31" i="5"/>
  <c r="V176" i="5"/>
  <c r="V271" i="5"/>
  <c r="V379" i="5"/>
  <c r="V288" i="5"/>
  <c r="V95" i="5"/>
  <c r="V299" i="5"/>
  <c r="V66" i="5"/>
  <c r="V291" i="5"/>
  <c r="V549" i="5"/>
  <c r="V510" i="5"/>
  <c r="V474" i="5"/>
  <c r="V275" i="5"/>
  <c r="V436" i="5"/>
  <c r="V478" i="5"/>
  <c r="V332" i="5"/>
  <c r="V297" i="5"/>
  <c r="V327" i="5"/>
  <c r="V362" i="5"/>
  <c r="V225" i="5"/>
  <c r="V497" i="5"/>
  <c r="V264" i="5"/>
  <c r="V110" i="5"/>
  <c r="V209" i="5"/>
  <c r="V158" i="5"/>
  <c r="V167" i="5"/>
  <c r="V153" i="5"/>
  <c r="V522" i="5"/>
  <c r="V363" i="5"/>
  <c r="V367" i="5"/>
  <c r="V508" i="5"/>
  <c r="V432" i="5"/>
  <c r="V467" i="5"/>
  <c r="V293" i="5"/>
  <c r="V453" i="5"/>
  <c r="V312" i="5"/>
  <c r="V323" i="5"/>
  <c r="V143" i="5"/>
  <c r="V279" i="5"/>
  <c r="V223" i="5"/>
  <c r="V29" i="5"/>
  <c r="V199" i="5"/>
  <c r="V273" i="5"/>
  <c r="V102" i="5"/>
  <c r="V117" i="5"/>
  <c r="V101" i="5"/>
  <c r="V61" i="5"/>
  <c r="V75" i="5"/>
  <c r="V50" i="5"/>
  <c r="V69" i="5"/>
  <c r="V451" i="5"/>
  <c r="V526" i="5"/>
  <c r="V400" i="5"/>
  <c r="V108" i="5"/>
  <c r="V115" i="5"/>
  <c r="V73" i="5"/>
  <c r="V179" i="5"/>
  <c r="V146" i="5"/>
  <c r="V177" i="5"/>
  <c r="V139" i="5"/>
  <c r="V44" i="5"/>
  <c r="V184" i="5"/>
  <c r="V156" i="5"/>
  <c r="V206" i="5"/>
  <c r="V126" i="5"/>
  <c r="V226" i="5"/>
  <c r="V326" i="5"/>
  <c r="V194" i="5"/>
  <c r="V339" i="5"/>
  <c r="V221" i="5"/>
  <c r="V305" i="5"/>
  <c r="V210" i="5"/>
  <c r="V335" i="5"/>
  <c r="B40" i="5"/>
  <c r="V554" i="5"/>
  <c r="V356" i="5"/>
  <c r="V340" i="5"/>
  <c r="V503" i="5"/>
  <c r="V423" i="5"/>
  <c r="V461" i="5"/>
  <c r="V292" i="5"/>
  <c r="V446" i="5"/>
  <c r="V277" i="5"/>
  <c r="V502" i="5"/>
  <c r="V114" i="5"/>
  <c r="V248" i="5"/>
  <c r="V182" i="5"/>
  <c r="V372" i="5"/>
  <c r="V148" i="5"/>
  <c r="V236" i="5"/>
  <c r="V72" i="5"/>
  <c r="V85" i="5"/>
  <c r="V100" i="5"/>
  <c r="V99" i="5"/>
  <c r="V171" i="5"/>
  <c r="V260" i="5"/>
  <c r="V49" i="5"/>
  <c r="V59" i="5"/>
  <c r="V64" i="5"/>
  <c r="V78" i="5"/>
  <c r="V149" i="5"/>
  <c r="V211" i="5"/>
  <c r="V138" i="5"/>
  <c r="V169" i="5"/>
  <c r="V130" i="5"/>
  <c r="V244" i="5"/>
  <c r="V157" i="5"/>
  <c r="V97" i="5"/>
  <c r="V204" i="5"/>
  <c r="V119" i="5"/>
  <c r="V290" i="5"/>
  <c r="V178" i="5"/>
  <c r="V197" i="5"/>
  <c r="V374" i="5"/>
  <c r="V227" i="5"/>
  <c r="V330" i="5"/>
  <c r="V249" i="5"/>
  <c r="V396" i="5"/>
  <c r="V224" i="5"/>
  <c r="V267" i="5"/>
  <c r="V289" i="5"/>
  <c r="V456" i="5"/>
  <c r="V486" i="5"/>
  <c r="V80" i="5"/>
  <c r="V107" i="5"/>
  <c r="V48" i="5"/>
  <c r="V231" i="5"/>
  <c r="V79" i="5"/>
  <c r="V62" i="5"/>
  <c r="V120" i="5"/>
  <c r="V170" i="5"/>
  <c r="V217" i="5"/>
  <c r="V201" i="5"/>
  <c r="V185" i="5"/>
  <c r="V195" i="5"/>
  <c r="V329" i="5"/>
  <c r="V278" i="5"/>
  <c r="V258" i="5"/>
  <c r="V234" i="5"/>
  <c r="V351" i="5"/>
  <c r="V284" i="5"/>
  <c r="V183" i="5"/>
  <c r="V272" i="5"/>
  <c r="V63" i="5"/>
  <c r="V346" i="5"/>
  <c r="V440" i="5"/>
  <c r="V498" i="5"/>
  <c r="V444" i="5"/>
  <c r="V388" i="5"/>
  <c r="V416" i="5"/>
  <c r="V458" i="5"/>
  <c r="V389" i="5"/>
  <c r="V404" i="5"/>
  <c r="V516" i="5"/>
  <c r="V382" i="5"/>
  <c r="V490" i="5"/>
  <c r="V419" i="5"/>
  <c r="V470" i="5"/>
  <c r="V491" i="5"/>
  <c r="V552" i="5"/>
  <c r="V556" i="5"/>
  <c r="V515" i="5"/>
  <c r="V466" i="5"/>
  <c r="V342" i="5"/>
  <c r="V463" i="5"/>
  <c r="V145" i="5"/>
  <c r="V54" i="5"/>
  <c r="V331" i="5"/>
  <c r="V154" i="5"/>
  <c r="V93" i="5"/>
  <c r="V144" i="5"/>
  <c r="V131" i="5"/>
  <c r="V88" i="5"/>
  <c r="V52" i="5"/>
  <c r="V70" i="5"/>
  <c r="V188" i="5"/>
  <c r="V343" i="5"/>
  <c r="V344" i="5"/>
  <c r="V310" i="5"/>
  <c r="V274" i="5"/>
  <c r="V309" i="5"/>
  <c r="V296" i="5"/>
  <c r="V214" i="5"/>
  <c r="V303" i="5"/>
  <c r="V151" i="5"/>
  <c r="V383" i="5"/>
  <c r="V465" i="5"/>
  <c r="V528" i="5"/>
  <c r="V390" i="5"/>
  <c r="V189" i="5"/>
  <c r="V397" i="5"/>
  <c r="V480" i="5"/>
  <c r="V401" i="5"/>
  <c r="V452" i="5"/>
  <c r="V475" i="5"/>
  <c r="V412" i="5"/>
  <c r="V462" i="5"/>
  <c r="V417" i="5"/>
  <c r="V472" i="5"/>
  <c r="V520" i="5"/>
  <c r="V457" i="5"/>
  <c r="V420" i="5"/>
  <c r="V551" i="5"/>
  <c r="V473" i="5"/>
  <c r="V377" i="5"/>
  <c r="V98" i="5"/>
  <c r="V192" i="5"/>
  <c r="V307" i="5"/>
  <c r="V60" i="5"/>
  <c r="V319" i="5"/>
  <c r="V256" i="5"/>
  <c r="V103" i="5"/>
  <c r="V168" i="5"/>
  <c r="V152" i="5"/>
  <c r="V30" i="5"/>
  <c r="V116" i="5"/>
  <c r="V33" i="5"/>
  <c r="V228" i="5"/>
  <c r="V322" i="5"/>
  <c r="V341" i="5"/>
  <c r="V355" i="5"/>
  <c r="V265" i="5"/>
  <c r="V350" i="5"/>
  <c r="V286" i="5"/>
  <c r="V240" i="5"/>
  <c r="V336" i="5"/>
  <c r="V213" i="5"/>
  <c r="V361" i="5"/>
  <c r="V448" i="5"/>
  <c r="V536" i="5"/>
  <c r="V425" i="5"/>
  <c r="V281" i="5"/>
  <c r="V413" i="5"/>
  <c r="V488" i="5"/>
  <c r="V406" i="5"/>
  <c r="V219" i="5"/>
  <c r="V530" i="5"/>
  <c r="V427" i="5"/>
  <c r="V483" i="5"/>
  <c r="V455" i="5"/>
  <c r="V484" i="5"/>
  <c r="V541" i="5"/>
  <c r="V505" i="5"/>
  <c r="V529" i="5"/>
  <c r="V545" i="5"/>
  <c r="V433" i="5"/>
  <c r="V324" i="5"/>
  <c r="V232" i="5"/>
  <c r="V113" i="5"/>
  <c r="V418" i="5"/>
  <c r="V174" i="5"/>
  <c r="V41" i="5"/>
  <c r="V40" i="5"/>
  <c r="V193" i="5"/>
  <c r="V403" i="5"/>
  <c r="V39" i="5"/>
  <c r="V187" i="5"/>
  <c r="V140" i="5"/>
  <c r="V27" i="5"/>
  <c r="V229" i="5"/>
  <c r="V53" i="5"/>
  <c r="V366" i="5"/>
  <c r="V354" i="5"/>
  <c r="V283" i="5"/>
  <c r="V402" i="5"/>
  <c r="V295" i="5"/>
  <c r="V239" i="5"/>
  <c r="V337" i="5"/>
  <c r="V328" i="5"/>
  <c r="V391" i="5"/>
  <c r="V438" i="5"/>
  <c r="V557" i="5"/>
  <c r="V443" i="5"/>
  <c r="V333" i="5"/>
  <c r="V398" i="5"/>
  <c r="V468" i="5"/>
  <c r="V441" i="5"/>
  <c r="V447" i="5"/>
  <c r="V525" i="5"/>
  <c r="V409" i="5"/>
  <c r="V514" i="5"/>
  <c r="V560" i="5"/>
  <c r="V450" i="5"/>
  <c r="V550" i="5"/>
  <c r="V489" i="5"/>
  <c r="V546" i="5"/>
  <c r="V535" i="5"/>
  <c r="V519" i="5"/>
  <c r="V411" i="5"/>
  <c r="V121" i="5"/>
  <c r="V212" i="5"/>
  <c r="V90" i="5"/>
  <c r="V74" i="5"/>
  <c r="V24" i="5"/>
  <c r="V38" i="5"/>
  <c r="V315" i="5"/>
  <c r="V51" i="5"/>
  <c r="V26" i="5"/>
  <c r="V142" i="5"/>
  <c r="V135" i="5"/>
  <c r="V55" i="5"/>
  <c r="V237" i="5"/>
  <c r="V247" i="5"/>
  <c r="V56" i="5"/>
  <c r="V380" i="5"/>
  <c r="V301" i="5"/>
  <c r="V353" i="5"/>
  <c r="V321" i="5"/>
  <c r="V238" i="5"/>
  <c r="V345" i="5"/>
  <c r="V359" i="5"/>
  <c r="V317" i="5"/>
  <c r="V460" i="5"/>
  <c r="V558" i="5"/>
  <c r="V485" i="5"/>
  <c r="V360" i="5"/>
  <c r="V422" i="5"/>
  <c r="V509" i="5"/>
  <c r="V242" i="5"/>
  <c r="V414" i="5"/>
  <c r="V542" i="5"/>
  <c r="V445" i="5"/>
  <c r="V531" i="5"/>
  <c r="V511" i="5"/>
  <c r="V492" i="5"/>
  <c r="V544" i="5"/>
  <c r="V533" i="5"/>
  <c r="V426" i="5"/>
  <c r="V499" i="5"/>
  <c r="V375" i="5"/>
  <c r="V268" i="5"/>
  <c r="V253" i="5"/>
  <c r="V104" i="5"/>
  <c r="V36" i="5"/>
  <c r="V547" i="5"/>
  <c r="V347" i="5"/>
  <c r="V34" i="5"/>
  <c r="V58" i="5"/>
  <c r="V37" i="5"/>
  <c r="V128" i="5"/>
  <c r="V160" i="5"/>
  <c r="V136" i="5"/>
  <c r="V150" i="5"/>
  <c r="V298" i="5"/>
  <c r="V308" i="5"/>
  <c r="V205" i="5"/>
  <c r="V76" i="5"/>
  <c r="V364" i="5"/>
  <c r="V230" i="5"/>
  <c r="V166" i="5"/>
  <c r="V259" i="5"/>
  <c r="V325" i="5"/>
  <c r="V270" i="5"/>
  <c r="V368" i="5"/>
  <c r="V494" i="5"/>
  <c r="V394" i="5"/>
  <c r="V358" i="5"/>
  <c r="V424" i="5"/>
  <c r="V464" i="5"/>
  <c r="V537" i="5"/>
  <c r="V294" i="5"/>
  <c r="V437" i="5"/>
  <c r="V334" i="5"/>
  <c r="V428" i="5"/>
  <c r="V523" i="5"/>
  <c r="V481" i="5"/>
  <c r="V405" i="5"/>
  <c r="V521" i="5"/>
  <c r="V532" i="5"/>
  <c r="V435" i="5"/>
  <c r="V300" i="5"/>
  <c r="V172" i="5"/>
  <c r="V207" i="5"/>
  <c r="V263" i="5"/>
  <c r="V32" i="5"/>
  <c r="V105" i="5"/>
  <c r="V68" i="5"/>
  <c r="V439" i="5"/>
  <c r="V127" i="5"/>
  <c r="V155" i="5"/>
  <c r="V215" i="5"/>
  <c r="V216" i="5"/>
  <c r="V173" i="5"/>
  <c r="V181" i="5"/>
  <c r="V262" i="5"/>
  <c r="V304" i="5"/>
  <c r="V255" i="5"/>
  <c r="V112" i="5"/>
  <c r="V313" i="5"/>
  <c r="V287" i="5"/>
  <c r="V186" i="5"/>
  <c r="V285" i="5"/>
  <c r="V429" i="5"/>
  <c r="V302" i="5"/>
  <c r="V430" i="5"/>
  <c r="V487" i="5"/>
  <c r="V410" i="5"/>
  <c r="V386" i="5"/>
  <c r="V384" i="5"/>
  <c r="V471" i="5"/>
  <c r="V280" i="5"/>
  <c r="V381" i="5"/>
  <c r="V507" i="5"/>
  <c r="V399" i="5"/>
  <c r="V442" i="5"/>
  <c r="V538" i="5"/>
  <c r="V496" i="5"/>
  <c r="V479" i="5"/>
  <c r="V495" i="5"/>
  <c r="V553" i="5"/>
  <c r="V25" i="5"/>
  <c r="V180" i="5"/>
  <c r="V338" i="5"/>
  <c r="V395" i="5"/>
  <c r="V506" i="5"/>
  <c r="V12" i="5"/>
  <c r="V387" i="5"/>
  <c r="V42" i="5"/>
  <c r="V241" i="5"/>
  <c r="V431" i="5"/>
  <c r="V517" i="5"/>
  <c r="V10" i="5"/>
  <c r="V47" i="5"/>
  <c r="V235" i="5"/>
  <c r="V357" i="5"/>
  <c r="V524" i="5"/>
  <c r="V501" i="5"/>
  <c r="V21" i="5"/>
  <c r="V250" i="5"/>
  <c r="V246" i="5"/>
  <c r="V254" i="5"/>
  <c r="V534" i="5"/>
  <c r="V469" i="5"/>
  <c r="V96" i="5"/>
  <c r="V202" i="5"/>
  <c r="V393" i="5"/>
  <c r="V434" i="5"/>
  <c r="V349" i="5"/>
  <c r="V22" i="5"/>
  <c r="V365" i="5"/>
  <c r="V476" i="5"/>
  <c r="V196" i="5"/>
  <c r="N9" i="5"/>
  <c r="V83" i="5"/>
  <c r="V133" i="5"/>
  <c r="V266" i="5"/>
  <c r="V376" i="5"/>
  <c r="V314" i="5"/>
  <c r="V13" i="5"/>
  <c r="V129" i="5"/>
  <c r="V165" i="5"/>
  <c r="V218" i="5"/>
  <c r="V318" i="5"/>
  <c r="V527" i="5"/>
  <c r="V8" i="5"/>
  <c r="V11" i="5"/>
  <c r="O554" i="5"/>
  <c r="O389" i="5"/>
  <c r="O287" i="5"/>
  <c r="O488" i="5"/>
  <c r="O58" i="5"/>
  <c r="O69" i="5"/>
  <c r="O366" i="5"/>
  <c r="O364" i="5"/>
  <c r="O140" i="5"/>
  <c r="O321" i="5"/>
  <c r="O530" i="5"/>
  <c r="O251" i="5"/>
  <c r="O524" i="5"/>
  <c r="O314" i="5"/>
  <c r="O280" i="5"/>
  <c r="O475" i="5"/>
  <c r="O159" i="5"/>
  <c r="O198" i="5"/>
  <c r="O399" i="5"/>
  <c r="O502" i="5"/>
  <c r="AB502" i="5" s="1"/>
  <c r="O542" i="5"/>
  <c r="O245" i="5"/>
  <c r="O547" i="5"/>
  <c r="AB547" i="5" s="1"/>
  <c r="O302" i="5"/>
  <c r="O197" i="5"/>
  <c r="AB197" i="5" s="1"/>
  <c r="O483" i="5"/>
  <c r="O70" i="5"/>
  <c r="O459" i="5"/>
  <c r="O13" i="5"/>
  <c r="O221" i="5"/>
  <c r="AB221" i="5" s="1"/>
  <c r="O71" i="5"/>
  <c r="O443" i="5"/>
  <c r="O115" i="5"/>
  <c r="O130" i="5"/>
  <c r="O367" i="5"/>
  <c r="O408" i="5"/>
  <c r="O94" i="5"/>
  <c r="O217" i="5"/>
  <c r="O478" i="5"/>
  <c r="AB478" i="5" s="1"/>
  <c r="O262" i="5"/>
  <c r="O163" i="5"/>
  <c r="O211" i="5"/>
  <c r="O201" i="5"/>
  <c r="O311" i="5"/>
  <c r="O116" i="5"/>
  <c r="O34" i="5"/>
  <c r="O371" i="5"/>
  <c r="O473" i="5"/>
  <c r="O356" i="5"/>
  <c r="O543" i="5"/>
  <c r="O455" i="5"/>
  <c r="O437" i="5"/>
  <c r="O224" i="5"/>
  <c r="O165" i="5"/>
  <c r="O377" i="5"/>
  <c r="O98" i="5"/>
  <c r="O322" i="5"/>
  <c r="O279" i="5"/>
  <c r="O303" i="5"/>
  <c r="O340" i="5"/>
  <c r="O439" i="5"/>
  <c r="O273" i="5"/>
  <c r="O470" i="5"/>
  <c r="O338" i="5"/>
  <c r="O390" i="5"/>
  <c r="O169" i="5"/>
  <c r="O99" i="5"/>
  <c r="O325" i="5"/>
  <c r="O35" i="5"/>
  <c r="O506" i="5"/>
  <c r="O127" i="5"/>
  <c r="O328" i="5"/>
  <c r="O375" i="5"/>
  <c r="O295" i="5"/>
  <c r="AB295" i="5" s="1"/>
  <c r="O26" i="5"/>
  <c r="O252" i="5"/>
  <c r="O218" i="5"/>
  <c r="O465" i="5"/>
  <c r="O79" i="5"/>
  <c r="O285" i="5"/>
  <c r="O537" i="5"/>
  <c r="O360" i="5"/>
  <c r="O460" i="5"/>
  <c r="O206" i="5"/>
  <c r="O429" i="5"/>
  <c r="O39" i="5"/>
  <c r="O293" i="5"/>
  <c r="O240" i="5"/>
  <c r="O493" i="5"/>
  <c r="O192" i="5"/>
  <c r="O176" i="5"/>
  <c r="O396" i="5"/>
  <c r="O528" i="5"/>
  <c r="O244" i="5"/>
  <c r="O466" i="5"/>
  <c r="O291" i="5"/>
  <c r="O72" i="5"/>
  <c r="O485" i="5"/>
  <c r="O267" i="5"/>
  <c r="O92" i="5"/>
  <c r="O519" i="5"/>
  <c r="O381" i="5"/>
  <c r="O50" i="5"/>
  <c r="O103" i="5"/>
  <c r="O171" i="5"/>
  <c r="O423" i="5"/>
  <c r="O415" i="5"/>
  <c r="O182" i="5"/>
  <c r="O400" i="5"/>
  <c r="O32" i="5"/>
  <c r="O424" i="5"/>
  <c r="O236" i="5"/>
  <c r="O487" i="5"/>
  <c r="O82" i="5"/>
  <c r="O354" i="5"/>
  <c r="O541" i="5"/>
  <c r="O91" i="5"/>
  <c r="O412" i="5"/>
  <c r="O480" i="5"/>
  <c r="O379" i="5"/>
  <c r="O458" i="5"/>
  <c r="O259" i="5"/>
  <c r="O281" i="5"/>
  <c r="O538" i="5"/>
  <c r="O337" i="5"/>
  <c r="O308" i="5"/>
  <c r="O463" i="5"/>
  <c r="O231" i="5"/>
  <c r="O81" i="5"/>
  <c r="O230" i="5"/>
  <c r="O158" i="5"/>
  <c r="O235" i="5"/>
  <c r="O344" i="5"/>
  <c r="O431" i="5"/>
  <c r="O38" i="5"/>
  <c r="AB38" i="5" s="1"/>
  <c r="O334" i="5"/>
  <c r="O55" i="5"/>
  <c r="O464" i="5"/>
  <c r="O374" i="5"/>
  <c r="O492" i="5"/>
  <c r="O467" i="5"/>
  <c r="O283" i="5"/>
  <c r="O141" i="5"/>
  <c r="O145" i="5"/>
  <c r="O525" i="5"/>
  <c r="O47" i="5"/>
  <c r="O363" i="5"/>
  <c r="O509" i="5"/>
  <c r="O214" i="5"/>
  <c r="O135" i="5"/>
  <c r="O20" i="5"/>
  <c r="O150" i="5"/>
  <c r="O277" i="5"/>
  <c r="O433" i="5"/>
  <c r="O414" i="5"/>
  <c r="O511" i="5"/>
  <c r="AB511" i="5" s="1"/>
  <c r="O395" i="5"/>
  <c r="O456" i="5"/>
  <c r="O61" i="5"/>
  <c r="AB61" i="5" s="1"/>
  <c r="O296" i="5"/>
  <c r="O73" i="5"/>
  <c r="O44" i="5"/>
  <c r="O114" i="5"/>
  <c r="O97" i="5"/>
  <c r="AB97" i="5" s="1"/>
  <c r="O185" i="5"/>
  <c r="O425" i="5"/>
  <c r="O30" i="5"/>
  <c r="AB30" i="5" s="1"/>
  <c r="O353" i="5"/>
  <c r="O278" i="5"/>
  <c r="AB278" i="5" s="1"/>
  <c r="O417" i="5"/>
  <c r="O186" i="5"/>
  <c r="O323" i="5"/>
  <c r="O199" i="5"/>
  <c r="O25" i="5"/>
  <c r="O282" i="5"/>
  <c r="O442" i="5"/>
  <c r="O253" i="5"/>
  <c r="O391" i="5"/>
  <c r="O106" i="5"/>
  <c r="O420" i="5"/>
  <c r="O532" i="5"/>
  <c r="O164" i="5"/>
  <c r="AB164" i="5" s="1"/>
  <c r="O100" i="5"/>
  <c r="O269" i="5"/>
  <c r="O376" i="5"/>
  <c r="O128" i="5"/>
  <c r="O472" i="5"/>
  <c r="O88" i="5"/>
  <c r="O305" i="5"/>
  <c r="O78" i="5"/>
  <c r="O180" i="5"/>
  <c r="O63" i="5"/>
  <c r="AB63" i="5" s="1"/>
  <c r="O143" i="5"/>
  <c r="O121" i="5"/>
  <c r="AB121" i="5" s="1"/>
  <c r="O105" i="5"/>
  <c r="O260" i="5"/>
  <c r="O24" i="5"/>
  <c r="O477" i="5"/>
  <c r="AB477" i="5" s="1"/>
  <c r="O233" i="5"/>
  <c r="O449" i="5"/>
  <c r="O393" i="5"/>
  <c r="O84" i="5"/>
  <c r="AB84" i="5" s="1"/>
  <c r="O411" i="5"/>
  <c r="O494" i="5"/>
  <c r="O284" i="5"/>
  <c r="AB284" i="5" s="1"/>
  <c r="O254" i="5"/>
  <c r="O533" i="5"/>
  <c r="AB533" i="5" s="1"/>
  <c r="O495" i="5"/>
  <c r="O372" i="5"/>
  <c r="O161" i="5"/>
  <c r="O173" i="5"/>
  <c r="O409" i="5"/>
  <c r="O345" i="5"/>
  <c r="O451" i="5"/>
  <c r="O113" i="5"/>
  <c r="O119" i="5"/>
  <c r="O196" i="5"/>
  <c r="O499" i="5"/>
  <c r="O68" i="5"/>
  <c r="O228" i="5"/>
  <c r="O551" i="5"/>
  <c r="O559" i="5"/>
  <c r="O491" i="5"/>
  <c r="AB491" i="5" s="1"/>
  <c r="O461" i="5"/>
  <c r="AB461" i="5" s="1"/>
  <c r="O149" i="5"/>
  <c r="O53" i="5"/>
  <c r="O95" i="5"/>
  <c r="O241" i="5"/>
  <c r="O558" i="5"/>
  <c r="O359" i="5"/>
  <c r="O301" i="5"/>
  <c r="O222" i="5"/>
  <c r="O351" i="5"/>
  <c r="O137" i="5"/>
  <c r="O45" i="5"/>
  <c r="O209" i="5"/>
  <c r="O157" i="5"/>
  <c r="O421" i="5"/>
  <c r="O289" i="5"/>
  <c r="O482" i="5"/>
  <c r="O181" i="5"/>
  <c r="O175" i="5"/>
  <c r="O329" i="5"/>
  <c r="O521" i="5"/>
  <c r="O526" i="5"/>
  <c r="O19" i="5"/>
  <c r="O326" i="5"/>
  <c r="O200" i="5"/>
  <c r="O481" i="5"/>
  <c r="O90" i="5"/>
  <c r="O534" i="5"/>
  <c r="O416" i="5"/>
  <c r="O36" i="5"/>
  <c r="O527" i="5"/>
  <c r="AB527" i="5" s="1"/>
  <c r="O320" i="5"/>
  <c r="AB320" i="5" s="1"/>
  <c r="O110" i="5"/>
  <c r="O120" i="5"/>
  <c r="O507" i="5"/>
  <c r="O300" i="5"/>
  <c r="AB300" i="5" s="1"/>
  <c r="O202" i="5"/>
  <c r="O513" i="5"/>
  <c r="O474" i="5"/>
  <c r="O435" i="5"/>
  <c r="O170" i="5"/>
  <c r="O261" i="5"/>
  <c r="O535" i="5"/>
  <c r="O560" i="5"/>
  <c r="O96" i="5"/>
  <c r="O468" i="5"/>
  <c r="O40" i="5"/>
  <c r="O357" i="5"/>
  <c r="O76" i="5"/>
  <c r="O540" i="5"/>
  <c r="O350" i="5"/>
  <c r="O557" i="5"/>
  <c r="O247" i="5"/>
  <c r="O75" i="5"/>
  <c r="O453" i="5"/>
  <c r="O168" i="5"/>
  <c r="O177" i="5"/>
  <c r="O29" i="5"/>
  <c r="AB29" i="5" s="1"/>
  <c r="O257" i="5"/>
  <c r="O378" i="5"/>
  <c r="O48" i="5"/>
  <c r="O142" i="5"/>
  <c r="O215" i="5"/>
  <c r="O59" i="5"/>
  <c r="O272" i="5"/>
  <c r="O189" i="5"/>
  <c r="O361" i="5"/>
  <c r="O330" i="5"/>
  <c r="O83" i="5"/>
  <c r="O369" i="5"/>
  <c r="O155" i="5"/>
  <c r="O274" i="5"/>
  <c r="O147" i="5"/>
  <c r="AB147" i="5" s="1"/>
  <c r="O265" i="5"/>
  <c r="O193" i="5"/>
  <c r="O275" i="5"/>
  <c r="O152" i="5"/>
  <c r="O246" i="5"/>
  <c r="O27" i="5"/>
  <c r="O51" i="5"/>
  <c r="O440" i="5"/>
  <c r="O239" i="5"/>
  <c r="O31" i="5"/>
  <c r="O270" i="5"/>
  <c r="O498" i="5"/>
  <c r="O407" i="5"/>
  <c r="O166" i="5"/>
  <c r="AB166" i="5" s="1"/>
  <c r="O384" i="5"/>
  <c r="AB384" i="5" s="1"/>
  <c r="O504" i="5"/>
  <c r="O234" i="5"/>
  <c r="O229" i="5"/>
  <c r="O419" i="5"/>
  <c r="O516" i="5"/>
  <c r="O107" i="5"/>
  <c r="AB107" i="5" s="1"/>
  <c r="O129" i="5"/>
  <c r="O204" i="5"/>
  <c r="O355" i="5"/>
  <c r="O194" i="5"/>
  <c r="O462" i="5"/>
  <c r="O546" i="5"/>
  <c r="O319" i="5"/>
  <c r="O112" i="5"/>
  <c r="O471" i="5"/>
  <c r="O123" i="5"/>
  <c r="O132" i="5"/>
  <c r="O22" i="5"/>
  <c r="O445" i="5"/>
  <c r="AB445" i="5" s="1"/>
  <c r="O87" i="5"/>
  <c r="O497" i="5"/>
  <c r="O315" i="5"/>
  <c r="O523" i="5"/>
  <c r="O56" i="5"/>
  <c r="O86" i="5"/>
  <c r="O77" i="5"/>
  <c r="O452" i="5"/>
  <c r="AB452" i="5" s="1"/>
  <c r="O248" i="5"/>
  <c r="O380" i="5"/>
  <c r="O336" i="5"/>
  <c r="O544" i="5"/>
  <c r="O316" i="5"/>
  <c r="O520" i="5"/>
  <c r="AB520" i="5" s="1"/>
  <c r="O306" i="5"/>
  <c r="O438" i="5"/>
  <c r="O223" i="5"/>
  <c r="O422" i="5"/>
  <c r="O207" i="5"/>
  <c r="AB207" i="5" s="1"/>
  <c r="O162" i="5"/>
  <c r="O348" i="5"/>
  <c r="O434" i="5"/>
  <c r="O109" i="5"/>
  <c r="O268" i="5"/>
  <c r="O476" i="5"/>
  <c r="O292" i="5"/>
  <c r="O454" i="5"/>
  <c r="O146" i="5"/>
  <c r="O518" i="5"/>
  <c r="O313" i="5"/>
  <c r="O508" i="5"/>
  <c r="O536" i="5"/>
  <c r="O60" i="5"/>
  <c r="O342" i="5"/>
  <c r="AB342" i="5" s="1"/>
  <c r="O183" i="5"/>
  <c r="O339" i="5"/>
  <c r="O286" i="5"/>
  <c r="O398" i="5"/>
  <c r="O178" i="5"/>
  <c r="O238" i="5"/>
  <c r="O188" i="5"/>
  <c r="O510" i="5"/>
  <c r="O232" i="5"/>
  <c r="O352" i="5"/>
  <c r="O515" i="5"/>
  <c r="O216" i="5"/>
  <c r="O54" i="5"/>
  <c r="O387" i="5"/>
  <c r="O324" i="5"/>
  <c r="O426" i="5"/>
  <c r="O139" i="5"/>
  <c r="O370" i="5"/>
  <c r="O125" i="5"/>
  <c r="O220" i="5"/>
  <c r="AB220" i="5" s="1"/>
  <c r="O154" i="5"/>
  <c r="AB154" i="5" s="1"/>
  <c r="O151" i="5"/>
  <c r="O447" i="5"/>
  <c r="O266" i="5"/>
  <c r="O243" i="5"/>
  <c r="O298" i="5"/>
  <c r="O556" i="5"/>
  <c r="O529" i="5"/>
  <c r="O172" i="5"/>
  <c r="O104" i="5"/>
  <c r="O148" i="5"/>
  <c r="O49" i="5"/>
  <c r="O67" i="5"/>
  <c r="O386" i="5"/>
  <c r="AB386" i="5" s="1"/>
  <c r="O549" i="5"/>
  <c r="O264" i="5"/>
  <c r="O501" i="5"/>
  <c r="O489" i="5"/>
  <c r="O242" i="5"/>
  <c r="O290" i="5"/>
  <c r="O496" i="5"/>
  <c r="O394" i="5"/>
  <c r="O80" i="5"/>
  <c r="O514" i="5"/>
  <c r="O392" i="5"/>
  <c r="O327" i="5"/>
  <c r="AB327" i="5" s="1"/>
  <c r="O531" i="5"/>
  <c r="O343" i="5"/>
  <c r="O406" i="5"/>
  <c r="O46" i="5"/>
  <c r="O21" i="5"/>
  <c r="O255" i="5"/>
  <c r="O167" i="5"/>
  <c r="O317" i="5"/>
  <c r="O124" i="5"/>
  <c r="O191" i="5"/>
  <c r="O432" i="5"/>
  <c r="O57" i="5"/>
  <c r="O64" i="5"/>
  <c r="O227" i="5"/>
  <c r="O118" i="5"/>
  <c r="AB118" i="5" s="1"/>
  <c r="O102" i="5"/>
  <c r="O401" i="5"/>
  <c r="O271" i="5"/>
  <c r="O256" i="5"/>
  <c r="O517" i="5"/>
  <c r="O552" i="5"/>
  <c r="O418" i="5"/>
  <c r="O101" i="5"/>
  <c r="O545" i="5"/>
  <c r="O205" i="5"/>
  <c r="O522" i="5"/>
  <c r="AB522" i="5" s="1"/>
  <c r="O548" i="5"/>
  <c r="O448" i="5"/>
  <c r="O318" i="5"/>
  <c r="O208" i="5"/>
  <c r="O365" i="5"/>
  <c r="O65" i="5"/>
  <c r="O388" i="5"/>
  <c r="O402" i="5"/>
  <c r="O133" i="5"/>
  <c r="AB133" i="5" s="1"/>
  <c r="O500" i="5"/>
  <c r="O219" i="5"/>
  <c r="O226" i="5"/>
  <c r="O28" i="5"/>
  <c r="O66" i="5"/>
  <c r="O430" i="5"/>
  <c r="AB430" i="5" s="1"/>
  <c r="O297" i="5"/>
  <c r="O184" i="5"/>
  <c r="O23" i="5"/>
  <c r="O136" i="5"/>
  <c r="O335" i="5"/>
  <c r="O404" i="5"/>
  <c r="AB404" i="5" s="1"/>
  <c r="O446" i="5"/>
  <c r="AB446" i="5" s="1"/>
  <c r="O131" i="5"/>
  <c r="O403" i="5"/>
  <c r="O237" i="5"/>
  <c r="O333" i="5"/>
  <c r="O457" i="5"/>
  <c r="O263" i="5"/>
  <c r="O503" i="5"/>
  <c r="O52" i="5"/>
  <c r="O444" i="5"/>
  <c r="O138" i="5"/>
  <c r="O212" i="5"/>
  <c r="O249" i="5"/>
  <c r="O555" i="5"/>
  <c r="O134" i="5"/>
  <c r="O195" i="5"/>
  <c r="O156" i="5"/>
  <c r="O93" i="5"/>
  <c r="O410" i="5"/>
  <c r="O550" i="5"/>
  <c r="O225" i="5"/>
  <c r="O210" i="5"/>
  <c r="O258" i="5"/>
  <c r="O62" i="5"/>
  <c r="AB62" i="5" s="1"/>
  <c r="O122" i="5"/>
  <c r="O312" i="5"/>
  <c r="O190" i="5"/>
  <c r="O33" i="5"/>
  <c r="O383" i="5"/>
  <c r="O144" i="5"/>
  <c r="O484" i="5"/>
  <c r="O413" i="5"/>
  <c r="AB413" i="5" s="1"/>
  <c r="O310" i="5"/>
  <c r="O553" i="5"/>
  <c r="O304" i="5"/>
  <c r="O85" i="5"/>
  <c r="O179" i="5"/>
  <c r="O309" i="5"/>
  <c r="O368" i="5"/>
  <c r="O174" i="5"/>
  <c r="O153" i="5"/>
  <c r="O539" i="5"/>
  <c r="O373" i="5"/>
  <c r="O89" i="5"/>
  <c r="O160" i="5"/>
  <c r="O288" i="5"/>
  <c r="O126" i="5"/>
  <c r="O505" i="5"/>
  <c r="O294" i="5"/>
  <c r="O469" i="5"/>
  <c r="O436" i="5"/>
  <c r="O405" i="5"/>
  <c r="O74" i="5"/>
  <c r="O362" i="5"/>
  <c r="O486" i="5"/>
  <c r="O331" i="5"/>
  <c r="O397" i="5"/>
  <c r="O512" i="5"/>
  <c r="O427" i="5"/>
  <c r="O346" i="5"/>
  <c r="O111" i="5"/>
  <c r="O332" i="5"/>
  <c r="O358" i="5"/>
  <c r="O307" i="5"/>
  <c r="O299" i="5"/>
  <c r="O43" i="5"/>
  <c r="O349" i="5"/>
  <c r="O490" i="5"/>
  <c r="O276" i="5"/>
  <c r="O117" i="5"/>
  <c r="O441" i="5"/>
  <c r="O341" i="5"/>
  <c r="O203" i="5"/>
  <c r="O385" i="5"/>
  <c r="O187" i="5"/>
  <c r="O42" i="5"/>
  <c r="O428" i="5"/>
  <c r="O37" i="5"/>
  <c r="O250" i="5"/>
  <c r="O213" i="5"/>
  <c r="O382" i="5"/>
  <c r="O450" i="5"/>
  <c r="AB450" i="5" s="1"/>
  <c r="O479" i="5"/>
  <c r="O108" i="5"/>
  <c r="O347" i="5"/>
  <c r="O41" i="5"/>
  <c r="O8" i="5"/>
  <c r="O10" i="5"/>
  <c r="O12" i="5"/>
  <c r="O9" i="5"/>
  <c r="O11" i="5"/>
  <c r="B72" i="5"/>
  <c r="B67" i="5"/>
  <c r="P7" i="5"/>
  <c r="Q7" i="5" s="1"/>
  <c r="B83" i="3"/>
  <c r="B86" i="3" s="1"/>
  <c r="I41" i="2" s="1"/>
  <c r="I30" i="2"/>
  <c r="I36" i="2"/>
  <c r="E91" i="3"/>
  <c r="AB83" i="5" l="1"/>
  <c r="AB531" i="5"/>
  <c r="AO31" i="6"/>
  <c r="AC69" i="6"/>
  <c r="AD69" i="6" s="1"/>
  <c r="AF136" i="6"/>
  <c r="AG136" i="6" s="1"/>
  <c r="AI136" i="6" s="1"/>
  <c r="AQ81" i="6"/>
  <c r="AK136" i="6"/>
  <c r="AL136" i="6" s="1"/>
  <c r="AO136" i="6" s="1"/>
  <c r="AP71" i="6"/>
  <c r="AF88" i="8"/>
  <c r="AG88" i="8" s="1"/>
  <c r="AI88" i="8" s="1"/>
  <c r="AQ71" i="6"/>
  <c r="AN88" i="8"/>
  <c r="AO88" i="8" s="1"/>
  <c r="AQ60" i="8"/>
  <c r="AN71" i="8"/>
  <c r="AO71" i="8" s="1"/>
  <c r="AO121" i="8"/>
  <c r="AU121" i="8" s="1"/>
  <c r="AW121" i="8" s="1"/>
  <c r="AO42" i="8"/>
  <c r="AU42" i="8" s="1"/>
  <c r="AW42" i="8" s="1"/>
  <c r="AC88" i="8"/>
  <c r="AD88" i="8" s="1"/>
  <c r="AQ88" i="8"/>
  <c r="AU88" i="8" s="1"/>
  <c r="AW88" i="8" s="1"/>
  <c r="AF80" i="8"/>
  <c r="AG80" i="8" s="1"/>
  <c r="AI80" i="8" s="1"/>
  <c r="AN80" i="8"/>
  <c r="AO80" i="8" s="1"/>
  <c r="AF132" i="8"/>
  <c r="AG132" i="8" s="1"/>
  <c r="AI132" i="8" s="1"/>
  <c r="AN69" i="6"/>
  <c r="AO69" i="6" s="1"/>
  <c r="AP69" i="6"/>
  <c r="AP17" i="8"/>
  <c r="AN129" i="8"/>
  <c r="AO129" i="8" s="1"/>
  <c r="AC85" i="8"/>
  <c r="AD85" i="8" s="1"/>
  <c r="AC81" i="6"/>
  <c r="AD81" i="6" s="1"/>
  <c r="AC145" i="8"/>
  <c r="AD145" i="8" s="1"/>
  <c r="AP145" i="8"/>
  <c r="AK13" i="8"/>
  <c r="AL13" i="8" s="1"/>
  <c r="AO13" i="8" s="1"/>
  <c r="AU13" i="8" s="1"/>
  <c r="AW13" i="8" s="1"/>
  <c r="AF83" i="8"/>
  <c r="AG83" i="8" s="1"/>
  <c r="AI83" i="8" s="1"/>
  <c r="AC156" i="8"/>
  <c r="AD156" i="8" s="1"/>
  <c r="AN83" i="8"/>
  <c r="AO83" i="8" s="1"/>
  <c r="AN13" i="8"/>
  <c r="AF29" i="8"/>
  <c r="AG29" i="8" s="1"/>
  <c r="AI29" i="8" s="1"/>
  <c r="AF126" i="6"/>
  <c r="AG126" i="6" s="1"/>
  <c r="AI126" i="6" s="1"/>
  <c r="AK126" i="6"/>
  <c r="AL126" i="6" s="1"/>
  <c r="AO126" i="6" s="1"/>
  <c r="AQ136" i="6"/>
  <c r="AF69" i="6"/>
  <c r="AG69" i="6" s="1"/>
  <c r="AI69" i="6" s="1"/>
  <c r="AN72" i="6"/>
  <c r="AO72" i="6" s="1"/>
  <c r="AU90" i="8"/>
  <c r="AW90" i="8" s="1"/>
  <c r="AP126" i="8"/>
  <c r="AP43" i="8"/>
  <c r="AO139" i="8"/>
  <c r="AN132" i="8"/>
  <c r="AO132" i="8" s="1"/>
  <c r="AQ83" i="8"/>
  <c r="AC72" i="8"/>
  <c r="AD72" i="8" s="1"/>
  <c r="AU138" i="8"/>
  <c r="AW138" i="8" s="1"/>
  <c r="AP72" i="8"/>
  <c r="AQ129" i="8"/>
  <c r="AK17" i="8"/>
  <c r="AL17" i="8" s="1"/>
  <c r="AO17" i="8" s="1"/>
  <c r="AK43" i="8"/>
  <c r="AL43" i="8" s="1"/>
  <c r="AP129" i="8"/>
  <c r="AQ126" i="8"/>
  <c r="AF17" i="8"/>
  <c r="AG17" i="8" s="1"/>
  <c r="AI17" i="8" s="1"/>
  <c r="AU127" i="8"/>
  <c r="AW127" i="8" s="1"/>
  <c r="AU150" i="8"/>
  <c r="AW150" i="8" s="1"/>
  <c r="AF72" i="6"/>
  <c r="AG72" i="6" s="1"/>
  <c r="AI72" i="6" s="1"/>
  <c r="AF94" i="8"/>
  <c r="AG94" i="8" s="1"/>
  <c r="AI94" i="8" s="1"/>
  <c r="AP60" i="8"/>
  <c r="AK39" i="8"/>
  <c r="AL39" i="8" s="1"/>
  <c r="AO39" i="8" s="1"/>
  <c r="AK157" i="8"/>
  <c r="AL157" i="8" s="1"/>
  <c r="AO157" i="8" s="1"/>
  <c r="AQ154" i="8"/>
  <c r="AC154" i="8"/>
  <c r="AD154" i="8" s="1"/>
  <c r="AP156" i="8"/>
  <c r="AF39" i="8"/>
  <c r="AG39" i="8" s="1"/>
  <c r="AI39" i="8" s="1"/>
  <c r="AQ39" i="8"/>
  <c r="AF154" i="8"/>
  <c r="AG154" i="8" s="1"/>
  <c r="AI154" i="8" s="1"/>
  <c r="AN154" i="8"/>
  <c r="AO154" i="8" s="1"/>
  <c r="AU155" i="8"/>
  <c r="AW155" i="8" s="1"/>
  <c r="AF71" i="8"/>
  <c r="AG71" i="8" s="1"/>
  <c r="AI71" i="8" s="1"/>
  <c r="AN76" i="6"/>
  <c r="AP157" i="8"/>
  <c r="AQ157" i="8"/>
  <c r="AC136" i="6"/>
  <c r="AD136" i="6" s="1"/>
  <c r="AU92" i="8"/>
  <c r="AW92" i="8" s="1"/>
  <c r="AP39" i="8"/>
  <c r="AF157" i="8"/>
  <c r="AG157" i="8" s="1"/>
  <c r="AI157" i="8" s="1"/>
  <c r="AK108" i="8"/>
  <c r="AL108" i="8" s="1"/>
  <c r="AO108" i="8" s="1"/>
  <c r="AQ96" i="8"/>
  <c r="AU122" i="8"/>
  <c r="AW122" i="8" s="1"/>
  <c r="AU123" i="8"/>
  <c r="AW123" i="8" s="1"/>
  <c r="AU113" i="8"/>
  <c r="AW113" i="8" s="1"/>
  <c r="AU27" i="8"/>
  <c r="AW27" i="8" s="1"/>
  <c r="AU18" i="8"/>
  <c r="AW18" i="8" s="1"/>
  <c r="AQ43" i="8"/>
  <c r="AK74" i="8"/>
  <c r="AL74" i="8" s="1"/>
  <c r="AO74" i="8" s="1"/>
  <c r="AF74" i="8"/>
  <c r="AG74" i="8" s="1"/>
  <c r="AI74" i="8" s="1"/>
  <c r="AU10" i="8"/>
  <c r="AW10" i="8" s="1"/>
  <c r="AC72" i="6"/>
  <c r="AD72" i="6" s="1"/>
  <c r="AC118" i="6"/>
  <c r="AD118" i="6" s="1"/>
  <c r="AP118" i="6"/>
  <c r="AK81" i="6"/>
  <c r="AL81" i="6" s="1"/>
  <c r="AF59" i="6"/>
  <c r="AG59" i="6" s="1"/>
  <c r="AI59" i="6" s="1"/>
  <c r="AK106" i="6"/>
  <c r="AL106" i="6" s="1"/>
  <c r="AC80" i="6"/>
  <c r="AD80" i="6" s="1"/>
  <c r="AQ126" i="6"/>
  <c r="AF93" i="6"/>
  <c r="AG93" i="6" s="1"/>
  <c r="AI93" i="6" s="1"/>
  <c r="AN111" i="6"/>
  <c r="AK111" i="6"/>
  <c r="AL111" i="6" s="1"/>
  <c r="AN93" i="6"/>
  <c r="AO93" i="6" s="1"/>
  <c r="AC93" i="6"/>
  <c r="AD93" i="6" s="1"/>
  <c r="AN106" i="6"/>
  <c r="AN101" i="6"/>
  <c r="AK101" i="6"/>
  <c r="AL101" i="6" s="1"/>
  <c r="AP128" i="6"/>
  <c r="AC128" i="6"/>
  <c r="AD128" i="6" s="1"/>
  <c r="AC126" i="6"/>
  <c r="AD126" i="6" s="1"/>
  <c r="AQ93" i="6"/>
  <c r="AQ111" i="6"/>
  <c r="AF74" i="6"/>
  <c r="AG74" i="6" s="1"/>
  <c r="AI74" i="6" s="1"/>
  <c r="AP111" i="6"/>
  <c r="AN74" i="6"/>
  <c r="AO74" i="6" s="1"/>
  <c r="AN81" i="6"/>
  <c r="AQ72" i="6"/>
  <c r="AK120" i="6"/>
  <c r="AL120" i="6" s="1"/>
  <c r="AN120" i="6"/>
  <c r="AK76" i="6"/>
  <c r="AL76" i="6" s="1"/>
  <c r="AQ76" i="6"/>
  <c r="AP76" i="6"/>
  <c r="AN71" i="6"/>
  <c r="AO71" i="6" s="1"/>
  <c r="AP74" i="6"/>
  <c r="AN156" i="6"/>
  <c r="AO156" i="6" s="1"/>
  <c r="AF156" i="6"/>
  <c r="AG156" i="6" s="1"/>
  <c r="AI156" i="6" s="1"/>
  <c r="AC106" i="6"/>
  <c r="AD106" i="6" s="1"/>
  <c r="AC74" i="6"/>
  <c r="AD74" i="6" s="1"/>
  <c r="AQ135" i="8"/>
  <c r="AF145" i="8"/>
  <c r="AG145" i="8" s="1"/>
  <c r="AI145" i="8" s="1"/>
  <c r="AF71" i="6"/>
  <c r="AG71" i="6" s="1"/>
  <c r="AI71" i="6" s="1"/>
  <c r="AQ106" i="6"/>
  <c r="AQ64" i="8"/>
  <c r="AC135" i="8"/>
  <c r="AD135" i="8" s="1"/>
  <c r="AN145" i="8"/>
  <c r="AO145" i="8" s="1"/>
  <c r="AU50" i="8"/>
  <c r="AW50" i="8" s="1"/>
  <c r="AF16" i="8"/>
  <c r="AG16" i="8" s="1"/>
  <c r="AI16" i="8" s="1"/>
  <c r="AO32" i="6"/>
  <c r="AU32" i="6" s="1"/>
  <c r="AW32" i="6" s="1"/>
  <c r="AP59" i="6"/>
  <c r="AK135" i="8"/>
  <c r="AL135" i="8" s="1"/>
  <c r="AO135" i="8" s="1"/>
  <c r="AK16" i="8"/>
  <c r="AL16" i="8" s="1"/>
  <c r="AO16" i="8" s="1"/>
  <c r="AP85" i="8"/>
  <c r="AF135" i="8"/>
  <c r="AG135" i="8" s="1"/>
  <c r="AI135" i="8" s="1"/>
  <c r="AU130" i="8"/>
  <c r="AW130" i="8" s="1"/>
  <c r="AQ83" i="6"/>
  <c r="AK59" i="6"/>
  <c r="AL59" i="6" s="1"/>
  <c r="AO59" i="6" s="1"/>
  <c r="AC124" i="6"/>
  <c r="AD124" i="6" s="1"/>
  <c r="AC60" i="6"/>
  <c r="AD60" i="6" s="1"/>
  <c r="AC59" i="6"/>
  <c r="AD59" i="6" s="1"/>
  <c r="AP64" i="8"/>
  <c r="AP60" i="6"/>
  <c r="AC96" i="8"/>
  <c r="AD96" i="8" s="1"/>
  <c r="AC133" i="6"/>
  <c r="AD133" i="6" s="1"/>
  <c r="AQ156" i="6"/>
  <c r="AQ133" i="6"/>
  <c r="AC156" i="6"/>
  <c r="AD156" i="6" s="1"/>
  <c r="AK60" i="6"/>
  <c r="AL60" i="6" s="1"/>
  <c r="AK63" i="6"/>
  <c r="AL63" i="6" s="1"/>
  <c r="AC92" i="6"/>
  <c r="AD92" i="6" s="1"/>
  <c r="AF131" i="6"/>
  <c r="AG131" i="6" s="1"/>
  <c r="AI131" i="6" s="1"/>
  <c r="AC62" i="8"/>
  <c r="AD62" i="8" s="1"/>
  <c r="AN92" i="6"/>
  <c r="AK92" i="6"/>
  <c r="AL92" i="6" s="1"/>
  <c r="AP80" i="6"/>
  <c r="AN63" i="6"/>
  <c r="AF128" i="8"/>
  <c r="AG128" i="8" s="1"/>
  <c r="AI128" i="8" s="1"/>
  <c r="AU103" i="8"/>
  <c r="AW103" i="8" s="1"/>
  <c r="AK131" i="6"/>
  <c r="AL131" i="6" s="1"/>
  <c r="AO131" i="6" s="1"/>
  <c r="AU54" i="8"/>
  <c r="AW54" i="8" s="1"/>
  <c r="AC95" i="6"/>
  <c r="AD95" i="6" s="1"/>
  <c r="AQ92" i="6"/>
  <c r="AF96" i="8"/>
  <c r="AG96" i="8" s="1"/>
  <c r="AI96" i="8" s="1"/>
  <c r="AC63" i="6"/>
  <c r="AD63" i="6" s="1"/>
  <c r="AN109" i="6"/>
  <c r="AF108" i="8"/>
  <c r="AG108" i="8" s="1"/>
  <c r="AI108" i="8" s="1"/>
  <c r="AU149" i="8"/>
  <c r="AW149" i="8" s="1"/>
  <c r="AP45" i="6"/>
  <c r="AQ108" i="8"/>
  <c r="AP108" i="8"/>
  <c r="AQ131" i="6"/>
  <c r="AP63" i="6"/>
  <c r="AC131" i="6"/>
  <c r="AD131" i="6" s="1"/>
  <c r="AC45" i="6"/>
  <c r="AD45" i="6" s="1"/>
  <c r="AK96" i="8"/>
  <c r="AL96" i="8" s="1"/>
  <c r="AO96" i="8" s="1"/>
  <c r="AU49" i="8"/>
  <c r="AW49" i="8" s="1"/>
  <c r="AF62" i="8"/>
  <c r="AG62" i="8" s="1"/>
  <c r="AI62" i="8" s="1"/>
  <c r="AN62" i="8"/>
  <c r="AO62" i="8" s="1"/>
  <c r="AO34" i="8"/>
  <c r="AU34" i="8" s="1"/>
  <c r="AW34" i="8" s="1"/>
  <c r="AU84" i="8"/>
  <c r="AW84" i="8" s="1"/>
  <c r="AC62" i="6"/>
  <c r="AD62" i="6" s="1"/>
  <c r="AK124" i="6"/>
  <c r="AL124" i="6" s="1"/>
  <c r="AP107" i="8"/>
  <c r="AC47" i="8"/>
  <c r="AD47" i="8" s="1"/>
  <c r="AC94" i="8"/>
  <c r="AD94" i="8" s="1"/>
  <c r="AN124" i="6"/>
  <c r="AC82" i="8"/>
  <c r="AD82" i="8" s="1"/>
  <c r="AP94" i="8"/>
  <c r="AK109" i="6"/>
  <c r="AL109" i="6" s="1"/>
  <c r="AF60" i="8"/>
  <c r="AG60" i="8" s="1"/>
  <c r="AI60" i="8" s="1"/>
  <c r="AU63" i="8"/>
  <c r="AW63" i="8" s="1"/>
  <c r="AU143" i="8"/>
  <c r="AW143" i="8" s="1"/>
  <c r="AU32" i="8"/>
  <c r="AW32" i="8" s="1"/>
  <c r="AN60" i="6"/>
  <c r="AQ37" i="8"/>
  <c r="AN60" i="8"/>
  <c r="AO60" i="8" s="1"/>
  <c r="AN128" i="8"/>
  <c r="AO128" i="8" s="1"/>
  <c r="AN118" i="6"/>
  <c r="AO118" i="6" s="1"/>
  <c r="AC36" i="8"/>
  <c r="AD36" i="8" s="1"/>
  <c r="AF41" i="8"/>
  <c r="AG41" i="8" s="1"/>
  <c r="AI41" i="8" s="1"/>
  <c r="AP124" i="6"/>
  <c r="AQ36" i="8"/>
  <c r="AN41" i="8"/>
  <c r="AO41" i="8" s="1"/>
  <c r="AF118" i="6"/>
  <c r="AG118" i="6" s="1"/>
  <c r="AI118" i="6" s="1"/>
  <c r="AQ47" i="8"/>
  <c r="AC77" i="6"/>
  <c r="AD77" i="6" s="1"/>
  <c r="AF133" i="6"/>
  <c r="AG133" i="6" s="1"/>
  <c r="AI133" i="6" s="1"/>
  <c r="AQ62" i="8"/>
  <c r="AK85" i="8"/>
  <c r="AL85" i="8" s="1"/>
  <c r="AO85" i="8" s="1"/>
  <c r="AK154" i="6"/>
  <c r="AL154" i="6" s="1"/>
  <c r="AO154" i="6" s="1"/>
  <c r="AC120" i="6"/>
  <c r="AD120" i="6" s="1"/>
  <c r="AN94" i="8"/>
  <c r="AO94" i="8" s="1"/>
  <c r="AF36" i="8"/>
  <c r="AG36" i="8" s="1"/>
  <c r="AI36" i="8" s="1"/>
  <c r="AP132" i="8"/>
  <c r="AN36" i="8"/>
  <c r="AO36" i="8" s="1"/>
  <c r="AP120" i="6"/>
  <c r="AK133" i="6"/>
  <c r="AL133" i="6" s="1"/>
  <c r="AO133" i="6" s="1"/>
  <c r="AC132" i="8"/>
  <c r="AD132" i="8" s="1"/>
  <c r="AP82" i="8"/>
  <c r="AQ57" i="8"/>
  <c r="AQ128" i="8"/>
  <c r="AC57" i="8"/>
  <c r="AD57" i="8" s="1"/>
  <c r="AP128" i="8"/>
  <c r="AF85" i="8"/>
  <c r="AG85" i="8" s="1"/>
  <c r="AI85" i="8" s="1"/>
  <c r="AP58" i="6"/>
  <c r="AC41" i="8"/>
  <c r="AD41" i="8" s="1"/>
  <c r="AN22" i="8"/>
  <c r="AU141" i="8"/>
  <c r="AW141" i="8" s="1"/>
  <c r="AP77" i="6"/>
  <c r="AK51" i="6"/>
  <c r="AL51" i="6" s="1"/>
  <c r="AO51" i="6" s="1"/>
  <c r="AP109" i="6"/>
  <c r="AU116" i="8"/>
  <c r="AW116" i="8" s="1"/>
  <c r="AF51" i="6"/>
  <c r="AG51" i="6" s="1"/>
  <c r="AI51" i="6" s="1"/>
  <c r="AQ109" i="6"/>
  <c r="AQ97" i="8"/>
  <c r="AP41" i="8"/>
  <c r="AF107" i="8"/>
  <c r="AG107" i="8" s="1"/>
  <c r="AI107" i="8" s="1"/>
  <c r="AK22" i="8"/>
  <c r="AL22" i="8" s="1"/>
  <c r="AP97" i="8"/>
  <c r="AU15" i="8"/>
  <c r="AW15" i="8" s="1"/>
  <c r="AP95" i="6"/>
  <c r="AC51" i="6"/>
  <c r="AD51" i="6" s="1"/>
  <c r="AC37" i="8"/>
  <c r="AD37" i="8" s="1"/>
  <c r="AF104" i="8"/>
  <c r="AG104" i="8" s="1"/>
  <c r="AI104" i="8" s="1"/>
  <c r="AQ58" i="6"/>
  <c r="AC107" i="8"/>
  <c r="AD107" i="8" s="1"/>
  <c r="AK104" i="8"/>
  <c r="AL104" i="8" s="1"/>
  <c r="AO104" i="8" s="1"/>
  <c r="AU109" i="8"/>
  <c r="AW109" i="8" s="1"/>
  <c r="AQ67" i="6"/>
  <c r="AN107" i="8"/>
  <c r="AO107" i="8" s="1"/>
  <c r="AQ51" i="6"/>
  <c r="AF77" i="6"/>
  <c r="AG77" i="6" s="1"/>
  <c r="AI77" i="6" s="1"/>
  <c r="AK82" i="8"/>
  <c r="AL82" i="8" s="1"/>
  <c r="AO82" i="8" s="1"/>
  <c r="AU24" i="8"/>
  <c r="AW24" i="8" s="1"/>
  <c r="AN77" i="6"/>
  <c r="AO77" i="6" s="1"/>
  <c r="AP67" i="6"/>
  <c r="AU67" i="8"/>
  <c r="AW67" i="8" s="1"/>
  <c r="AC71" i="8"/>
  <c r="AD71" i="8" s="1"/>
  <c r="AF47" i="8"/>
  <c r="AG47" i="8" s="1"/>
  <c r="AI47" i="8" s="1"/>
  <c r="AO53" i="8"/>
  <c r="AU53" i="8" s="1"/>
  <c r="AW53" i="8" s="1"/>
  <c r="AQ148" i="6"/>
  <c r="AF40" i="8"/>
  <c r="AG40" i="8" s="1"/>
  <c r="AI40" i="8" s="1"/>
  <c r="AN57" i="8"/>
  <c r="AO57" i="8" s="1"/>
  <c r="AU111" i="8"/>
  <c r="AW111" i="8" s="1"/>
  <c r="AK95" i="6"/>
  <c r="AL95" i="6" s="1"/>
  <c r="AO95" i="6" s="1"/>
  <c r="AF95" i="6"/>
  <c r="AG95" i="6" s="1"/>
  <c r="AI95" i="6" s="1"/>
  <c r="AF57" i="8"/>
  <c r="AG57" i="8" s="1"/>
  <c r="AI57" i="8" s="1"/>
  <c r="AP61" i="8"/>
  <c r="AQ61" i="8"/>
  <c r="AP22" i="8"/>
  <c r="AC22" i="8"/>
  <c r="AD22" i="8" s="1"/>
  <c r="AF115" i="8"/>
  <c r="AG115" i="8" s="1"/>
  <c r="AI115" i="8" s="1"/>
  <c r="AN115" i="8"/>
  <c r="AO115" i="8" s="1"/>
  <c r="AU117" i="8"/>
  <c r="AW117" i="8" s="1"/>
  <c r="AU8" i="8"/>
  <c r="AW8" i="8" s="1"/>
  <c r="AQ71" i="8"/>
  <c r="AU137" i="8"/>
  <c r="AW137" i="8" s="1"/>
  <c r="AU26" i="8"/>
  <c r="AW26" i="8" s="1"/>
  <c r="AK61" i="8"/>
  <c r="AL61" i="8" s="1"/>
  <c r="AO61" i="8" s="1"/>
  <c r="AN73" i="8"/>
  <c r="AO73" i="8" s="1"/>
  <c r="AN47" i="8"/>
  <c r="AO47" i="8" s="1"/>
  <c r="AU140" i="8"/>
  <c r="AW140" i="8" s="1"/>
  <c r="AP110" i="8"/>
  <c r="AU52" i="8"/>
  <c r="AW52" i="8" s="1"/>
  <c r="AU120" i="8"/>
  <c r="AW120" i="8" s="1"/>
  <c r="AN40" i="8"/>
  <c r="AO40" i="8" s="1"/>
  <c r="AP40" i="8"/>
  <c r="AK126" i="8"/>
  <c r="AL126" i="8" s="1"/>
  <c r="AO126" i="8" s="1"/>
  <c r="AQ40" i="8"/>
  <c r="AF70" i="8"/>
  <c r="AG70" i="8" s="1"/>
  <c r="AI70" i="8" s="1"/>
  <c r="AF61" i="8"/>
  <c r="AG61" i="8" s="1"/>
  <c r="AI61" i="8" s="1"/>
  <c r="AU48" i="8"/>
  <c r="AW48" i="8" s="1"/>
  <c r="AU46" i="8"/>
  <c r="AW46" i="8" s="1"/>
  <c r="AQ70" i="8"/>
  <c r="AN70" i="8"/>
  <c r="AO70" i="8" s="1"/>
  <c r="AF126" i="8"/>
  <c r="AG126" i="8" s="1"/>
  <c r="AI126" i="8" s="1"/>
  <c r="AC107" i="6"/>
  <c r="AD107" i="6" s="1"/>
  <c r="AN58" i="6"/>
  <c r="AC70" i="8"/>
  <c r="AD70" i="8" s="1"/>
  <c r="AQ110" i="8"/>
  <c r="AU131" i="8"/>
  <c r="AW131" i="8" s="1"/>
  <c r="AF73" i="8"/>
  <c r="AG73" i="8" s="1"/>
  <c r="AI73" i="8" s="1"/>
  <c r="AU76" i="8"/>
  <c r="AW76" i="8" s="1"/>
  <c r="AU44" i="8"/>
  <c r="AW44" i="8" s="1"/>
  <c r="AU14" i="8"/>
  <c r="AW14" i="8" s="1"/>
  <c r="AF82" i="8"/>
  <c r="AG82" i="8" s="1"/>
  <c r="AI82" i="8" s="1"/>
  <c r="AK110" i="8"/>
  <c r="AL110" i="8" s="1"/>
  <c r="AO110" i="8" s="1"/>
  <c r="AP104" i="8"/>
  <c r="AF110" i="8"/>
  <c r="AG110" i="8" s="1"/>
  <c r="AI110" i="8" s="1"/>
  <c r="AQ104" i="8"/>
  <c r="AU144" i="8"/>
  <c r="AW144" i="8" s="1"/>
  <c r="AF154" i="6"/>
  <c r="AG154" i="6" s="1"/>
  <c r="AI154" i="6" s="1"/>
  <c r="AP62" i="6"/>
  <c r="AO26" i="6"/>
  <c r="AU26" i="6" s="1"/>
  <c r="AW26" i="6" s="1"/>
  <c r="AQ113" i="6"/>
  <c r="AB400" i="5"/>
  <c r="AD400" i="5" s="1"/>
  <c r="AP113" i="6"/>
  <c r="AN157" i="6"/>
  <c r="AO157" i="6" s="1"/>
  <c r="AP148" i="6"/>
  <c r="AN148" i="6"/>
  <c r="AK83" i="6"/>
  <c r="AL83" i="6" s="1"/>
  <c r="AN83" i="6"/>
  <c r="AP65" i="6"/>
  <c r="AK58" i="6"/>
  <c r="AL58" i="6" s="1"/>
  <c r="AP138" i="6"/>
  <c r="AK55" i="6"/>
  <c r="AL55" i="6" s="1"/>
  <c r="AO55" i="6" s="1"/>
  <c r="AN67" i="6"/>
  <c r="AO67" i="6" s="1"/>
  <c r="AO36" i="6"/>
  <c r="AU36" i="6" s="1"/>
  <c r="AW36" i="6" s="1"/>
  <c r="AF53" i="6"/>
  <c r="AG53" i="6" s="1"/>
  <c r="AI53" i="6" s="1"/>
  <c r="AK148" i="6"/>
  <c r="AL148" i="6" s="1"/>
  <c r="AC125" i="6"/>
  <c r="AD125" i="6" s="1"/>
  <c r="AP55" i="6"/>
  <c r="AK138" i="6"/>
  <c r="AL138" i="6" s="1"/>
  <c r="AF65" i="6"/>
  <c r="AG65" i="6" s="1"/>
  <c r="AI65" i="6" s="1"/>
  <c r="AP125" i="6"/>
  <c r="AC65" i="6"/>
  <c r="AD65" i="6" s="1"/>
  <c r="AN138" i="6"/>
  <c r="AK65" i="6"/>
  <c r="AL65" i="6" s="1"/>
  <c r="AO65" i="6" s="1"/>
  <c r="AK122" i="6"/>
  <c r="AL122" i="6" s="1"/>
  <c r="AN122" i="6"/>
  <c r="AQ53" i="6"/>
  <c r="AK113" i="6"/>
  <c r="AL113" i="6" s="1"/>
  <c r="AO113" i="6" s="1"/>
  <c r="AP53" i="6"/>
  <c r="AF80" i="6"/>
  <c r="AG80" i="6" s="1"/>
  <c r="AI80" i="6" s="1"/>
  <c r="AO21" i="6"/>
  <c r="AU21" i="6" s="1"/>
  <c r="AW21" i="6" s="1"/>
  <c r="AF113" i="6"/>
  <c r="AG113" i="6" s="1"/>
  <c r="AI113" i="6" s="1"/>
  <c r="AC142" i="6"/>
  <c r="AD142" i="6" s="1"/>
  <c r="AQ55" i="6"/>
  <c r="AN80" i="6"/>
  <c r="AO80" i="6" s="1"/>
  <c r="AK145" i="6"/>
  <c r="AL145" i="6" s="1"/>
  <c r="AC114" i="6"/>
  <c r="AD114" i="6" s="1"/>
  <c r="AN112" i="6"/>
  <c r="AO112" i="6" s="1"/>
  <c r="AF127" i="6"/>
  <c r="AG127" i="6" s="1"/>
  <c r="AI127" i="6" s="1"/>
  <c r="AN53" i="6"/>
  <c r="AO53" i="6" s="1"/>
  <c r="AF45" i="6"/>
  <c r="AG45" i="6" s="1"/>
  <c r="AI45" i="6" s="1"/>
  <c r="AN127" i="6"/>
  <c r="AO127" i="6" s="1"/>
  <c r="AF112" i="6"/>
  <c r="AG112" i="6" s="1"/>
  <c r="AI112" i="6" s="1"/>
  <c r="AP114" i="6"/>
  <c r="AF67" i="6"/>
  <c r="AG67" i="6" s="1"/>
  <c r="AI67" i="6" s="1"/>
  <c r="AF55" i="6"/>
  <c r="AG55" i="6" s="1"/>
  <c r="AI55" i="6" s="1"/>
  <c r="AK45" i="6"/>
  <c r="AL45" i="6" s="1"/>
  <c r="AO45" i="6" s="1"/>
  <c r="AP52" i="6"/>
  <c r="AK125" i="6"/>
  <c r="AL125" i="6" s="1"/>
  <c r="AO125" i="6" s="1"/>
  <c r="AB285" i="5"/>
  <c r="BE285" i="5" s="1"/>
  <c r="AB249" i="5"/>
  <c r="AD249" i="5" s="1"/>
  <c r="AB57" i="5"/>
  <c r="AD57" i="5" s="1"/>
  <c r="AF125" i="6"/>
  <c r="AG125" i="6" s="1"/>
  <c r="AI125" i="6" s="1"/>
  <c r="AC138" i="6"/>
  <c r="AD138" i="6" s="1"/>
  <c r="AP84" i="6"/>
  <c r="AC84" i="6"/>
  <c r="AD84" i="6" s="1"/>
  <c r="AP142" i="6"/>
  <c r="AF153" i="6"/>
  <c r="AG153" i="6" s="1"/>
  <c r="AI153" i="6" s="1"/>
  <c r="AC157" i="6"/>
  <c r="AD157" i="6" s="1"/>
  <c r="AC66" i="6"/>
  <c r="AD66" i="6" s="1"/>
  <c r="AC75" i="6"/>
  <c r="AD75" i="6" s="1"/>
  <c r="AN128" i="6"/>
  <c r="AC122" i="6"/>
  <c r="AD122" i="6" s="1"/>
  <c r="AQ157" i="6"/>
  <c r="AN62" i="6"/>
  <c r="AK128" i="6"/>
  <c r="AL128" i="6" s="1"/>
  <c r="AK62" i="6"/>
  <c r="AL62" i="6" s="1"/>
  <c r="AN121" i="6"/>
  <c r="AK121" i="6"/>
  <c r="AL121" i="6" s="1"/>
  <c r="AP122" i="6"/>
  <c r="AN153" i="6"/>
  <c r="AO153" i="6" s="1"/>
  <c r="AP66" i="6"/>
  <c r="AB339" i="5"/>
  <c r="AC339" i="5" s="1"/>
  <c r="AF157" i="6"/>
  <c r="AG157" i="6" s="1"/>
  <c r="AI157" i="6" s="1"/>
  <c r="AF75" i="6"/>
  <c r="AG75" i="6" s="1"/>
  <c r="AI75" i="6" s="1"/>
  <c r="AN142" i="6"/>
  <c r="AQ116" i="6"/>
  <c r="AC49" i="6"/>
  <c r="AD49" i="6" s="1"/>
  <c r="AB497" i="5"/>
  <c r="AD497" i="5" s="1"/>
  <c r="AB323" i="5"/>
  <c r="AC323" i="5" s="1"/>
  <c r="AO33" i="6"/>
  <c r="AU33" i="6" s="1"/>
  <c r="AW33" i="6" s="1"/>
  <c r="AC112" i="6"/>
  <c r="AD112" i="6" s="1"/>
  <c r="AP107" i="6"/>
  <c r="AC61" i="6"/>
  <c r="AD61" i="6" s="1"/>
  <c r="AK75" i="6"/>
  <c r="AL75" i="6" s="1"/>
  <c r="AO75" i="6" s="1"/>
  <c r="AC116" i="6"/>
  <c r="AD116" i="6" s="1"/>
  <c r="AN66" i="6"/>
  <c r="AO66" i="6" s="1"/>
  <c r="AP61" i="6"/>
  <c r="AK155" i="6"/>
  <c r="AL155" i="6" s="1"/>
  <c r="AO155" i="6" s="1"/>
  <c r="AQ75" i="6"/>
  <c r="AK142" i="6"/>
  <c r="AL142" i="6" s="1"/>
  <c r="AF66" i="6"/>
  <c r="AG66" i="6" s="1"/>
  <c r="AI66" i="6" s="1"/>
  <c r="AK61" i="6"/>
  <c r="AL61" i="6" s="1"/>
  <c r="AC83" i="6"/>
  <c r="AD83" i="6" s="1"/>
  <c r="AN104" i="6"/>
  <c r="AN152" i="6"/>
  <c r="AO152" i="6" s="1"/>
  <c r="AN61" i="6"/>
  <c r="AP110" i="6"/>
  <c r="AC110" i="6"/>
  <c r="AD110" i="6" s="1"/>
  <c r="AP112" i="6"/>
  <c r="AK110" i="6"/>
  <c r="AL110" i="6" s="1"/>
  <c r="AO110" i="6" s="1"/>
  <c r="AO8" i="6"/>
  <c r="AU8" i="6" s="1"/>
  <c r="AW8" i="6" s="1"/>
  <c r="AO19" i="6"/>
  <c r="AU19" i="6" s="1"/>
  <c r="AW19" i="6" s="1"/>
  <c r="AC153" i="6"/>
  <c r="AD153" i="6" s="1"/>
  <c r="AK134" i="6"/>
  <c r="AL134" i="6" s="1"/>
  <c r="AP153" i="6"/>
  <c r="AF152" i="6"/>
  <c r="AG152" i="6" s="1"/>
  <c r="AI152" i="6" s="1"/>
  <c r="AF110" i="6"/>
  <c r="AG110" i="6" s="1"/>
  <c r="AI110" i="6" s="1"/>
  <c r="AK116" i="6"/>
  <c r="AL116" i="6" s="1"/>
  <c r="AQ38" i="6"/>
  <c r="AQ127" i="6"/>
  <c r="AK107" i="6"/>
  <c r="AL107" i="6" s="1"/>
  <c r="AP38" i="6"/>
  <c r="AK91" i="6"/>
  <c r="AL91" i="6" s="1"/>
  <c r="AO91" i="6" s="1"/>
  <c r="AF91" i="6"/>
  <c r="AG91" i="6" s="1"/>
  <c r="AI91" i="6" s="1"/>
  <c r="AQ154" i="6"/>
  <c r="AN97" i="6"/>
  <c r="AQ104" i="6"/>
  <c r="AO20" i="6"/>
  <c r="AU20" i="6" s="1"/>
  <c r="AW20" i="6" s="1"/>
  <c r="AN116" i="6"/>
  <c r="AQ130" i="6"/>
  <c r="AC99" i="6"/>
  <c r="AD99" i="6" s="1"/>
  <c r="AP90" i="6"/>
  <c r="AO14" i="6"/>
  <c r="AU14" i="6" s="1"/>
  <c r="AW14" i="6" s="1"/>
  <c r="AP154" i="6"/>
  <c r="AP140" i="6"/>
  <c r="AQ73" i="6"/>
  <c r="AP99" i="6"/>
  <c r="AP127" i="6"/>
  <c r="AC130" i="6"/>
  <c r="AD130" i="6" s="1"/>
  <c r="AN107" i="6"/>
  <c r="AK73" i="6"/>
  <c r="AL73" i="6" s="1"/>
  <c r="AF49" i="6"/>
  <c r="AG49" i="6" s="1"/>
  <c r="AI49" i="6" s="1"/>
  <c r="AK56" i="6"/>
  <c r="AL56" i="6" s="1"/>
  <c r="AC134" i="6"/>
  <c r="AD134" i="6" s="1"/>
  <c r="AN68" i="6"/>
  <c r="AK42" i="6"/>
  <c r="AL42" i="6" s="1"/>
  <c r="AO42" i="6" s="1"/>
  <c r="AQ105" i="6"/>
  <c r="AC37" i="6"/>
  <c r="AD37" i="6" s="1"/>
  <c r="AP105" i="6"/>
  <c r="AP129" i="6"/>
  <c r="AQ121" i="6"/>
  <c r="AC52" i="6"/>
  <c r="AD52" i="6" s="1"/>
  <c r="AC91" i="6"/>
  <c r="AD91" i="6" s="1"/>
  <c r="AP91" i="6"/>
  <c r="AQ117" i="6"/>
  <c r="AP117" i="6"/>
  <c r="AP147" i="6"/>
  <c r="AF147" i="6"/>
  <c r="AG147" i="6" s="1"/>
  <c r="AI147" i="6" s="1"/>
  <c r="AN130" i="6"/>
  <c r="AO130" i="6" s="1"/>
  <c r="AN147" i="6"/>
  <c r="AO147" i="6" s="1"/>
  <c r="AF130" i="6"/>
  <c r="AG130" i="6" s="1"/>
  <c r="AI130" i="6" s="1"/>
  <c r="AN54" i="6"/>
  <c r="AQ147" i="6"/>
  <c r="AN73" i="6"/>
  <c r="AN49" i="6"/>
  <c r="AO49" i="6" s="1"/>
  <c r="AK68" i="6"/>
  <c r="AL68" i="6" s="1"/>
  <c r="AC129" i="6"/>
  <c r="AD129" i="6" s="1"/>
  <c r="AP104" i="6"/>
  <c r="AN43" i="6"/>
  <c r="AP134" i="6"/>
  <c r="AQ37" i="6"/>
  <c r="AQ42" i="6"/>
  <c r="AP42" i="6"/>
  <c r="AN134" i="6"/>
  <c r="AP152" i="6"/>
  <c r="AQ152" i="6"/>
  <c r="AQ70" i="6"/>
  <c r="AO15" i="6"/>
  <c r="AU15" i="6" s="1"/>
  <c r="AW15" i="6" s="1"/>
  <c r="AC150" i="6"/>
  <c r="AD150" i="6" s="1"/>
  <c r="AQ139" i="6"/>
  <c r="AC64" i="6"/>
  <c r="AD64" i="6" s="1"/>
  <c r="AF99" i="6"/>
  <c r="AG99" i="6" s="1"/>
  <c r="AI99" i="6" s="1"/>
  <c r="AP64" i="6"/>
  <c r="AQ137" i="6"/>
  <c r="AK97" i="6"/>
  <c r="AL97" i="6" s="1"/>
  <c r="AO27" i="6"/>
  <c r="AU27" i="6" s="1"/>
  <c r="AW27" i="6" s="1"/>
  <c r="AC140" i="6"/>
  <c r="AD140" i="6" s="1"/>
  <c r="AP73" i="6"/>
  <c r="AC90" i="6"/>
  <c r="AD90" i="6" s="1"/>
  <c r="AF155" i="6"/>
  <c r="AG155" i="6" s="1"/>
  <c r="AI155" i="6" s="1"/>
  <c r="AK104" i="6"/>
  <c r="AL104" i="6" s="1"/>
  <c r="AN145" i="6"/>
  <c r="AN102" i="6"/>
  <c r="AO102" i="6" s="1"/>
  <c r="AK99" i="6"/>
  <c r="AL99" i="6" s="1"/>
  <c r="AO99" i="6" s="1"/>
  <c r="AQ49" i="6"/>
  <c r="AK129" i="6"/>
  <c r="AL129" i="6" s="1"/>
  <c r="AO129" i="6" s="1"/>
  <c r="AF102" i="6"/>
  <c r="AG102" i="6" s="1"/>
  <c r="AI102" i="6" s="1"/>
  <c r="AP137" i="6"/>
  <c r="AF129" i="6"/>
  <c r="AG129" i="6" s="1"/>
  <c r="AI129" i="6" s="1"/>
  <c r="AK137" i="6"/>
  <c r="AL137" i="6" s="1"/>
  <c r="AN137" i="6"/>
  <c r="AF103" i="6"/>
  <c r="AG103" i="6" s="1"/>
  <c r="AI103" i="6" s="1"/>
  <c r="AK38" i="6"/>
  <c r="AL38" i="6" s="1"/>
  <c r="AQ68" i="6"/>
  <c r="AK43" i="6"/>
  <c r="AL43" i="6" s="1"/>
  <c r="AO23" i="6"/>
  <c r="AU23" i="6" s="1"/>
  <c r="AW23" i="6" s="1"/>
  <c r="AF84" i="6"/>
  <c r="AG84" i="6" s="1"/>
  <c r="AI84" i="6" s="1"/>
  <c r="AP68" i="6"/>
  <c r="AF64" i="6"/>
  <c r="AG64" i="6" s="1"/>
  <c r="AI64" i="6" s="1"/>
  <c r="AO29" i="6"/>
  <c r="AU29" i="6" s="1"/>
  <c r="AW29" i="6" s="1"/>
  <c r="AN79" i="6"/>
  <c r="AK79" i="6"/>
  <c r="AL79" i="6" s="1"/>
  <c r="AN84" i="6"/>
  <c r="AO84" i="6" s="1"/>
  <c r="AF42" i="6"/>
  <c r="AG42" i="6" s="1"/>
  <c r="AI42" i="6" s="1"/>
  <c r="AN64" i="6"/>
  <c r="AO64" i="6" s="1"/>
  <c r="AU21" i="8"/>
  <c r="AW21" i="8" s="1"/>
  <c r="AU12" i="8"/>
  <c r="AW12" i="8" s="1"/>
  <c r="AU19" i="8"/>
  <c r="AW19" i="8" s="1"/>
  <c r="AU20" i="8"/>
  <c r="AW20" i="8" s="1"/>
  <c r="AU100" i="8"/>
  <c r="AW100" i="8" s="1"/>
  <c r="AC100" i="6"/>
  <c r="AD100" i="6" s="1"/>
  <c r="AF115" i="6"/>
  <c r="AG115" i="6" s="1"/>
  <c r="AI115" i="6" s="1"/>
  <c r="AQ100" i="6"/>
  <c r="AC102" i="6"/>
  <c r="AD102" i="6" s="1"/>
  <c r="AP102" i="6"/>
  <c r="AF46" i="6"/>
  <c r="AG46" i="6" s="1"/>
  <c r="AI46" i="6" s="1"/>
  <c r="AC78" i="6"/>
  <c r="AD78" i="6" s="1"/>
  <c r="AK115" i="6"/>
  <c r="AL115" i="6" s="1"/>
  <c r="AO115" i="6" s="1"/>
  <c r="AK124" i="8"/>
  <c r="AL124" i="8" s="1"/>
  <c r="AO124" i="8" s="1"/>
  <c r="AU147" i="8"/>
  <c r="AW147" i="8" s="1"/>
  <c r="AF88" i="6"/>
  <c r="AG88" i="6" s="1"/>
  <c r="AI88" i="6" s="1"/>
  <c r="AF124" i="8"/>
  <c r="AG124" i="8" s="1"/>
  <c r="AI124" i="8" s="1"/>
  <c r="AB559" i="5"/>
  <c r="AC559" i="5" s="1"/>
  <c r="AP85" i="6"/>
  <c r="AP50" i="6"/>
  <c r="AN52" i="6"/>
  <c r="AO52" i="6" s="1"/>
  <c r="AQ50" i="6"/>
  <c r="AF97" i="8"/>
  <c r="AG97" i="8" s="1"/>
  <c r="AI97" i="8" s="1"/>
  <c r="AU75" i="8"/>
  <c r="AW75" i="8" s="1"/>
  <c r="AN38" i="6"/>
  <c r="AN46" i="6"/>
  <c r="AO46" i="6" s="1"/>
  <c r="AN88" i="6"/>
  <c r="AO88" i="6" s="1"/>
  <c r="AK103" i="6"/>
  <c r="AL103" i="6" s="1"/>
  <c r="AO103" i="6" s="1"/>
  <c r="AQ78" i="6"/>
  <c r="AN97" i="8"/>
  <c r="AO97" i="8" s="1"/>
  <c r="AF37" i="6"/>
  <c r="AG37" i="6" s="1"/>
  <c r="AI37" i="6" s="1"/>
  <c r="AQ73" i="8"/>
  <c r="AC70" i="6"/>
  <c r="AD70" i="6" s="1"/>
  <c r="AU101" i="8"/>
  <c r="AW101" i="8" s="1"/>
  <c r="AN140" i="6"/>
  <c r="AO140" i="6" s="1"/>
  <c r="AU99" i="8"/>
  <c r="AW99" i="8" s="1"/>
  <c r="AF140" i="6"/>
  <c r="AG140" i="6" s="1"/>
  <c r="AI140" i="6" s="1"/>
  <c r="AC151" i="6"/>
  <c r="AD151" i="6" s="1"/>
  <c r="AQ146" i="6"/>
  <c r="AP94" i="6"/>
  <c r="AC146" i="6"/>
  <c r="AD146" i="6" s="1"/>
  <c r="AQ124" i="8"/>
  <c r="AC124" i="8"/>
  <c r="AD124" i="8" s="1"/>
  <c r="AK114" i="6"/>
  <c r="AL114" i="6" s="1"/>
  <c r="AO114" i="6" s="1"/>
  <c r="AN37" i="6"/>
  <c r="AO37" i="6" s="1"/>
  <c r="AU58" i="8"/>
  <c r="AW58" i="8" s="1"/>
  <c r="AP73" i="8"/>
  <c r="AU77" i="8"/>
  <c r="AW77" i="8" s="1"/>
  <c r="AC94" i="6"/>
  <c r="AD94" i="6" s="1"/>
  <c r="AQ151" i="6"/>
  <c r="AP41" i="6"/>
  <c r="AU68" i="8"/>
  <c r="AW68" i="8" s="1"/>
  <c r="AO25" i="6"/>
  <c r="AU25" i="6" s="1"/>
  <c r="AW25" i="6" s="1"/>
  <c r="AP86" i="6"/>
  <c r="AP155" i="6"/>
  <c r="AK86" i="6"/>
  <c r="AL86" i="6" s="1"/>
  <c r="AO86" i="6" s="1"/>
  <c r="AN149" i="6"/>
  <c r="AQ41" i="6"/>
  <c r="AP103" i="6"/>
  <c r="AF87" i="6"/>
  <c r="AG87" i="6" s="1"/>
  <c r="AI87" i="6" s="1"/>
  <c r="AC119" i="6"/>
  <c r="AD119" i="6" s="1"/>
  <c r="AQ86" i="6"/>
  <c r="AQ119" i="6"/>
  <c r="AP121" i="6"/>
  <c r="AC103" i="6"/>
  <c r="AD103" i="6" s="1"/>
  <c r="AF146" i="6"/>
  <c r="AG146" i="6" s="1"/>
  <c r="AI146" i="6" s="1"/>
  <c r="AN146" i="6"/>
  <c r="AO146" i="6" s="1"/>
  <c r="AQ155" i="6"/>
  <c r="AF86" i="6"/>
  <c r="AG86" i="6" s="1"/>
  <c r="AI86" i="6" s="1"/>
  <c r="AN87" i="6"/>
  <c r="AO87" i="6" s="1"/>
  <c r="AQ150" i="6"/>
  <c r="AK149" i="6"/>
  <c r="AL149" i="6" s="1"/>
  <c r="AQ28" i="8"/>
  <c r="AC28" i="8"/>
  <c r="AD28" i="8" s="1"/>
  <c r="AS9" i="5"/>
  <c r="AY9" i="5"/>
  <c r="AC97" i="6"/>
  <c r="AD97" i="6" s="1"/>
  <c r="AQ97" i="6"/>
  <c r="AU105" i="8"/>
  <c r="AW105" i="8" s="1"/>
  <c r="AF100" i="6"/>
  <c r="AG100" i="6" s="1"/>
  <c r="AI100" i="6" s="1"/>
  <c r="AU25" i="8"/>
  <c r="AW25" i="8" s="1"/>
  <c r="AK28" i="8"/>
  <c r="AL28" i="8" s="1"/>
  <c r="AO28" i="8" s="1"/>
  <c r="AU59" i="8"/>
  <c r="AW59" i="8" s="1"/>
  <c r="AU69" i="8"/>
  <c r="AW69" i="8" s="1"/>
  <c r="AU86" i="8"/>
  <c r="AW86" i="8" s="1"/>
  <c r="AF28" i="8"/>
  <c r="AG28" i="8" s="1"/>
  <c r="AI28" i="8" s="1"/>
  <c r="AU93" i="8"/>
  <c r="AW93" i="8" s="1"/>
  <c r="AU89" i="8"/>
  <c r="AW89" i="8" s="1"/>
  <c r="BD11" i="5"/>
  <c r="AC115" i="8"/>
  <c r="AD115" i="8" s="1"/>
  <c r="AQ115" i="8"/>
  <c r="AB74" i="5"/>
  <c r="BE74" i="5" s="1"/>
  <c r="AU142" i="8"/>
  <c r="AW142" i="8" s="1"/>
  <c r="AQ88" i="6"/>
  <c r="AP88" i="6"/>
  <c r="AN41" i="6"/>
  <c r="AN56" i="6"/>
  <c r="AP46" i="6"/>
  <c r="AN150" i="6"/>
  <c r="AO150" i="6" s="1"/>
  <c r="AK117" i="6"/>
  <c r="AL117" i="6" s="1"/>
  <c r="AN117" i="6"/>
  <c r="AK54" i="6"/>
  <c r="AL54" i="6" s="1"/>
  <c r="AF52" i="6"/>
  <c r="AG52" i="6" s="1"/>
  <c r="AI52" i="6" s="1"/>
  <c r="AK70" i="6"/>
  <c r="AL70" i="6" s="1"/>
  <c r="AO70" i="6" s="1"/>
  <c r="AF70" i="6"/>
  <c r="AG70" i="6" s="1"/>
  <c r="AI70" i="6" s="1"/>
  <c r="AF150" i="6"/>
  <c r="AG150" i="6" s="1"/>
  <c r="AI150" i="6" s="1"/>
  <c r="AC46" i="6"/>
  <c r="AD46" i="6" s="1"/>
  <c r="AP115" i="6"/>
  <c r="AQ115" i="6"/>
  <c r="AP79" i="6"/>
  <c r="AK78" i="6"/>
  <c r="AL78" i="6" s="1"/>
  <c r="AN78" i="6"/>
  <c r="AC38" i="8"/>
  <c r="AD38" i="8" s="1"/>
  <c r="AP38" i="8"/>
  <c r="AN57" i="6"/>
  <c r="AO57" i="6" s="1"/>
  <c r="AP56" i="6"/>
  <c r="AK90" i="6"/>
  <c r="AL90" i="6" s="1"/>
  <c r="AO90" i="6" s="1"/>
  <c r="AN100" i="6"/>
  <c r="AO100" i="6" s="1"/>
  <c r="AF90" i="6"/>
  <c r="AG90" i="6" s="1"/>
  <c r="AI90" i="6" s="1"/>
  <c r="AK40" i="6"/>
  <c r="AL40" i="6" s="1"/>
  <c r="AQ56" i="6"/>
  <c r="AF85" i="6"/>
  <c r="AG85" i="6" s="1"/>
  <c r="AI85" i="6" s="1"/>
  <c r="AP139" i="6"/>
  <c r="AQ145" i="6"/>
  <c r="AQ57" i="6"/>
  <c r="AK119" i="6"/>
  <c r="AL119" i="6" s="1"/>
  <c r="AC145" i="6"/>
  <c r="AD145" i="6" s="1"/>
  <c r="AN119" i="6"/>
  <c r="AF114" i="6"/>
  <c r="AG114" i="6" s="1"/>
  <c r="AI114" i="6" s="1"/>
  <c r="AC57" i="6"/>
  <c r="AD57" i="6" s="1"/>
  <c r="AK85" i="6"/>
  <c r="AL85" i="6" s="1"/>
  <c r="AO85" i="6" s="1"/>
  <c r="AC123" i="6"/>
  <c r="AD123" i="6" s="1"/>
  <c r="AP123" i="6"/>
  <c r="AU78" i="8"/>
  <c r="AW78" i="8" s="1"/>
  <c r="BC11" i="5"/>
  <c r="AQ87" i="6"/>
  <c r="AC149" i="6"/>
  <c r="AD149" i="6" s="1"/>
  <c r="AK50" i="6"/>
  <c r="AL50" i="6" s="1"/>
  <c r="AN50" i="6"/>
  <c r="AF139" i="6"/>
  <c r="AG139" i="6" s="1"/>
  <c r="AI139" i="6" s="1"/>
  <c r="AP149" i="6"/>
  <c r="AQ85" i="6"/>
  <c r="AP43" i="6"/>
  <c r="AU34" i="6"/>
  <c r="AW34" i="6" s="1"/>
  <c r="AC87" i="6"/>
  <c r="AD87" i="6" s="1"/>
  <c r="AN139" i="6"/>
  <c r="AO139" i="6" s="1"/>
  <c r="AQ43" i="6"/>
  <c r="AF57" i="6"/>
  <c r="AG57" i="6" s="1"/>
  <c r="AI57" i="6" s="1"/>
  <c r="AN40" i="6"/>
  <c r="AN123" i="6"/>
  <c r="AO123" i="6" s="1"/>
  <c r="AF123" i="6"/>
  <c r="AG123" i="6" s="1"/>
  <c r="AI123" i="6" s="1"/>
  <c r="AB544" i="5"/>
  <c r="BE544" i="5" s="1"/>
  <c r="AF38" i="8"/>
  <c r="AG38" i="8" s="1"/>
  <c r="AI38" i="8" s="1"/>
  <c r="AN38" i="8"/>
  <c r="AO38" i="8" s="1"/>
  <c r="AP98" i="6"/>
  <c r="AC98" i="6"/>
  <c r="AD98" i="6" s="1"/>
  <c r="AN105" i="6"/>
  <c r="AK105" i="6"/>
  <c r="AL105" i="6" s="1"/>
  <c r="AQ79" i="6"/>
  <c r="AK41" i="6"/>
  <c r="AL41" i="6" s="1"/>
  <c r="AC54" i="6"/>
  <c r="AD54" i="6" s="1"/>
  <c r="AQ54" i="6"/>
  <c r="AN108" i="6"/>
  <c r="AO108" i="6" s="1"/>
  <c r="AF96" i="6"/>
  <c r="AG96" i="6" s="1"/>
  <c r="AI96" i="6" s="1"/>
  <c r="AB383" i="5"/>
  <c r="AD383" i="5" s="1"/>
  <c r="AB146" i="5"/>
  <c r="AC146" i="5" s="1"/>
  <c r="AB456" i="5"/>
  <c r="AC456" i="5" s="1"/>
  <c r="AB244" i="5"/>
  <c r="AD244" i="5" s="1"/>
  <c r="AB245" i="5"/>
  <c r="AC245" i="5" s="1"/>
  <c r="AB69" i="5"/>
  <c r="AD69" i="5" s="1"/>
  <c r="AB373" i="5"/>
  <c r="AC373" i="5" s="1"/>
  <c r="AB385" i="5"/>
  <c r="AC385" i="5" s="1"/>
  <c r="AB93" i="5"/>
  <c r="BE93" i="5" s="1"/>
  <c r="AB87" i="5"/>
  <c r="BE87" i="5" s="1"/>
  <c r="AB106" i="5"/>
  <c r="BE106" i="5" s="1"/>
  <c r="AB374" i="5"/>
  <c r="AD374" i="5" s="1"/>
  <c r="AB176" i="5"/>
  <c r="AD176" i="5" s="1"/>
  <c r="AU17" i="6"/>
  <c r="AW17" i="6" s="1"/>
  <c r="AO18" i="6"/>
  <c r="AU18" i="6" s="1"/>
  <c r="AW18" i="6" s="1"/>
  <c r="AF108" i="6"/>
  <c r="AG108" i="6" s="1"/>
  <c r="AI108" i="6" s="1"/>
  <c r="AU35" i="6"/>
  <c r="AW35" i="6" s="1"/>
  <c r="AK96" i="6"/>
  <c r="AL96" i="6" s="1"/>
  <c r="AO96" i="6" s="1"/>
  <c r="AU30" i="6"/>
  <c r="AW30" i="6" s="1"/>
  <c r="AP7" i="6"/>
  <c r="AN94" i="6"/>
  <c r="AP40" i="6"/>
  <c r="AP96" i="6"/>
  <c r="AN144" i="6"/>
  <c r="AO144" i="6" s="1"/>
  <c r="AK7" i="6"/>
  <c r="AL7" i="6" s="1"/>
  <c r="AJ7" i="6"/>
  <c r="AC96" i="6"/>
  <c r="AD96" i="6" s="1"/>
  <c r="AQ40" i="6"/>
  <c r="AK94" i="6"/>
  <c r="AL94" i="6" s="1"/>
  <c r="AC108" i="6"/>
  <c r="AD108" i="6" s="1"/>
  <c r="AQ7" i="6"/>
  <c r="AU31" i="6"/>
  <c r="AW31" i="6" s="1"/>
  <c r="AU9" i="6"/>
  <c r="AW9" i="6" s="1"/>
  <c r="AQ108" i="6"/>
  <c r="AF151" i="6"/>
  <c r="AG151" i="6" s="1"/>
  <c r="AI151" i="6" s="1"/>
  <c r="AU10" i="6"/>
  <c r="AW10" i="6" s="1"/>
  <c r="AN151" i="6"/>
  <c r="AO151" i="6" s="1"/>
  <c r="AF98" i="6"/>
  <c r="AG98" i="6" s="1"/>
  <c r="AI98" i="6" s="1"/>
  <c r="AN98" i="6"/>
  <c r="AO98" i="6" s="1"/>
  <c r="AU28" i="6"/>
  <c r="AW28" i="6" s="1"/>
  <c r="AU12" i="6"/>
  <c r="AW12" i="6" s="1"/>
  <c r="AB369" i="5"/>
  <c r="BE369" i="5" s="1"/>
  <c r="AB199" i="5"/>
  <c r="BE199" i="5" s="1"/>
  <c r="AB344" i="5"/>
  <c r="BE344" i="5" s="1"/>
  <c r="AB319" i="5"/>
  <c r="AC319" i="5" s="1"/>
  <c r="AB516" i="5"/>
  <c r="AC516" i="5" s="1"/>
  <c r="AU22" i="6"/>
  <c r="AW22" i="6" s="1"/>
  <c r="AB167" i="5"/>
  <c r="BE167" i="5" s="1"/>
  <c r="AB306" i="5"/>
  <c r="BE306" i="5" s="1"/>
  <c r="AB120" i="5"/>
  <c r="AD120" i="5" s="1"/>
  <c r="AF144" i="6"/>
  <c r="AG144" i="6" s="1"/>
  <c r="AI144" i="6" s="1"/>
  <c r="AB226" i="5"/>
  <c r="AD226" i="5" s="1"/>
  <c r="AB440" i="5"/>
  <c r="AC440" i="5" s="1"/>
  <c r="AB200" i="5"/>
  <c r="AC200" i="5" s="1"/>
  <c r="AB269" i="5"/>
  <c r="AD269" i="5" s="1"/>
  <c r="AB236" i="5"/>
  <c r="BE236" i="5" s="1"/>
  <c r="AB258" i="5"/>
  <c r="BE258" i="5" s="1"/>
  <c r="AB549" i="5"/>
  <c r="AD549" i="5" s="1"/>
  <c r="AB515" i="5"/>
  <c r="AC515" i="5" s="1"/>
  <c r="AB59" i="5"/>
  <c r="AD59" i="5" s="1"/>
  <c r="AB293" i="5"/>
  <c r="AD293" i="5" s="1"/>
  <c r="AB371" i="5"/>
  <c r="AD371" i="5" s="1"/>
  <c r="AC144" i="6"/>
  <c r="AD144" i="6" s="1"/>
  <c r="AQ144" i="6"/>
  <c r="AO11" i="6"/>
  <c r="AU11" i="6" s="1"/>
  <c r="AW11" i="6" s="1"/>
  <c r="AR141" i="6"/>
  <c r="Z141" i="6"/>
  <c r="AA141" i="6"/>
  <c r="AR48" i="6"/>
  <c r="Z48" i="6"/>
  <c r="AA48" i="6"/>
  <c r="AR135" i="6"/>
  <c r="AA135" i="6"/>
  <c r="Z135" i="6"/>
  <c r="AR143" i="6"/>
  <c r="Z143" i="6"/>
  <c r="AA143" i="6"/>
  <c r="AR44" i="6"/>
  <c r="Z44" i="6"/>
  <c r="AA44" i="6"/>
  <c r="AR89" i="6"/>
  <c r="AA89" i="6"/>
  <c r="Z89" i="6"/>
  <c r="AR47" i="6"/>
  <c r="Z47" i="6"/>
  <c r="AK47" i="6" s="1"/>
  <c r="AL47" i="6" s="1"/>
  <c r="AA47" i="6"/>
  <c r="AN7" i="6"/>
  <c r="AF7" i="6"/>
  <c r="AG7" i="6" s="1"/>
  <c r="AI7" i="6" s="1"/>
  <c r="AR132" i="6"/>
  <c r="AA132" i="6"/>
  <c r="Z132" i="6"/>
  <c r="AR82" i="6"/>
  <c r="Z82" i="6"/>
  <c r="AA82" i="6"/>
  <c r="AJ47" i="6"/>
  <c r="AU16" i="6"/>
  <c r="AW16" i="6" s="1"/>
  <c r="AU13" i="6"/>
  <c r="AW13" i="6" s="1"/>
  <c r="AO148" i="8"/>
  <c r="AU148" i="8" s="1"/>
  <c r="AW148" i="8" s="1"/>
  <c r="AU24" i="6"/>
  <c r="AW24" i="6" s="1"/>
  <c r="AO125" i="8"/>
  <c r="AU125" i="8" s="1"/>
  <c r="AW125" i="8" s="1"/>
  <c r="AO134" i="8"/>
  <c r="AU134" i="8" s="1"/>
  <c r="AW134" i="8" s="1"/>
  <c r="AU114" i="8"/>
  <c r="AW114" i="8" s="1"/>
  <c r="AO56" i="8"/>
  <c r="AU56" i="8" s="1"/>
  <c r="AW56" i="8" s="1"/>
  <c r="AO33" i="8"/>
  <c r="AU33" i="8" s="1"/>
  <c r="AW33" i="8" s="1"/>
  <c r="AO43" i="8"/>
  <c r="AO29" i="8"/>
  <c r="AU29" i="8" s="1"/>
  <c r="AW29" i="8" s="1"/>
  <c r="AO146" i="8"/>
  <c r="AU146" i="8" s="1"/>
  <c r="AW146" i="8" s="1"/>
  <c r="AU91" i="8"/>
  <c r="AW91" i="8" s="1"/>
  <c r="AO30" i="8"/>
  <c r="AU30" i="8" s="1"/>
  <c r="AW30" i="8" s="1"/>
  <c r="AO81" i="8"/>
  <c r="AU81" i="8" s="1"/>
  <c r="AW81" i="8" s="1"/>
  <c r="AO79" i="8"/>
  <c r="AU79" i="8" s="1"/>
  <c r="AW79" i="8" s="1"/>
  <c r="AO156" i="8"/>
  <c r="AU139" i="8"/>
  <c r="AW139" i="8" s="1"/>
  <c r="AU102" i="8"/>
  <c r="AW102" i="8" s="1"/>
  <c r="AU98" i="8"/>
  <c r="AW98" i="8" s="1"/>
  <c r="AO64" i="8"/>
  <c r="AU133" i="8"/>
  <c r="AW133" i="8" s="1"/>
  <c r="AU87" i="8"/>
  <c r="AW87" i="8" s="1"/>
  <c r="AU136" i="8"/>
  <c r="AW136" i="8" s="1"/>
  <c r="AB388" i="5"/>
  <c r="AD388" i="5" s="1"/>
  <c r="AU80" i="8"/>
  <c r="AW80" i="8" s="1"/>
  <c r="AB203" i="5"/>
  <c r="AD203" i="5" s="1"/>
  <c r="AB257" i="5"/>
  <c r="BE257" i="5" s="1"/>
  <c r="AB175" i="5"/>
  <c r="BE175" i="5" s="1"/>
  <c r="AU51" i="8"/>
  <c r="AW51" i="8" s="1"/>
  <c r="AU119" i="8"/>
  <c r="AW119" i="8" s="1"/>
  <c r="AU11" i="8"/>
  <c r="AW11" i="8" s="1"/>
  <c r="AU65" i="8"/>
  <c r="AW65" i="8" s="1"/>
  <c r="AB275" i="5"/>
  <c r="BE275" i="5" s="1"/>
  <c r="AB363" i="5"/>
  <c r="BE363" i="5" s="1"/>
  <c r="AU31" i="8"/>
  <c r="AW31" i="8" s="1"/>
  <c r="AO153" i="8"/>
  <c r="AU153" i="8" s="1"/>
  <c r="AW153" i="8" s="1"/>
  <c r="AB392" i="5"/>
  <c r="AC392" i="5" s="1"/>
  <c r="AB261" i="5"/>
  <c r="AC261" i="5" s="1"/>
  <c r="AB149" i="5"/>
  <c r="AD149" i="5" s="1"/>
  <c r="AU45" i="8"/>
  <c r="AW45" i="8" s="1"/>
  <c r="AB378" i="5"/>
  <c r="AC378" i="5" s="1"/>
  <c r="AB441" i="5"/>
  <c r="AD441" i="5" s="1"/>
  <c r="AB134" i="5"/>
  <c r="AC134" i="5" s="1"/>
  <c r="AB222" i="5"/>
  <c r="AD222" i="5" s="1"/>
  <c r="AB117" i="5"/>
  <c r="BE117" i="5" s="1"/>
  <c r="AB288" i="5"/>
  <c r="AD288" i="5" s="1"/>
  <c r="AB309" i="5"/>
  <c r="AD309" i="5" s="1"/>
  <c r="AB555" i="5"/>
  <c r="AD555" i="5" s="1"/>
  <c r="AB518" i="5"/>
  <c r="AD518" i="5" s="1"/>
  <c r="AB204" i="5"/>
  <c r="BE204" i="5" s="1"/>
  <c r="AB100" i="5"/>
  <c r="AC100" i="5" s="1"/>
  <c r="AO35" i="8"/>
  <c r="AU35" i="8" s="1"/>
  <c r="AW35" i="8" s="1"/>
  <c r="AO151" i="8"/>
  <c r="AU151" i="8" s="1"/>
  <c r="AW151" i="8" s="1"/>
  <c r="AB250" i="5"/>
  <c r="AD250" i="5" s="1"/>
  <c r="AB358" i="5"/>
  <c r="AD358" i="5" s="1"/>
  <c r="AB190" i="5"/>
  <c r="AC190" i="5" s="1"/>
  <c r="AB318" i="5"/>
  <c r="AD318" i="5" s="1"/>
  <c r="AB168" i="5"/>
  <c r="AD168" i="5" s="1"/>
  <c r="AB160" i="5"/>
  <c r="AD160" i="5" s="1"/>
  <c r="AB448" i="5"/>
  <c r="BE448" i="5" s="1"/>
  <c r="AB340" i="5"/>
  <c r="AC340" i="5" s="1"/>
  <c r="AB419" i="5"/>
  <c r="AC419" i="5" s="1"/>
  <c r="AB114" i="5"/>
  <c r="AC114" i="5" s="1"/>
  <c r="AB201" i="5"/>
  <c r="BE201" i="5" s="1"/>
  <c r="AB545" i="5"/>
  <c r="BE545" i="5" s="1"/>
  <c r="AB462" i="5"/>
  <c r="AD462" i="5" s="1"/>
  <c r="AB44" i="5"/>
  <c r="AC44" i="5" s="1"/>
  <c r="AB444" i="5"/>
  <c r="AC444" i="5" s="1"/>
  <c r="AB131" i="5"/>
  <c r="AD131" i="5" s="1"/>
  <c r="AB312" i="5"/>
  <c r="BE312" i="5" s="1"/>
  <c r="AB102" i="5"/>
  <c r="AC102" i="5" s="1"/>
  <c r="AB194" i="5"/>
  <c r="AD194" i="5" s="1"/>
  <c r="AB356" i="5"/>
  <c r="AD356" i="5" s="1"/>
  <c r="AB341" i="5"/>
  <c r="AD341" i="5" s="1"/>
  <c r="AB109" i="5"/>
  <c r="AC109" i="5" s="1"/>
  <c r="AB540" i="5"/>
  <c r="AC540" i="5" s="1"/>
  <c r="AB351" i="5"/>
  <c r="AC351" i="5" s="1"/>
  <c r="AB208" i="5"/>
  <c r="AC208" i="5" s="1"/>
  <c r="AB86" i="5"/>
  <c r="AD86" i="5" s="1"/>
  <c r="AB132" i="5"/>
  <c r="AD132" i="5" s="1"/>
  <c r="AB80" i="5"/>
  <c r="AD80" i="5" s="1"/>
  <c r="AB316" i="5"/>
  <c r="AD316" i="5" s="1"/>
  <c r="AB219" i="5"/>
  <c r="BE219" i="5" s="1"/>
  <c r="AB225" i="5"/>
  <c r="AD225" i="5" s="1"/>
  <c r="AB46" i="5"/>
  <c r="BE46" i="5" s="1"/>
  <c r="AB421" i="5"/>
  <c r="BE421" i="5" s="1"/>
  <c r="AB41" i="5"/>
  <c r="AC41" i="5" s="1"/>
  <c r="AB370" i="5"/>
  <c r="BE370" i="5" s="1"/>
  <c r="AB474" i="5"/>
  <c r="BE474" i="5" s="1"/>
  <c r="AB490" i="5"/>
  <c r="BE490" i="5" s="1"/>
  <c r="AB89" i="5"/>
  <c r="BE89" i="5" s="1"/>
  <c r="AB85" i="5"/>
  <c r="AD85" i="5" s="1"/>
  <c r="AB548" i="5"/>
  <c r="AD548" i="5" s="1"/>
  <c r="AB139" i="5"/>
  <c r="AD139" i="5" s="1"/>
  <c r="AB529" i="5"/>
  <c r="AD529" i="5" s="1"/>
  <c r="AB379" i="5"/>
  <c r="AC379" i="5" s="1"/>
  <c r="AB103" i="5"/>
  <c r="AD103" i="5" s="1"/>
  <c r="AB473" i="5"/>
  <c r="AC473" i="5" s="1"/>
  <c r="AB21" i="5"/>
  <c r="AD21" i="5" s="1"/>
  <c r="AB274" i="5"/>
  <c r="AD274" i="5" s="1"/>
  <c r="AB394" i="5"/>
  <c r="AD394" i="5" s="1"/>
  <c r="AB78" i="5"/>
  <c r="BE78" i="5" s="1"/>
  <c r="AB135" i="5"/>
  <c r="AD135" i="5" s="1"/>
  <c r="AB412" i="5"/>
  <c r="AD412" i="5" s="1"/>
  <c r="AB217" i="5"/>
  <c r="BE217" i="5" s="1"/>
  <c r="AB428" i="5"/>
  <c r="AD428" i="5" s="1"/>
  <c r="AB550" i="5"/>
  <c r="AD550" i="5" s="1"/>
  <c r="AB526" i="5"/>
  <c r="AD526" i="5" s="1"/>
  <c r="AB330" i="5"/>
  <c r="AD330" i="5" s="1"/>
  <c r="AB229" i="5"/>
  <c r="AD229" i="5" s="1"/>
  <c r="AB361" i="5"/>
  <c r="BE361" i="5" s="1"/>
  <c r="AB90" i="5"/>
  <c r="BE90" i="5" s="1"/>
  <c r="AB301" i="5"/>
  <c r="AC301" i="5" s="1"/>
  <c r="AB336" i="5"/>
  <c r="BE336" i="5" s="1"/>
  <c r="AB368" i="5"/>
  <c r="AD368" i="5" s="1"/>
  <c r="AB42" i="5"/>
  <c r="AD42" i="5" s="1"/>
  <c r="AB304" i="5"/>
  <c r="BE304" i="5" s="1"/>
  <c r="AB228" i="5"/>
  <c r="AD228" i="5" s="1"/>
  <c r="AB420" i="5"/>
  <c r="BE420" i="5" s="1"/>
  <c r="AB418" i="5"/>
  <c r="BE418" i="5" s="1"/>
  <c r="AB333" i="5"/>
  <c r="AD333" i="5" s="1"/>
  <c r="AB553" i="5"/>
  <c r="BE553" i="5" s="1"/>
  <c r="AB205" i="5"/>
  <c r="AC205" i="5" s="1"/>
  <c r="AB560" i="5"/>
  <c r="AC560" i="5" s="1"/>
  <c r="AB435" i="5"/>
  <c r="AD435" i="5" s="1"/>
  <c r="AB112" i="5"/>
  <c r="AD112" i="5" s="1"/>
  <c r="AB468" i="5"/>
  <c r="AD468" i="5" s="1"/>
  <c r="AB528" i="5"/>
  <c r="AD528" i="5" s="1"/>
  <c r="AB172" i="5"/>
  <c r="AD172" i="5" s="1"/>
  <c r="AB126" i="5"/>
  <c r="BE126" i="5" s="1"/>
  <c r="AB335" i="5"/>
  <c r="AC335" i="5" s="1"/>
  <c r="AB504" i="5"/>
  <c r="AD504" i="5" s="1"/>
  <c r="AB291" i="5"/>
  <c r="BE291" i="5" s="1"/>
  <c r="AB457" i="5"/>
  <c r="AD457" i="5" s="1"/>
  <c r="AB141" i="5"/>
  <c r="AC141" i="5" s="1"/>
  <c r="AB556" i="5"/>
  <c r="AD556" i="5" s="1"/>
  <c r="AB348" i="5"/>
  <c r="BE348" i="5" s="1"/>
  <c r="AB123" i="5"/>
  <c r="AD123" i="5" s="1"/>
  <c r="AB111" i="5"/>
  <c r="AD111" i="5" s="1"/>
  <c r="AB179" i="5"/>
  <c r="AD179" i="5" s="1"/>
  <c r="AB155" i="5"/>
  <c r="AC155" i="5" s="1"/>
  <c r="AB407" i="5"/>
  <c r="BE407" i="5" s="1"/>
  <c r="AB513" i="5"/>
  <c r="AC513" i="5" s="1"/>
  <c r="AB92" i="5"/>
  <c r="AD92" i="5" s="1"/>
  <c r="AB346" i="5"/>
  <c r="AD346" i="5" s="1"/>
  <c r="AB67" i="5"/>
  <c r="BE67" i="5" s="1"/>
  <c r="AB187" i="5"/>
  <c r="AD187" i="5" s="1"/>
  <c r="AB343" i="5"/>
  <c r="AD343" i="5" s="1"/>
  <c r="AB49" i="5"/>
  <c r="AC49" i="5" s="1"/>
  <c r="AB148" i="5"/>
  <c r="BE148" i="5" s="1"/>
  <c r="AB297" i="5"/>
  <c r="AC297" i="5" s="1"/>
  <c r="AB191" i="5"/>
  <c r="BE191" i="5" s="1"/>
  <c r="AB292" i="5"/>
  <c r="AC292" i="5" s="1"/>
  <c r="AB31" i="5"/>
  <c r="BE31" i="5" s="1"/>
  <c r="AB390" i="5"/>
  <c r="AD390" i="5" s="1"/>
  <c r="AB463" i="5"/>
  <c r="AD463" i="5" s="1"/>
  <c r="AB377" i="5"/>
  <c r="AC377" i="5" s="1"/>
  <c r="AB88" i="5"/>
  <c r="AC88" i="5" s="1"/>
  <c r="AB313" i="5"/>
  <c r="BE313" i="5" s="1"/>
  <c r="AB434" i="5"/>
  <c r="BE434" i="5" s="1"/>
  <c r="AB355" i="5"/>
  <c r="AD355" i="5" s="1"/>
  <c r="AB517" i="5"/>
  <c r="AC517" i="5" s="1"/>
  <c r="AB523" i="5"/>
  <c r="BE523" i="5" s="1"/>
  <c r="AB215" i="5"/>
  <c r="AC215" i="5" s="1"/>
  <c r="AB40" i="5"/>
  <c r="BE40" i="5" s="1"/>
  <c r="AB410" i="5"/>
  <c r="AD410" i="5" s="1"/>
  <c r="AB422" i="5"/>
  <c r="AC422" i="5" s="1"/>
  <c r="AB489" i="5"/>
  <c r="AC489" i="5" s="1"/>
  <c r="AB104" i="5"/>
  <c r="BE104" i="5" s="1"/>
  <c r="AB238" i="5"/>
  <c r="BE238" i="5" s="1"/>
  <c r="AB53" i="5"/>
  <c r="AC53" i="5" s="1"/>
  <c r="AB55" i="5"/>
  <c r="BE55" i="5" s="1"/>
  <c r="AB402" i="5"/>
  <c r="BE402" i="5" s="1"/>
  <c r="AB380" i="5"/>
  <c r="AC380" i="5" s="1"/>
  <c r="AB128" i="5"/>
  <c r="AC128" i="5" s="1"/>
  <c r="AB484" i="5"/>
  <c r="AD484" i="5" s="1"/>
  <c r="AB514" i="5"/>
  <c r="AD514" i="5" s="1"/>
  <c r="AB495" i="5"/>
  <c r="AC495" i="5" s="1"/>
  <c r="AB240" i="5"/>
  <c r="AD240" i="5" s="1"/>
  <c r="AB443" i="5"/>
  <c r="BE443" i="5" s="1"/>
  <c r="AB558" i="5"/>
  <c r="AD558" i="5" s="1"/>
  <c r="AB230" i="5"/>
  <c r="BE230" i="5" s="1"/>
  <c r="AB442" i="5"/>
  <c r="AC442" i="5" s="1"/>
  <c r="AB328" i="5"/>
  <c r="AC328" i="5" s="1"/>
  <c r="AB492" i="5"/>
  <c r="BE492" i="5" s="1"/>
  <c r="AB180" i="5"/>
  <c r="AC180" i="5" s="1"/>
  <c r="AB337" i="5"/>
  <c r="AD337" i="5" s="1"/>
  <c r="AB360" i="5"/>
  <c r="BE360" i="5" s="1"/>
  <c r="AB393" i="5"/>
  <c r="AC393" i="5" s="1"/>
  <c r="AB253" i="5"/>
  <c r="AC253" i="5" s="1"/>
  <c r="AB496" i="5"/>
  <c r="AD496" i="5" s="1"/>
  <c r="AB305" i="5"/>
  <c r="BE305" i="5" s="1"/>
  <c r="AB214" i="5"/>
  <c r="AD214" i="5" s="1"/>
  <c r="AB224" i="5"/>
  <c r="AD224" i="5" s="1"/>
  <c r="AB94" i="5"/>
  <c r="AD94" i="5" s="1"/>
  <c r="AB425" i="5"/>
  <c r="AC425" i="5" s="1"/>
  <c r="AB405" i="5"/>
  <c r="AD405" i="5" s="1"/>
  <c r="AB243" i="5"/>
  <c r="AD243" i="5" s="1"/>
  <c r="AB138" i="5"/>
  <c r="BE138" i="5" s="1"/>
  <c r="AB403" i="5"/>
  <c r="AC403" i="5" s="1"/>
  <c r="AB290" i="5"/>
  <c r="AD290" i="5" s="1"/>
  <c r="AB247" i="5"/>
  <c r="AC247" i="5" s="1"/>
  <c r="AB182" i="5"/>
  <c r="AC182" i="5" s="1"/>
  <c r="AB408" i="5"/>
  <c r="AD408" i="5" s="1"/>
  <c r="AB251" i="5"/>
  <c r="AD251" i="5" s="1"/>
  <c r="AB124" i="5"/>
  <c r="AD124" i="5" s="1"/>
  <c r="AB242" i="5"/>
  <c r="AC242" i="5" s="1"/>
  <c r="AB324" i="5"/>
  <c r="AD324" i="5" s="1"/>
  <c r="AB173" i="5"/>
  <c r="AC173" i="5" s="1"/>
  <c r="AB472" i="5"/>
  <c r="AC472" i="5" s="1"/>
  <c r="AB186" i="5"/>
  <c r="BE186" i="5" s="1"/>
  <c r="AB354" i="5"/>
  <c r="AC354" i="5" s="1"/>
  <c r="AB415" i="5"/>
  <c r="AD415" i="5" s="1"/>
  <c r="AB70" i="5"/>
  <c r="AD70" i="5" s="1"/>
  <c r="AB530" i="5"/>
  <c r="AC530" i="5" s="1"/>
  <c r="AB299" i="5"/>
  <c r="AD299" i="5" s="1"/>
  <c r="AB397" i="5"/>
  <c r="AD397" i="5" s="1"/>
  <c r="AB156" i="5"/>
  <c r="AC156" i="5" s="1"/>
  <c r="AB438" i="5"/>
  <c r="AC438" i="5" s="1"/>
  <c r="AB350" i="5"/>
  <c r="AD350" i="5" s="1"/>
  <c r="AB535" i="5"/>
  <c r="AC535" i="5" s="1"/>
  <c r="AB82" i="5"/>
  <c r="AC82" i="5" s="1"/>
  <c r="AB423" i="5"/>
  <c r="AC423" i="5" s="1"/>
  <c r="AB279" i="5"/>
  <c r="AC279" i="5" s="1"/>
  <c r="AB543" i="5"/>
  <c r="AD543" i="5" s="1"/>
  <c r="AB198" i="5"/>
  <c r="AC198" i="5" s="1"/>
  <c r="AB195" i="5"/>
  <c r="AC195" i="5" s="1"/>
  <c r="AB54" i="5"/>
  <c r="AC54" i="5" s="1"/>
  <c r="AB508" i="5"/>
  <c r="AD508" i="5" s="1"/>
  <c r="AB22" i="5"/>
  <c r="AC22" i="5" s="1"/>
  <c r="AB525" i="5"/>
  <c r="AC525" i="5" s="1"/>
  <c r="AB458" i="5"/>
  <c r="AC458" i="5" s="1"/>
  <c r="AB171" i="5"/>
  <c r="AD171" i="5" s="1"/>
  <c r="AB115" i="5"/>
  <c r="AD115" i="5" s="1"/>
  <c r="AB276" i="5"/>
  <c r="AC276" i="5" s="1"/>
  <c r="AB23" i="5"/>
  <c r="AD23" i="5" s="1"/>
  <c r="AB272" i="5"/>
  <c r="BE272" i="5" s="1"/>
  <c r="AB110" i="5"/>
  <c r="AC110" i="5" s="1"/>
  <c r="AB150" i="5"/>
  <c r="BE150" i="5" s="1"/>
  <c r="AB231" i="5"/>
  <c r="BE231" i="5" s="1"/>
  <c r="AU39" i="6"/>
  <c r="AW39" i="6" s="1"/>
  <c r="AB26" i="5"/>
  <c r="AD26" i="5" s="1"/>
  <c r="AB338" i="5"/>
  <c r="BE338" i="5" s="1"/>
  <c r="AB262" i="5"/>
  <c r="AD262" i="5" s="1"/>
  <c r="AB51" i="5"/>
  <c r="BE51" i="5" s="1"/>
  <c r="AB357" i="5"/>
  <c r="AD357" i="5" s="1"/>
  <c r="AB289" i="5"/>
  <c r="AD289" i="5" s="1"/>
  <c r="AB113" i="5"/>
  <c r="AC113" i="5" s="1"/>
  <c r="AB50" i="5"/>
  <c r="AD50" i="5" s="1"/>
  <c r="AB431" i="5"/>
  <c r="AC431" i="5" s="1"/>
  <c r="AB308" i="5"/>
  <c r="AC308" i="5" s="1"/>
  <c r="AB33" i="5"/>
  <c r="AD33" i="5" s="1"/>
  <c r="AB532" i="5"/>
  <c r="AD532" i="5" s="1"/>
  <c r="AB467" i="5"/>
  <c r="AC467" i="5" s="1"/>
  <c r="AB542" i="5"/>
  <c r="AD542" i="5" s="1"/>
  <c r="AB469" i="5"/>
  <c r="AC469" i="5" s="1"/>
  <c r="AB401" i="5"/>
  <c r="BE401" i="5" s="1"/>
  <c r="AB60" i="5"/>
  <c r="BE60" i="5" s="1"/>
  <c r="AB476" i="5"/>
  <c r="BE476" i="5" s="1"/>
  <c r="AB270" i="5"/>
  <c r="AD270" i="5" s="1"/>
  <c r="AB68" i="5"/>
  <c r="AD68" i="5" s="1"/>
  <c r="AB411" i="5"/>
  <c r="AC411" i="5" s="1"/>
  <c r="AB158" i="5"/>
  <c r="AD158" i="5" s="1"/>
  <c r="AB460" i="5"/>
  <c r="BE460" i="5" s="1"/>
  <c r="AB294" i="5"/>
  <c r="AD294" i="5" s="1"/>
  <c r="AB151" i="5"/>
  <c r="AC151" i="5" s="1"/>
  <c r="AB387" i="5"/>
  <c r="AD387" i="5" s="1"/>
  <c r="AB499" i="5"/>
  <c r="AC499" i="5" s="1"/>
  <c r="AB130" i="5"/>
  <c r="AD130" i="5" s="1"/>
  <c r="AB196" i="5"/>
  <c r="AC196" i="5" s="1"/>
  <c r="AB375" i="5"/>
  <c r="BE375" i="5" s="1"/>
  <c r="AB140" i="5"/>
  <c r="AC140" i="5" s="1"/>
  <c r="AB302" i="5"/>
  <c r="AD302" i="5" s="1"/>
  <c r="AB129" i="5"/>
  <c r="AC129" i="5" s="1"/>
  <c r="AB381" i="5"/>
  <c r="AD381" i="5" s="1"/>
  <c r="AB439" i="5"/>
  <c r="AC439" i="5" s="1"/>
  <c r="AB524" i="5"/>
  <c r="BE524" i="5" s="1"/>
  <c r="AB58" i="5"/>
  <c r="AD58" i="5" s="1"/>
  <c r="AB96" i="5"/>
  <c r="AC96" i="5" s="1"/>
  <c r="AB541" i="5"/>
  <c r="BE541" i="5" s="1"/>
  <c r="AB437" i="5"/>
  <c r="AD437" i="5" s="1"/>
  <c r="AB488" i="5"/>
  <c r="BE488" i="5" s="1"/>
  <c r="AB43" i="5"/>
  <c r="AD43" i="5" s="1"/>
  <c r="AB512" i="5"/>
  <c r="BE512" i="5" s="1"/>
  <c r="AB539" i="5"/>
  <c r="BE539" i="5" s="1"/>
  <c r="AB56" i="5"/>
  <c r="AD56" i="5" s="1"/>
  <c r="AB480" i="5"/>
  <c r="AC480" i="5" s="1"/>
  <c r="AB79" i="5"/>
  <c r="AD79" i="5" s="1"/>
  <c r="AB71" i="5"/>
  <c r="AC71" i="5" s="1"/>
  <c r="AB332" i="5"/>
  <c r="AC332" i="5" s="1"/>
  <c r="AB286" i="5"/>
  <c r="AC286" i="5" s="1"/>
  <c r="AB347" i="5"/>
  <c r="BE347" i="5" s="1"/>
  <c r="AB500" i="5"/>
  <c r="BE500" i="5" s="1"/>
  <c r="AB298" i="5"/>
  <c r="BE298" i="5" s="1"/>
  <c r="AB471" i="5"/>
  <c r="AC471" i="5" s="1"/>
  <c r="AB19" i="5"/>
  <c r="AB359" i="5"/>
  <c r="AD359" i="5" s="1"/>
  <c r="AB254" i="5"/>
  <c r="AD254" i="5" s="1"/>
  <c r="AB283" i="5"/>
  <c r="AC283" i="5" s="1"/>
  <c r="AB32" i="5"/>
  <c r="AD32" i="5" s="1"/>
  <c r="AB39" i="5"/>
  <c r="AD39" i="5" s="1"/>
  <c r="AB34" i="5"/>
  <c r="AC34" i="5" s="1"/>
  <c r="AB210" i="5"/>
  <c r="AC210" i="5" s="1"/>
  <c r="AB233" i="5"/>
  <c r="AD233" i="5" s="1"/>
  <c r="AB432" i="5"/>
  <c r="BE432" i="5" s="1"/>
  <c r="AB232" i="5"/>
  <c r="AD232" i="5" s="1"/>
  <c r="AB454" i="5"/>
  <c r="AD454" i="5" s="1"/>
  <c r="AB315" i="5"/>
  <c r="AD315" i="5" s="1"/>
  <c r="AB75" i="5"/>
  <c r="AC75" i="5" s="1"/>
  <c r="AB519" i="5"/>
  <c r="AD519" i="5" s="1"/>
  <c r="AB429" i="5"/>
  <c r="AC429" i="5" s="1"/>
  <c r="AB35" i="5"/>
  <c r="AD35" i="5" s="1"/>
  <c r="AB116" i="5"/>
  <c r="AD116" i="5" s="1"/>
  <c r="AB552" i="5"/>
  <c r="BE552" i="5" s="1"/>
  <c r="AB479" i="5"/>
  <c r="BE479" i="5" s="1"/>
  <c r="AB426" i="5"/>
  <c r="AC426" i="5" s="1"/>
  <c r="AB521" i="5"/>
  <c r="AD521" i="5" s="1"/>
  <c r="AB209" i="5"/>
  <c r="AC209" i="5" s="1"/>
  <c r="AB409" i="5"/>
  <c r="AD409" i="5" s="1"/>
  <c r="AB260" i="5"/>
  <c r="AC260" i="5" s="1"/>
  <c r="AB235" i="5"/>
  <c r="AC235" i="5" s="1"/>
  <c r="AB206" i="5"/>
  <c r="AD206" i="5" s="1"/>
  <c r="AB325" i="5"/>
  <c r="AD325" i="5" s="1"/>
  <c r="AB223" i="5"/>
  <c r="AD223" i="5" s="1"/>
  <c r="AB414" i="5"/>
  <c r="AC414" i="5" s="1"/>
  <c r="AB281" i="5"/>
  <c r="AC281" i="5" s="1"/>
  <c r="AB267" i="5"/>
  <c r="AD267" i="5" s="1"/>
  <c r="AB303" i="5"/>
  <c r="AD303" i="5" s="1"/>
  <c r="AB455" i="5"/>
  <c r="AD455" i="5" s="1"/>
  <c r="AB188" i="5"/>
  <c r="BE188" i="5" s="1"/>
  <c r="AB557" i="5"/>
  <c r="AD557" i="5" s="1"/>
  <c r="AB534" i="5"/>
  <c r="BE534" i="5" s="1"/>
  <c r="AB329" i="5"/>
  <c r="AD329" i="5" s="1"/>
  <c r="AB105" i="5"/>
  <c r="AC105" i="5" s="1"/>
  <c r="AB66" i="5"/>
  <c r="AC66" i="5" s="1"/>
  <c r="AB317" i="5"/>
  <c r="BE317" i="5" s="1"/>
  <c r="AB161" i="5"/>
  <c r="BE161" i="5" s="1"/>
  <c r="AB47" i="5"/>
  <c r="AC47" i="5" s="1"/>
  <c r="AB464" i="5"/>
  <c r="BE464" i="5" s="1"/>
  <c r="AB259" i="5"/>
  <c r="AD259" i="5" s="1"/>
  <c r="AB192" i="5"/>
  <c r="BE192" i="5" s="1"/>
  <c r="AB169" i="5"/>
  <c r="AD169" i="5" s="1"/>
  <c r="AB483" i="5"/>
  <c r="AC483" i="5" s="1"/>
  <c r="AB389" i="5"/>
  <c r="AD389" i="5" s="1"/>
  <c r="AB307" i="5"/>
  <c r="BE307" i="5" s="1"/>
  <c r="AB331" i="5"/>
  <c r="AC331" i="5" s="1"/>
  <c r="AB365" i="5"/>
  <c r="AC365" i="5" s="1"/>
  <c r="AB178" i="5"/>
  <c r="AD178" i="5" s="1"/>
  <c r="AB181" i="5"/>
  <c r="AD181" i="5" s="1"/>
  <c r="AB372" i="5"/>
  <c r="AD372" i="5" s="1"/>
  <c r="AB73" i="5"/>
  <c r="AD73" i="5" s="1"/>
  <c r="AB537" i="5"/>
  <c r="AD537" i="5" s="1"/>
  <c r="AB11" i="5"/>
  <c r="AB8" i="5"/>
  <c r="BE8" i="5" s="1"/>
  <c r="AB108" i="5"/>
  <c r="AC108" i="5" s="1"/>
  <c r="AB237" i="5"/>
  <c r="AC237" i="5" s="1"/>
  <c r="AB184" i="5"/>
  <c r="AD184" i="5" s="1"/>
  <c r="AB183" i="5"/>
  <c r="BE183" i="5" s="1"/>
  <c r="AB246" i="5"/>
  <c r="BE246" i="5" s="1"/>
  <c r="AB36" i="5"/>
  <c r="AD36" i="5" s="1"/>
  <c r="AB345" i="5"/>
  <c r="AD345" i="5" s="1"/>
  <c r="AB24" i="5"/>
  <c r="AC24" i="5" s="1"/>
  <c r="AB185" i="5"/>
  <c r="AD185" i="5" s="1"/>
  <c r="AB395" i="5"/>
  <c r="AD395" i="5" s="1"/>
  <c r="AB91" i="5"/>
  <c r="AC91" i="5" s="1"/>
  <c r="AB152" i="5"/>
  <c r="AD152" i="5" s="1"/>
  <c r="AB48" i="5"/>
  <c r="AD48" i="5" s="1"/>
  <c r="AB416" i="5"/>
  <c r="BE416" i="5" s="1"/>
  <c r="AB509" i="5"/>
  <c r="AD509" i="5" s="1"/>
  <c r="AB538" i="5"/>
  <c r="AC538" i="5" s="1"/>
  <c r="AB396" i="5"/>
  <c r="BE396" i="5" s="1"/>
  <c r="AB252" i="5"/>
  <c r="BE252" i="5" s="1"/>
  <c r="AB459" i="5"/>
  <c r="AC459" i="5" s="1"/>
  <c r="AB349" i="5"/>
  <c r="AD349" i="5" s="1"/>
  <c r="AB436" i="5"/>
  <c r="BE436" i="5" s="1"/>
  <c r="AB447" i="5"/>
  <c r="BE447" i="5" s="1"/>
  <c r="AB248" i="5"/>
  <c r="AC248" i="5" s="1"/>
  <c r="AB546" i="5"/>
  <c r="AD546" i="5" s="1"/>
  <c r="AB45" i="5"/>
  <c r="AD45" i="5" s="1"/>
  <c r="AB95" i="5"/>
  <c r="AD95" i="5" s="1"/>
  <c r="AB99" i="5"/>
  <c r="AD99" i="5" s="1"/>
  <c r="AB367" i="5"/>
  <c r="AD367" i="5" s="1"/>
  <c r="AB399" i="5"/>
  <c r="AD399" i="5" s="1"/>
  <c r="AB122" i="5"/>
  <c r="AC122" i="5" s="1"/>
  <c r="AB52" i="5"/>
  <c r="AD52" i="5" s="1"/>
  <c r="AB536" i="5"/>
  <c r="AD536" i="5" s="1"/>
  <c r="AB193" i="5"/>
  <c r="AD193" i="5" s="1"/>
  <c r="AB391" i="5"/>
  <c r="AC391" i="5" s="1"/>
  <c r="AB417" i="5"/>
  <c r="AC417" i="5" s="1"/>
  <c r="AB433" i="5"/>
  <c r="AD433" i="5" s="1"/>
  <c r="AB211" i="5"/>
  <c r="AD211" i="5" s="1"/>
  <c r="AB266" i="5"/>
  <c r="AC266" i="5" s="1"/>
  <c r="AB10" i="5"/>
  <c r="BE10" i="5" s="1"/>
  <c r="AB503" i="5"/>
  <c r="BE503" i="5" s="1"/>
  <c r="AB28" i="5"/>
  <c r="AD28" i="5" s="1"/>
  <c r="AB101" i="5"/>
  <c r="AD101" i="5" s="1"/>
  <c r="AB189" i="5"/>
  <c r="BE189" i="5" s="1"/>
  <c r="AB481" i="5"/>
  <c r="BE481" i="5" s="1"/>
  <c r="AB143" i="5"/>
  <c r="BE143" i="5" s="1"/>
  <c r="AB163" i="5"/>
  <c r="AC163" i="5" s="1"/>
  <c r="AB427" i="5"/>
  <c r="BE427" i="5" s="1"/>
  <c r="AB263" i="5"/>
  <c r="AD263" i="5" s="1"/>
  <c r="AB264" i="5"/>
  <c r="AD264" i="5" s="1"/>
  <c r="AB216" i="5"/>
  <c r="AC216" i="5" s="1"/>
  <c r="AB119" i="5"/>
  <c r="AD119" i="5" s="1"/>
  <c r="AB449" i="5"/>
  <c r="BE449" i="5" s="1"/>
  <c r="AB296" i="5"/>
  <c r="BE296" i="5" s="1"/>
  <c r="AB145" i="5"/>
  <c r="AD145" i="5" s="1"/>
  <c r="AB98" i="5"/>
  <c r="AC98" i="5" s="1"/>
  <c r="AB136" i="5"/>
  <c r="AD136" i="5" s="1"/>
  <c r="AB125" i="5"/>
  <c r="AD125" i="5" s="1"/>
  <c r="AB282" i="5"/>
  <c r="AC282" i="5" s="1"/>
  <c r="AB424" i="5"/>
  <c r="AD424" i="5" s="1"/>
  <c r="AB470" i="5"/>
  <c r="AD470" i="5" s="1"/>
  <c r="AB366" i="5"/>
  <c r="AD366" i="5" s="1"/>
  <c r="AB382" i="5"/>
  <c r="AD382" i="5" s="1"/>
  <c r="AB153" i="5"/>
  <c r="AC153" i="5" s="1"/>
  <c r="AB310" i="5"/>
  <c r="AC310" i="5" s="1"/>
  <c r="AB65" i="5"/>
  <c r="AC65" i="5" s="1"/>
  <c r="AB137" i="5"/>
  <c r="BE137" i="5" s="1"/>
  <c r="AB213" i="5"/>
  <c r="AC213" i="5" s="1"/>
  <c r="AB505" i="5"/>
  <c r="AD505" i="5" s="1"/>
  <c r="AB174" i="5"/>
  <c r="AD174" i="5" s="1"/>
  <c r="AB77" i="5"/>
  <c r="AC77" i="5" s="1"/>
  <c r="AB486" i="5"/>
  <c r="BE486" i="5" s="1"/>
  <c r="AB227" i="5"/>
  <c r="BE227" i="5" s="1"/>
  <c r="AB177" i="5"/>
  <c r="AD177" i="5" s="1"/>
  <c r="AB37" i="5"/>
  <c r="AC37" i="5" s="1"/>
  <c r="AB362" i="5"/>
  <c r="AD362" i="5" s="1"/>
  <c r="AB144" i="5"/>
  <c r="AD144" i="5" s="1"/>
  <c r="AB64" i="5"/>
  <c r="AC64" i="5" s="1"/>
  <c r="AB280" i="5"/>
  <c r="AD280" i="5" s="1"/>
  <c r="AB352" i="5"/>
  <c r="AD352" i="5" s="1"/>
  <c r="AB162" i="5"/>
  <c r="AD162" i="5" s="1"/>
  <c r="AB453" i="5"/>
  <c r="AC453" i="5" s="1"/>
  <c r="AB212" i="5"/>
  <c r="AC212" i="5" s="1"/>
  <c r="AB256" i="5"/>
  <c r="BE256" i="5" s="1"/>
  <c r="AB406" i="5"/>
  <c r="AC406" i="5" s="1"/>
  <c r="AB271" i="5"/>
  <c r="AD271" i="5" s="1"/>
  <c r="AB510" i="5"/>
  <c r="AC510" i="5" s="1"/>
  <c r="AB498" i="5"/>
  <c r="AD498" i="5" s="1"/>
  <c r="AB202" i="5"/>
  <c r="AC202" i="5" s="1"/>
  <c r="AB241" i="5"/>
  <c r="AC241" i="5" s="1"/>
  <c r="AB494" i="5"/>
  <c r="AD494" i="5" s="1"/>
  <c r="AB311" i="5"/>
  <c r="BE311" i="5" s="1"/>
  <c r="AB12" i="5"/>
  <c r="BE12" i="5" s="1"/>
  <c r="AB506" i="5"/>
  <c r="AD506" i="5" s="1"/>
  <c r="AB287" i="5"/>
  <c r="AD287" i="5" s="1"/>
  <c r="AB376" i="5"/>
  <c r="AD376" i="5" s="1"/>
  <c r="AB268" i="5"/>
  <c r="AD268" i="5" s="1"/>
  <c r="AB507" i="5"/>
  <c r="AC507" i="5" s="1"/>
  <c r="AB485" i="5"/>
  <c r="BE485" i="5" s="1"/>
  <c r="AB321" i="5"/>
  <c r="AD321" i="5" s="1"/>
  <c r="AB501" i="5"/>
  <c r="AC501" i="5" s="1"/>
  <c r="AB234" i="5"/>
  <c r="AD234" i="5" s="1"/>
  <c r="AB239" i="5"/>
  <c r="AD239" i="5" s="1"/>
  <c r="AB277" i="5"/>
  <c r="AC277" i="5" s="1"/>
  <c r="AB81" i="5"/>
  <c r="AD81" i="5" s="1"/>
  <c r="AB487" i="5"/>
  <c r="AD487" i="5" s="1"/>
  <c r="AB72" i="5"/>
  <c r="AD72" i="5" s="1"/>
  <c r="AB493" i="5"/>
  <c r="AD493" i="5" s="1"/>
  <c r="AB322" i="5"/>
  <c r="BE322" i="5" s="1"/>
  <c r="AB159" i="5"/>
  <c r="BE159" i="5" s="1"/>
  <c r="AB554" i="5"/>
  <c r="AD554" i="5" s="1"/>
  <c r="AB255" i="5"/>
  <c r="BE255" i="5" s="1"/>
  <c r="AB398" i="5"/>
  <c r="AD398" i="5" s="1"/>
  <c r="AB76" i="5"/>
  <c r="AD76" i="5" s="1"/>
  <c r="AB170" i="5"/>
  <c r="BE170" i="5" s="1"/>
  <c r="AB353" i="5"/>
  <c r="AD353" i="5" s="1"/>
  <c r="AB334" i="5"/>
  <c r="AD334" i="5" s="1"/>
  <c r="AB475" i="5"/>
  <c r="AD475" i="5" s="1"/>
  <c r="AB364" i="5"/>
  <c r="AC364" i="5" s="1"/>
  <c r="AB326" i="5"/>
  <c r="AC326" i="5" s="1"/>
  <c r="AB20" i="5"/>
  <c r="AC20" i="5" s="1"/>
  <c r="AB466" i="5"/>
  <c r="BE466" i="5" s="1"/>
  <c r="AB127" i="5"/>
  <c r="AD127" i="5" s="1"/>
  <c r="AB27" i="5"/>
  <c r="AC27" i="5" s="1"/>
  <c r="AB451" i="5"/>
  <c r="AC451" i="5" s="1"/>
  <c r="AB25" i="5"/>
  <c r="AC25" i="5" s="1"/>
  <c r="AB465" i="5"/>
  <c r="AD465" i="5" s="1"/>
  <c r="AB273" i="5"/>
  <c r="AC273" i="5" s="1"/>
  <c r="AB142" i="5"/>
  <c r="BE142" i="5" s="1"/>
  <c r="AB157" i="5"/>
  <c r="BE157" i="5" s="1"/>
  <c r="AB551" i="5"/>
  <c r="AD551" i="5" s="1"/>
  <c r="AB218" i="5"/>
  <c r="AD218" i="5" s="1"/>
  <c r="AB165" i="5"/>
  <c r="BE165" i="5" s="1"/>
  <c r="AB314" i="5"/>
  <c r="AD314" i="5" s="1"/>
  <c r="AB13" i="5"/>
  <c r="BE13" i="5" s="1"/>
  <c r="AD11" i="5"/>
  <c r="AE7" i="5"/>
  <c r="AE155" i="5"/>
  <c r="AE124" i="5"/>
  <c r="AE209" i="5"/>
  <c r="AE510" i="5"/>
  <c r="AE431" i="5"/>
  <c r="AE112" i="5"/>
  <c r="AE560" i="5"/>
  <c r="AE465" i="5"/>
  <c r="AE401" i="5"/>
  <c r="AE337" i="5"/>
  <c r="AE242" i="5"/>
  <c r="AE479" i="5"/>
  <c r="AE310" i="5"/>
  <c r="AE341" i="5"/>
  <c r="AE372" i="5"/>
  <c r="AE403" i="5"/>
  <c r="AE426" i="5"/>
  <c r="AE457" i="5"/>
  <c r="AE488" i="5"/>
  <c r="AE10" i="5"/>
  <c r="AE519" i="5"/>
  <c r="AE110" i="5"/>
  <c r="AE141" i="5"/>
  <c r="AE172" i="5"/>
  <c r="AE178" i="5"/>
  <c r="AE541" i="5"/>
  <c r="AE446" i="5"/>
  <c r="AE487" i="5"/>
  <c r="AE48" i="5"/>
  <c r="AE496" i="5"/>
  <c r="AE432" i="5"/>
  <c r="AE368" i="5"/>
  <c r="AE273" i="5"/>
  <c r="AE535" i="5"/>
  <c r="AE246" i="5"/>
  <c r="AE277" i="5"/>
  <c r="AE308" i="5"/>
  <c r="AE339" i="5"/>
  <c r="AE362" i="5"/>
  <c r="AE393" i="5"/>
  <c r="AE424" i="5"/>
  <c r="AE127" i="5"/>
  <c r="AE558" i="5"/>
  <c r="AE46" i="5"/>
  <c r="AE77" i="5"/>
  <c r="AE108" i="5"/>
  <c r="AE139" i="5"/>
  <c r="AE162" i="5"/>
  <c r="AE193" i="5"/>
  <c r="AE224" i="5"/>
  <c r="AE295" i="5"/>
  <c r="AE358" i="5"/>
  <c r="AE389" i="5"/>
  <c r="AE420" i="5"/>
  <c r="AE451" i="5"/>
  <c r="AE319" i="5"/>
  <c r="AE29" i="5"/>
  <c r="AE477" i="5"/>
  <c r="AE382" i="5"/>
  <c r="AE543" i="5"/>
  <c r="AE31" i="5"/>
  <c r="AE87" i="5"/>
  <c r="AE13" i="5"/>
  <c r="AE304" i="5"/>
  <c r="AE23" i="5"/>
  <c r="AE182" i="5"/>
  <c r="AE213" i="5"/>
  <c r="AE244" i="5"/>
  <c r="AE275" i="5"/>
  <c r="AE298" i="5"/>
  <c r="AE329" i="5"/>
  <c r="AE360" i="5"/>
  <c r="AE247" i="5"/>
  <c r="AE494" i="5"/>
  <c r="AE525" i="5"/>
  <c r="AE556" i="5"/>
  <c r="AE44" i="5"/>
  <c r="AE75" i="5"/>
  <c r="AE98" i="5"/>
  <c r="AE129" i="5"/>
  <c r="AE160" i="5"/>
  <c r="AE351" i="5"/>
  <c r="AE294" i="5"/>
  <c r="AE325" i="5"/>
  <c r="AE356" i="5"/>
  <c r="AE387" i="5"/>
  <c r="AE240" i="5"/>
  <c r="AE60" i="5"/>
  <c r="AE508" i="5"/>
  <c r="AE413" i="5"/>
  <c r="AE318" i="5"/>
  <c r="AE254" i="5"/>
  <c r="AE190" i="5"/>
  <c r="AE143" i="5"/>
  <c r="AE9" i="5"/>
  <c r="AE79" i="5"/>
  <c r="AE118" i="5"/>
  <c r="AE149" i="5"/>
  <c r="AE180" i="5"/>
  <c r="AE211" i="5"/>
  <c r="AE234" i="5"/>
  <c r="AE265" i="5"/>
  <c r="AE296" i="5"/>
  <c r="AE303" i="5"/>
  <c r="AE430" i="5"/>
  <c r="AE461" i="5"/>
  <c r="AE492" i="5"/>
  <c r="AE523" i="5"/>
  <c r="AE546" i="5"/>
  <c r="AE34" i="5"/>
  <c r="AE65" i="5"/>
  <c r="AE96" i="5"/>
  <c r="AE407" i="5"/>
  <c r="AE230" i="5"/>
  <c r="AE261" i="5"/>
  <c r="AE292" i="5"/>
  <c r="AE323" i="5"/>
  <c r="AE135" i="5"/>
  <c r="AE91" i="5"/>
  <c r="AE539" i="5"/>
  <c r="AE444" i="5"/>
  <c r="AE349" i="5"/>
  <c r="AE285" i="5"/>
  <c r="AE221" i="5"/>
  <c r="AE126" i="5"/>
  <c r="AE191" i="5"/>
  <c r="AE71" i="5"/>
  <c r="AE54" i="5"/>
  <c r="AE85" i="5"/>
  <c r="AE116" i="5"/>
  <c r="AE147" i="5"/>
  <c r="AE170" i="5"/>
  <c r="AE201" i="5"/>
  <c r="AE232" i="5"/>
  <c r="AE359" i="5"/>
  <c r="AE366" i="5"/>
  <c r="AE397" i="5"/>
  <c r="AE428" i="5"/>
  <c r="AE459" i="5"/>
  <c r="AE482" i="5"/>
  <c r="AE513" i="5"/>
  <c r="AE544" i="5"/>
  <c r="AE32" i="5"/>
  <c r="AE463" i="5"/>
  <c r="AE166" i="5"/>
  <c r="AE197" i="5"/>
  <c r="AE228" i="5"/>
  <c r="AE259" i="5"/>
  <c r="AE62" i="5"/>
  <c r="AE114" i="5"/>
  <c r="AE27" i="5"/>
  <c r="AE475" i="5"/>
  <c r="AE380" i="5"/>
  <c r="AE316" i="5"/>
  <c r="AE252" i="5"/>
  <c r="AE157" i="5"/>
  <c r="AE311" i="5"/>
  <c r="AE502" i="5"/>
  <c r="AE533" i="5"/>
  <c r="AE21" i="5"/>
  <c r="AE52" i="5"/>
  <c r="AE83" i="5"/>
  <c r="AE106" i="5"/>
  <c r="AE137" i="5"/>
  <c r="AE168" i="5"/>
  <c r="AE415" i="5"/>
  <c r="AE302" i="5"/>
  <c r="AE333" i="5"/>
  <c r="AE364" i="5"/>
  <c r="AE395" i="5"/>
  <c r="AE418" i="5"/>
  <c r="AE449" i="5"/>
  <c r="AE480" i="5"/>
  <c r="AE11" i="5"/>
  <c r="AE455" i="5"/>
  <c r="AE102" i="5"/>
  <c r="AE133" i="5"/>
  <c r="AE164" i="5"/>
  <c r="AE195" i="5"/>
  <c r="AE93" i="5"/>
  <c r="AE145" i="5"/>
  <c r="AE50" i="5"/>
  <c r="AE498" i="5"/>
  <c r="AE411" i="5"/>
  <c r="AE347" i="5"/>
  <c r="AE283" i="5"/>
  <c r="AE188" i="5"/>
  <c r="AE367" i="5"/>
  <c r="AE438" i="5"/>
  <c r="AE469" i="5"/>
  <c r="AE500" i="5"/>
  <c r="AE531" i="5"/>
  <c r="AE554" i="5"/>
  <c r="AE42" i="5"/>
  <c r="AE73" i="5"/>
  <c r="AE104" i="5"/>
  <c r="AE471" i="5"/>
  <c r="AE238" i="5"/>
  <c r="AE269" i="5"/>
  <c r="AE300" i="5"/>
  <c r="AE331" i="5"/>
  <c r="AE354" i="5"/>
  <c r="AE385" i="5"/>
  <c r="AE416" i="5"/>
  <c r="AE63" i="5"/>
  <c r="AE550" i="5"/>
  <c r="AE38" i="5"/>
  <c r="AE69" i="5"/>
  <c r="AE100" i="5"/>
  <c r="AE131" i="5"/>
  <c r="AE375" i="5"/>
  <c r="AE176" i="5"/>
  <c r="AE81" i="5"/>
  <c r="AE529" i="5"/>
  <c r="AE434" i="5"/>
  <c r="AE370" i="5"/>
  <c r="AE306" i="5"/>
  <c r="AE219" i="5"/>
  <c r="AE423" i="5"/>
  <c r="AE374" i="5"/>
  <c r="AE405" i="5"/>
  <c r="AE436" i="5"/>
  <c r="AE467" i="5"/>
  <c r="AE490" i="5"/>
  <c r="AE521" i="5"/>
  <c r="AE552" i="5"/>
  <c r="AE40" i="5"/>
  <c r="AE527" i="5"/>
  <c r="AE174" i="5"/>
  <c r="AE205" i="5"/>
  <c r="AE236" i="5"/>
  <c r="AE267" i="5"/>
  <c r="AE290" i="5"/>
  <c r="AE321" i="5"/>
  <c r="AE352" i="5"/>
  <c r="AE183" i="5"/>
  <c r="AE486" i="5"/>
  <c r="AE517" i="5"/>
  <c r="AE548" i="5"/>
  <c r="AE36" i="5"/>
  <c r="AE67" i="5"/>
  <c r="AE484" i="5"/>
  <c r="AE154" i="5"/>
  <c r="AE185" i="5"/>
  <c r="AE216" i="5"/>
  <c r="AE231" i="5"/>
  <c r="AE350" i="5"/>
  <c r="AE381" i="5"/>
  <c r="AE412" i="5"/>
  <c r="AE443" i="5"/>
  <c r="AE466" i="5"/>
  <c r="AE497" i="5"/>
  <c r="AE528" i="5"/>
  <c r="AE8" i="5"/>
  <c r="AE327" i="5"/>
  <c r="AE86" i="5"/>
  <c r="AE117" i="5"/>
  <c r="AE148" i="5"/>
  <c r="AE179" i="5"/>
  <c r="AE202" i="5"/>
  <c r="AE233" i="5"/>
  <c r="AE264" i="5"/>
  <c r="AE103" i="5"/>
  <c r="AE334" i="5"/>
  <c r="AE365" i="5"/>
  <c r="AE396" i="5"/>
  <c r="AE427" i="5"/>
  <c r="AE450" i="5"/>
  <c r="AE481" i="5"/>
  <c r="AE512" i="5"/>
  <c r="AE255" i="5"/>
  <c r="AE199" i="5"/>
  <c r="AE70" i="5"/>
  <c r="AE101" i="5"/>
  <c r="AE132" i="5"/>
  <c r="AE163" i="5"/>
  <c r="AE186" i="5"/>
  <c r="AE217" i="5"/>
  <c r="AE248" i="5"/>
  <c r="AE203" i="5"/>
  <c r="AE515" i="5"/>
  <c r="AE90" i="5"/>
  <c r="AE121" i="5"/>
  <c r="AE152" i="5"/>
  <c r="AE287" i="5"/>
  <c r="AE286" i="5"/>
  <c r="AE317" i="5"/>
  <c r="AE348" i="5"/>
  <c r="AE379" i="5"/>
  <c r="AE402" i="5"/>
  <c r="AE433" i="5"/>
  <c r="AE464" i="5"/>
  <c r="AE447" i="5"/>
  <c r="AE534" i="5"/>
  <c r="AE22" i="5"/>
  <c r="AE53" i="5"/>
  <c r="AE84" i="5"/>
  <c r="AE115" i="5"/>
  <c r="AE138" i="5"/>
  <c r="AE169" i="5"/>
  <c r="AE200" i="5"/>
  <c r="AE159" i="5"/>
  <c r="AE270" i="5"/>
  <c r="AE301" i="5"/>
  <c r="AE332" i="5"/>
  <c r="AE363" i="5"/>
  <c r="AE386" i="5"/>
  <c r="AE417" i="5"/>
  <c r="AE448" i="5"/>
  <c r="AE439" i="5"/>
  <c r="AE518" i="5"/>
  <c r="AE549" i="5"/>
  <c r="AE37" i="5"/>
  <c r="AE68" i="5"/>
  <c r="AE99" i="5"/>
  <c r="AE122" i="5"/>
  <c r="AE153" i="5"/>
  <c r="AE184" i="5"/>
  <c r="AE226" i="5"/>
  <c r="AE538" i="5"/>
  <c r="AE26" i="5"/>
  <c r="AE57" i="5"/>
  <c r="AE88" i="5"/>
  <c r="AE343" i="5"/>
  <c r="AE222" i="5"/>
  <c r="AE253" i="5"/>
  <c r="AE284" i="5"/>
  <c r="AE315" i="5"/>
  <c r="AE338" i="5"/>
  <c r="AE369" i="5"/>
  <c r="AE400" i="5"/>
  <c r="AE55" i="5"/>
  <c r="AE470" i="5"/>
  <c r="AE501" i="5"/>
  <c r="AE532" i="5"/>
  <c r="AE20" i="5"/>
  <c r="AE51" i="5"/>
  <c r="AE74" i="5"/>
  <c r="AE105" i="5"/>
  <c r="AE136" i="5"/>
  <c r="AE215" i="5"/>
  <c r="AE206" i="5"/>
  <c r="AE237" i="5"/>
  <c r="AE268" i="5"/>
  <c r="AE299" i="5"/>
  <c r="AE322" i="5"/>
  <c r="AE353" i="5"/>
  <c r="AE384" i="5"/>
  <c r="AE495" i="5"/>
  <c r="AE454" i="5"/>
  <c r="AE485" i="5"/>
  <c r="AE516" i="5"/>
  <c r="AE547" i="5"/>
  <c r="AE35" i="5"/>
  <c r="AE58" i="5"/>
  <c r="AE89" i="5"/>
  <c r="AE120" i="5"/>
  <c r="AE257" i="5"/>
  <c r="AE474" i="5"/>
  <c r="AE505" i="5"/>
  <c r="AE536" i="5"/>
  <c r="AE24" i="5"/>
  <c r="AE399" i="5"/>
  <c r="AE158" i="5"/>
  <c r="AE189" i="5"/>
  <c r="AE220" i="5"/>
  <c r="AE251" i="5"/>
  <c r="AE274" i="5"/>
  <c r="AE305" i="5"/>
  <c r="AE336" i="5"/>
  <c r="AE111" i="5"/>
  <c r="AE406" i="5"/>
  <c r="AE437" i="5"/>
  <c r="AE468" i="5"/>
  <c r="AE499" i="5"/>
  <c r="AE522" i="5"/>
  <c r="AE553" i="5"/>
  <c r="AE41" i="5"/>
  <c r="AE72" i="5"/>
  <c r="AE271" i="5"/>
  <c r="AE142" i="5"/>
  <c r="AE173" i="5"/>
  <c r="AE204" i="5"/>
  <c r="AE235" i="5"/>
  <c r="AE258" i="5"/>
  <c r="AE289" i="5"/>
  <c r="AE320" i="5"/>
  <c r="AE551" i="5"/>
  <c r="AE390" i="5"/>
  <c r="AE421" i="5"/>
  <c r="AE452" i="5"/>
  <c r="AE483" i="5"/>
  <c r="AE506" i="5"/>
  <c r="AE537" i="5"/>
  <c r="AE25" i="5"/>
  <c r="AE56" i="5"/>
  <c r="AE288" i="5"/>
  <c r="AE410" i="5"/>
  <c r="AE441" i="5"/>
  <c r="AE472" i="5"/>
  <c r="AE12" i="5"/>
  <c r="AE391" i="5"/>
  <c r="AE94" i="5"/>
  <c r="AE125" i="5"/>
  <c r="AE156" i="5"/>
  <c r="AE187" i="5"/>
  <c r="AE210" i="5"/>
  <c r="AE241" i="5"/>
  <c r="AE272" i="5"/>
  <c r="AE167" i="5"/>
  <c r="AE342" i="5"/>
  <c r="AE373" i="5"/>
  <c r="AE404" i="5"/>
  <c r="AE435" i="5"/>
  <c r="AE458" i="5"/>
  <c r="AE489" i="5"/>
  <c r="AE520" i="5"/>
  <c r="AE383" i="5"/>
  <c r="AE263" i="5"/>
  <c r="AE78" i="5"/>
  <c r="AE109" i="5"/>
  <c r="AE140" i="5"/>
  <c r="AE171" i="5"/>
  <c r="AE194" i="5"/>
  <c r="AE225" i="5"/>
  <c r="AE256" i="5"/>
  <c r="AE39" i="5"/>
  <c r="AE326" i="5"/>
  <c r="AE357" i="5"/>
  <c r="AE388" i="5"/>
  <c r="AE419" i="5"/>
  <c r="AE442" i="5"/>
  <c r="AE473" i="5"/>
  <c r="AE504" i="5"/>
  <c r="AE239" i="5"/>
  <c r="AE346" i="5"/>
  <c r="AE377" i="5"/>
  <c r="AE408" i="5"/>
  <c r="AE511" i="5"/>
  <c r="AE542" i="5"/>
  <c r="AE30" i="5"/>
  <c r="AE61" i="5"/>
  <c r="AE92" i="5"/>
  <c r="AE123" i="5"/>
  <c r="AE146" i="5"/>
  <c r="AE177" i="5"/>
  <c r="AE208" i="5"/>
  <c r="AE223" i="5"/>
  <c r="AE278" i="5"/>
  <c r="AE309" i="5"/>
  <c r="AE340" i="5"/>
  <c r="AE371" i="5"/>
  <c r="AE394" i="5"/>
  <c r="AE425" i="5"/>
  <c r="AE456" i="5"/>
  <c r="AE503" i="5"/>
  <c r="AE526" i="5"/>
  <c r="AE557" i="5"/>
  <c r="AE45" i="5"/>
  <c r="AE76" i="5"/>
  <c r="AE107" i="5"/>
  <c r="AE130" i="5"/>
  <c r="AE161" i="5"/>
  <c r="AE192" i="5"/>
  <c r="AE95" i="5"/>
  <c r="AE262" i="5"/>
  <c r="AE293" i="5"/>
  <c r="AE324" i="5"/>
  <c r="AE355" i="5"/>
  <c r="AE378" i="5"/>
  <c r="AE409" i="5"/>
  <c r="AE440" i="5"/>
  <c r="AE422" i="5"/>
  <c r="AE282" i="5"/>
  <c r="AE313" i="5"/>
  <c r="AE344" i="5"/>
  <c r="AE119" i="5"/>
  <c r="AE478" i="5"/>
  <c r="AE509" i="5"/>
  <c r="AE540" i="5"/>
  <c r="AE28" i="5"/>
  <c r="AE59" i="5"/>
  <c r="AE82" i="5"/>
  <c r="AE113" i="5"/>
  <c r="AE144" i="5"/>
  <c r="AE279" i="5"/>
  <c r="AE214" i="5"/>
  <c r="AE245" i="5"/>
  <c r="AE276" i="5"/>
  <c r="AE307" i="5"/>
  <c r="AE330" i="5"/>
  <c r="AE361" i="5"/>
  <c r="AE392" i="5"/>
  <c r="AE559" i="5"/>
  <c r="AE462" i="5"/>
  <c r="AE493" i="5"/>
  <c r="AE524" i="5"/>
  <c r="AE555" i="5"/>
  <c r="AE43" i="5"/>
  <c r="AE66" i="5"/>
  <c r="AE97" i="5"/>
  <c r="AE128" i="5"/>
  <c r="AE151" i="5"/>
  <c r="AE198" i="5"/>
  <c r="AE229" i="5"/>
  <c r="AE260" i="5"/>
  <c r="AE291" i="5"/>
  <c r="AE314" i="5"/>
  <c r="AE345" i="5"/>
  <c r="AE376" i="5"/>
  <c r="AE453" i="5"/>
  <c r="AE218" i="5"/>
  <c r="AE249" i="5"/>
  <c r="AE280" i="5"/>
  <c r="AE175" i="5"/>
  <c r="AE414" i="5"/>
  <c r="AE445" i="5"/>
  <c r="AE476" i="5"/>
  <c r="AE507" i="5"/>
  <c r="AE530" i="5"/>
  <c r="AE19" i="5"/>
  <c r="AE49" i="5"/>
  <c r="AE80" i="5"/>
  <c r="AE335" i="5"/>
  <c r="AE150" i="5"/>
  <c r="AE181" i="5"/>
  <c r="AE212" i="5"/>
  <c r="AE243" i="5"/>
  <c r="AE266" i="5"/>
  <c r="AE297" i="5"/>
  <c r="AE328" i="5"/>
  <c r="AE47" i="5"/>
  <c r="AE398" i="5"/>
  <c r="AE429" i="5"/>
  <c r="AE460" i="5"/>
  <c r="AE491" i="5"/>
  <c r="AE514" i="5"/>
  <c r="AE545" i="5"/>
  <c r="AE33" i="5"/>
  <c r="AE64" i="5"/>
  <c r="AE207" i="5"/>
  <c r="AE134" i="5"/>
  <c r="AE165" i="5"/>
  <c r="AE196" i="5"/>
  <c r="AE227" i="5"/>
  <c r="AE250" i="5"/>
  <c r="AE281" i="5"/>
  <c r="AE312" i="5"/>
  <c r="AL545" i="5"/>
  <c r="AL499" i="5"/>
  <c r="AL433" i="5"/>
  <c r="AL373" i="5"/>
  <c r="AL392" i="5"/>
  <c r="AL377" i="5"/>
  <c r="AL486" i="5"/>
  <c r="AL370" i="5"/>
  <c r="AL383" i="5"/>
  <c r="AL412" i="5"/>
  <c r="AL505" i="5"/>
  <c r="AL273" i="5"/>
  <c r="AL137" i="5"/>
  <c r="AL243" i="5"/>
  <c r="AL400" i="5"/>
  <c r="AL116" i="5"/>
  <c r="AL174" i="5"/>
  <c r="AL402" i="5"/>
  <c r="AL53" i="5"/>
  <c r="AL215" i="5"/>
  <c r="AL108" i="5"/>
  <c r="AL224" i="5"/>
  <c r="AL422" i="5"/>
  <c r="AL70" i="5"/>
  <c r="AL131" i="5"/>
  <c r="AL286" i="5"/>
  <c r="AL537" i="5"/>
  <c r="AL36" i="5"/>
  <c r="AL181" i="5"/>
  <c r="AL313" i="5"/>
  <c r="AL129" i="5"/>
  <c r="AL266" i="5"/>
  <c r="AL338" i="5"/>
  <c r="AL20" i="5"/>
  <c r="AL197" i="5"/>
  <c r="AL475" i="5"/>
  <c r="AL76" i="5"/>
  <c r="AL445" i="5"/>
  <c r="AL414" i="5"/>
  <c r="AL64" i="5"/>
  <c r="AL167" i="5"/>
  <c r="AL442" i="5"/>
  <c r="AL152" i="5"/>
  <c r="AL196" i="5"/>
  <c r="AL186" i="5"/>
  <c r="AL376" i="5"/>
  <c r="AL229" i="5"/>
  <c r="AL147" i="5"/>
  <c r="AL78" i="5"/>
  <c r="AL546" i="5"/>
  <c r="AL52" i="5"/>
  <c r="AL284" i="5"/>
  <c r="AL269" i="5"/>
  <c r="AL554" i="5"/>
  <c r="AL494" i="5"/>
  <c r="AL432" i="5"/>
  <c r="AL331" i="5"/>
  <c r="AL318" i="5"/>
  <c r="AL349" i="5"/>
  <c r="AL466" i="5"/>
  <c r="AL362" i="5"/>
  <c r="AL367" i="5"/>
  <c r="AL381" i="5"/>
  <c r="AL496" i="5"/>
  <c r="AL448" i="5"/>
  <c r="AL97" i="5"/>
  <c r="AL212" i="5"/>
  <c r="AL251" i="5"/>
  <c r="AL91" i="5"/>
  <c r="AL162" i="5"/>
  <c r="AL289" i="5"/>
  <c r="AL259" i="5"/>
  <c r="AL90" i="5"/>
  <c r="AL74" i="5"/>
  <c r="AL270" i="5"/>
  <c r="AL532" i="5"/>
  <c r="AL92" i="5"/>
  <c r="AL246" i="5"/>
  <c r="AL479" i="5"/>
  <c r="AL525" i="5"/>
  <c r="AL103" i="5"/>
  <c r="AL337" i="5"/>
  <c r="AL529" i="5"/>
  <c r="AL173" i="5"/>
  <c r="AL157" i="5"/>
  <c r="AL538" i="5"/>
  <c r="AL177" i="5"/>
  <c r="AL144" i="5"/>
  <c r="AL437" i="5"/>
  <c r="AL41" i="5"/>
  <c r="AL127" i="5"/>
  <c r="AL350" i="5"/>
  <c r="AL82" i="5"/>
  <c r="AL184" i="5"/>
  <c r="AL278" i="5"/>
  <c r="AL218" i="5"/>
  <c r="AL214" i="5"/>
  <c r="AL155" i="5"/>
  <c r="AL38" i="5"/>
  <c r="AL303" i="5"/>
  <c r="AL156" i="5"/>
  <c r="AL122" i="5"/>
  <c r="AL109" i="5"/>
  <c r="AL150" i="5"/>
  <c r="AL280" i="5"/>
  <c r="AL298" i="5"/>
  <c r="AL339" i="5"/>
  <c r="AL314" i="5"/>
  <c r="AL335" i="5"/>
  <c r="AL281" i="5"/>
  <c r="AL287" i="5"/>
  <c r="AL395" i="5"/>
  <c r="AL516" i="5"/>
  <c r="AL312" i="5"/>
  <c r="AL481" i="5"/>
  <c r="AL346" i="5"/>
  <c r="AL503" i="5"/>
  <c r="AL438" i="5"/>
  <c r="AL526" i="5"/>
  <c r="AL492" i="5"/>
  <c r="AL531" i="5"/>
  <c r="AL13" i="5"/>
  <c r="AL559" i="5"/>
  <c r="AL482" i="5"/>
  <c r="AL407" i="5"/>
  <c r="AL316" i="5"/>
  <c r="AL297" i="5"/>
  <c r="AL327" i="5"/>
  <c r="AL451" i="5"/>
  <c r="AL356" i="5"/>
  <c r="AL334" i="5"/>
  <c r="AL363" i="5"/>
  <c r="AL454" i="5"/>
  <c r="AL241" i="5"/>
  <c r="AL88" i="5"/>
  <c r="AL211" i="5"/>
  <c r="AL217" i="5"/>
  <c r="AL84" i="5"/>
  <c r="AL113" i="5"/>
  <c r="AL268" i="5"/>
  <c r="AL132" i="5"/>
  <c r="AL247" i="5"/>
  <c r="AL258" i="5"/>
  <c r="AL221" i="5"/>
  <c r="AL524" i="5"/>
  <c r="AL58" i="5"/>
  <c r="AL230" i="5"/>
  <c r="AL302" i="5"/>
  <c r="AL61" i="5"/>
  <c r="AL23" i="5"/>
  <c r="AL305" i="5"/>
  <c r="AL32" i="5"/>
  <c r="AL360" i="5"/>
  <c r="AL254" i="5"/>
  <c r="AL550" i="5"/>
  <c r="AL176" i="5"/>
  <c r="AL163" i="5"/>
  <c r="AL358" i="5"/>
  <c r="AL24" i="5"/>
  <c r="AL240" i="5"/>
  <c r="AL468" i="5"/>
  <c r="AL57" i="5"/>
  <c r="AL509" i="5"/>
  <c r="AL361" i="5"/>
  <c r="AL556" i="5"/>
  <c r="AL301" i="5"/>
  <c r="AL200" i="5"/>
  <c r="AL28" i="5"/>
  <c r="AL45" i="5"/>
  <c r="AL172" i="5"/>
  <c r="AL124" i="5"/>
  <c r="AL21" i="5"/>
  <c r="AL206" i="5"/>
  <c r="AL357" i="5"/>
  <c r="AL332" i="5"/>
  <c r="AL195" i="5"/>
  <c r="AL310" i="5"/>
  <c r="AL340" i="5"/>
  <c r="AL290" i="5"/>
  <c r="AL256" i="5"/>
  <c r="AL399" i="5"/>
  <c r="AL552" i="5"/>
  <c r="AL388" i="5"/>
  <c r="AL467" i="5"/>
  <c r="AL380" i="5"/>
  <c r="AL507" i="5"/>
  <c r="AL460" i="5"/>
  <c r="AL523" i="5"/>
  <c r="AL547" i="5"/>
  <c r="AL461" i="5"/>
  <c r="AL405" i="5"/>
  <c r="AL292" i="5"/>
  <c r="AL277" i="5"/>
  <c r="AL300" i="5"/>
  <c r="AL449" i="5"/>
  <c r="AL348" i="5"/>
  <c r="AL307" i="5"/>
  <c r="AL320" i="5"/>
  <c r="AL423" i="5"/>
  <c r="AL192" i="5"/>
  <c r="AL80" i="5"/>
  <c r="AL208" i="5"/>
  <c r="AL198" i="5"/>
  <c r="AL77" i="5"/>
  <c r="AL104" i="5"/>
  <c r="AL203" i="5"/>
  <c r="AL237" i="5"/>
  <c r="AL542" i="5"/>
  <c r="AL55" i="5"/>
  <c r="AL317" i="5"/>
  <c r="AL96" i="5"/>
  <c r="AL161" i="5"/>
  <c r="AL168" i="5"/>
  <c r="AL417" i="5"/>
  <c r="AL79" i="5"/>
  <c r="AL34" i="5"/>
  <c r="AL483" i="5"/>
  <c r="AL48" i="5"/>
  <c r="AL89" i="5"/>
  <c r="AL42" i="5"/>
  <c r="AL533" i="5"/>
  <c r="AL120" i="5"/>
  <c r="AL263" i="5"/>
  <c r="AL425" i="5"/>
  <c r="AL44" i="5"/>
  <c r="AL165" i="5"/>
  <c r="AL365" i="5"/>
  <c r="AL27" i="5"/>
  <c r="AL244" i="5"/>
  <c r="AL299" i="5"/>
  <c r="AL187" i="5"/>
  <c r="AL558" i="5"/>
  <c r="AL207" i="5"/>
  <c r="AL75" i="5"/>
  <c r="AL46" i="5"/>
  <c r="AL188" i="5"/>
  <c r="AL170" i="5"/>
  <c r="AL30" i="5"/>
  <c r="AL31" i="5"/>
  <c r="AL391" i="5"/>
  <c r="AL343" i="5"/>
  <c r="AL231" i="5"/>
  <c r="AL396" i="5"/>
  <c r="AL354" i="5"/>
  <c r="AL304" i="5"/>
  <c r="AL283" i="5"/>
  <c r="AL411" i="5"/>
  <c r="AL415" i="5"/>
  <c r="AL447" i="5"/>
  <c r="AL508" i="5"/>
  <c r="AL410" i="5"/>
  <c r="AL514" i="5"/>
  <c r="AL431" i="5"/>
  <c r="AL560" i="5"/>
  <c r="AL427" i="5"/>
  <c r="AL541" i="5"/>
  <c r="AL456" i="5"/>
  <c r="AL404" i="5"/>
  <c r="AL512" i="5"/>
  <c r="AL544" i="5"/>
  <c r="AL518" i="5"/>
  <c r="AL421" i="5"/>
  <c r="AL323" i="5"/>
  <c r="AL275" i="5"/>
  <c r="AL282" i="5"/>
  <c r="AL408" i="5"/>
  <c r="AL153" i="5"/>
  <c r="AL233" i="5"/>
  <c r="AL204" i="5"/>
  <c r="AL175" i="5"/>
  <c r="AL71" i="5"/>
  <c r="AL87" i="5"/>
  <c r="AL138" i="5"/>
  <c r="AL159" i="5"/>
  <c r="AL100" i="5"/>
  <c r="AL194" i="5"/>
  <c r="AL450" i="5"/>
  <c r="AL56" i="5"/>
  <c r="AL169" i="5"/>
  <c r="AL227" i="5"/>
  <c r="AL353" i="5"/>
  <c r="AL35" i="5"/>
  <c r="AL81" i="5"/>
  <c r="AL322" i="5"/>
  <c r="AL67" i="5"/>
  <c r="AL330" i="5"/>
  <c r="AL390" i="5"/>
  <c r="AL69" i="5"/>
  <c r="AL178" i="5"/>
  <c r="AL205" i="5"/>
  <c r="AL341" i="5"/>
  <c r="AL189" i="5"/>
  <c r="AL345" i="5"/>
  <c r="AL434" i="5"/>
  <c r="AL68" i="5"/>
  <c r="AL111" i="5"/>
  <c r="AL294" i="5"/>
  <c r="AL166" i="5"/>
  <c r="AL94" i="5"/>
  <c r="AL199" i="5"/>
  <c r="AL118" i="5"/>
  <c r="AL22" i="5"/>
  <c r="AL223" i="5"/>
  <c r="AL201" i="5"/>
  <c r="AL193" i="5"/>
  <c r="AL110" i="5"/>
  <c r="AL105" i="5"/>
  <c r="AL382" i="5"/>
  <c r="AL10" i="5"/>
  <c r="AL528" i="5"/>
  <c r="AL452" i="5"/>
  <c r="AL394" i="5"/>
  <c r="AL469" i="5"/>
  <c r="AL491" i="5"/>
  <c r="AL502" i="5"/>
  <c r="AL418" i="5"/>
  <c r="AL311" i="5"/>
  <c r="AL476" i="5"/>
  <c r="AL279" i="5"/>
  <c r="AL375" i="5"/>
  <c r="AL151" i="5"/>
  <c r="AL140" i="5"/>
  <c r="AL158" i="5"/>
  <c r="AL142" i="5"/>
  <c r="AL261" i="5"/>
  <c r="AL72" i="5"/>
  <c r="AL114" i="5"/>
  <c r="AL133" i="5"/>
  <c r="AL98" i="5"/>
  <c r="AL368" i="5"/>
  <c r="AL295" i="5"/>
  <c r="AL93" i="5"/>
  <c r="AL226" i="5"/>
  <c r="AL309" i="5"/>
  <c r="AL325" i="5"/>
  <c r="AL65" i="5"/>
  <c r="AL39" i="5"/>
  <c r="AL428" i="5"/>
  <c r="AL54" i="5"/>
  <c r="AL95" i="5"/>
  <c r="AL306" i="5"/>
  <c r="AL49" i="5"/>
  <c r="AL123" i="5"/>
  <c r="AL238" i="5"/>
  <c r="AL540" i="5"/>
  <c r="AL106" i="5"/>
  <c r="AL73" i="5"/>
  <c r="AL536" i="5"/>
  <c r="AL107" i="5"/>
  <c r="AL160" i="5"/>
  <c r="AL444" i="5"/>
  <c r="AL164" i="5"/>
  <c r="AL141" i="5"/>
  <c r="AL190" i="5"/>
  <c r="AL182" i="5"/>
  <c r="AL37" i="5"/>
  <c r="AL487" i="5"/>
  <c r="AL225" i="5"/>
  <c r="AL185" i="5"/>
  <c r="AL222" i="5"/>
  <c r="AL33" i="5"/>
  <c r="AL264" i="5"/>
  <c r="AL255" i="5"/>
  <c r="AL154" i="5"/>
  <c r="AL374" i="5"/>
  <c r="AL319" i="5"/>
  <c r="AL272" i="5"/>
  <c r="AL490" i="5"/>
  <c r="AL285" i="5"/>
  <c r="AL441" i="5"/>
  <c r="AL393" i="5"/>
  <c r="AL386" i="5"/>
  <c r="AL519" i="5"/>
  <c r="AL480" i="5"/>
  <c r="AL464" i="5"/>
  <c r="AL549" i="5"/>
  <c r="B73" i="5"/>
  <c r="AL527" i="5"/>
  <c r="AL440" i="5"/>
  <c r="AL385" i="5"/>
  <c r="AL403" i="5"/>
  <c r="AL459" i="5"/>
  <c r="AL497" i="5"/>
  <c r="AL387" i="5"/>
  <c r="AL515" i="5"/>
  <c r="AL474" i="5"/>
  <c r="AL511" i="5"/>
  <c r="AL347" i="5"/>
  <c r="AL149" i="5"/>
  <c r="AL257" i="5"/>
  <c r="AL85" i="5"/>
  <c r="AL125" i="5"/>
  <c r="AL236" i="5"/>
  <c r="AL171" i="5"/>
  <c r="AL99" i="5"/>
  <c r="AL101" i="5"/>
  <c r="AL134" i="5"/>
  <c r="AL128" i="5"/>
  <c r="AL384" i="5"/>
  <c r="AL29" i="5"/>
  <c r="AL235" i="5"/>
  <c r="AL420" i="5"/>
  <c r="AL498" i="5"/>
  <c r="AL43" i="5"/>
  <c r="AL136" i="5"/>
  <c r="AL333" i="5"/>
  <c r="AL60" i="5"/>
  <c r="AL191" i="5"/>
  <c r="AL458" i="5"/>
  <c r="AL102" i="5"/>
  <c r="AL262" i="5"/>
  <c r="AL398" i="5"/>
  <c r="AL535" i="5"/>
  <c r="AL180" i="5"/>
  <c r="AL210" i="5"/>
  <c r="AL548" i="5"/>
  <c r="AL26" i="5"/>
  <c r="AL213" i="5"/>
  <c r="AL406" i="5"/>
  <c r="AL183" i="5"/>
  <c r="AL146" i="5"/>
  <c r="AL267" i="5"/>
  <c r="AL179" i="5"/>
  <c r="AL121" i="5"/>
  <c r="AL416" i="5"/>
  <c r="AL50" i="5"/>
  <c r="AL216" i="5"/>
  <c r="AL248" i="5"/>
  <c r="AL228" i="5"/>
  <c r="AL288" i="5"/>
  <c r="AL265" i="5"/>
  <c r="AL242" i="5"/>
  <c r="AL126" i="5"/>
  <c r="AL352" i="5"/>
  <c r="AL326" i="5"/>
  <c r="AL485" i="5"/>
  <c r="AL429" i="5"/>
  <c r="AL455" i="5"/>
  <c r="AL446" i="5"/>
  <c r="AL470" i="5"/>
  <c r="AL520" i="5"/>
  <c r="AL557" i="5"/>
  <c r="AL19" i="5"/>
  <c r="AL513" i="5"/>
  <c r="AL436" i="5"/>
  <c r="AL378" i="5"/>
  <c r="AL397" i="5"/>
  <c r="AL389" i="5"/>
  <c r="AL493" i="5"/>
  <c r="AL372" i="5"/>
  <c r="AL463" i="5"/>
  <c r="AL435" i="5"/>
  <c r="AL510" i="5"/>
  <c r="AL276" i="5"/>
  <c r="AL145" i="5"/>
  <c r="AL245" i="5"/>
  <c r="AL83" i="5"/>
  <c r="AL117" i="5"/>
  <c r="AL220" i="5"/>
  <c r="AL471" i="5"/>
  <c r="AL86" i="5"/>
  <c r="AL239" i="5"/>
  <c r="AL252" i="5"/>
  <c r="AL63" i="5"/>
  <c r="AL321" i="5"/>
  <c r="AL62" i="5"/>
  <c r="AL66" i="5"/>
  <c r="AL329" i="5"/>
  <c r="AL430" i="5"/>
  <c r="AL25" i="5"/>
  <c r="AL250" i="5"/>
  <c r="AL413" i="5"/>
  <c r="AL47" i="5"/>
  <c r="AL139" i="5"/>
  <c r="AL409" i="5"/>
  <c r="AL51" i="5"/>
  <c r="AL112" i="5"/>
  <c r="AL517" i="5"/>
  <c r="AL59" i="5"/>
  <c r="AL202" i="5"/>
  <c r="AL366" i="5"/>
  <c r="AL555" i="5"/>
  <c r="AL119" i="5"/>
  <c r="AL293" i="5"/>
  <c r="AL539" i="5"/>
  <c r="AL209" i="5"/>
  <c r="AL148" i="5"/>
  <c r="AL115" i="5"/>
  <c r="AL135" i="5"/>
  <c r="AL143" i="5"/>
  <c r="AL40" i="5"/>
  <c r="AL219" i="5"/>
  <c r="AL551" i="5"/>
  <c r="AL260" i="5"/>
  <c r="AL253" i="5"/>
  <c r="AL364" i="5"/>
  <c r="AL359" i="5"/>
  <c r="AL274" i="5"/>
  <c r="AL234" i="5"/>
  <c r="AL369" i="5"/>
  <c r="AL336" i="5"/>
  <c r="AL473" i="5"/>
  <c r="AL424" i="5"/>
  <c r="AL443" i="5"/>
  <c r="AL249" i="5"/>
  <c r="AL495" i="5"/>
  <c r="AL351" i="5"/>
  <c r="AL478" i="5"/>
  <c r="AL543" i="5"/>
  <c r="AL342" i="5"/>
  <c r="AL426" i="5"/>
  <c r="AL522" i="5"/>
  <c r="AL504" i="5"/>
  <c r="AL8" i="5"/>
  <c r="AL271" i="5"/>
  <c r="AL315" i="5"/>
  <c r="AL419" i="5"/>
  <c r="AL439" i="5"/>
  <c r="AL12" i="5"/>
  <c r="AL296" i="5"/>
  <c r="AL401" i="5"/>
  <c r="AL457" i="5"/>
  <c r="AL477" i="5"/>
  <c r="AL344" i="5"/>
  <c r="AL379" i="5"/>
  <c r="AL462" i="5"/>
  <c r="AL501" i="5"/>
  <c r="AL484" i="5"/>
  <c r="AL232" i="5"/>
  <c r="AL308" i="5"/>
  <c r="AL506" i="5"/>
  <c r="AL534" i="5"/>
  <c r="AL500" i="5"/>
  <c r="AL324" i="5"/>
  <c r="AL371" i="5"/>
  <c r="AL355" i="5"/>
  <c r="AL521" i="5"/>
  <c r="AL553" i="5"/>
  <c r="AL130" i="5"/>
  <c r="AL453" i="5"/>
  <c r="AL291" i="5"/>
  <c r="AL465" i="5"/>
  <c r="AL472" i="5"/>
  <c r="AL328" i="5"/>
  <c r="AL488" i="5"/>
  <c r="AL489" i="5"/>
  <c r="AL530" i="5"/>
  <c r="AL7" i="5"/>
  <c r="AL11" i="5"/>
  <c r="AD450" i="5"/>
  <c r="AC450" i="5"/>
  <c r="BE450" i="5"/>
  <c r="AD430" i="5"/>
  <c r="AC430" i="5"/>
  <c r="BE430" i="5"/>
  <c r="AD531" i="5"/>
  <c r="AC531" i="5"/>
  <c r="BE531" i="5"/>
  <c r="BE300" i="5"/>
  <c r="AC300" i="5"/>
  <c r="AD300" i="5"/>
  <c r="W165" i="5"/>
  <c r="X165" i="5"/>
  <c r="S9" i="5"/>
  <c r="V9" i="5"/>
  <c r="Y9" i="5"/>
  <c r="AV9" i="5"/>
  <c r="AL9" i="5"/>
  <c r="AI9" i="5"/>
  <c r="AF9" i="5"/>
  <c r="P9" i="5"/>
  <c r="W202" i="5"/>
  <c r="X202" i="5"/>
  <c r="W501" i="5"/>
  <c r="X501" i="5"/>
  <c r="W241" i="5"/>
  <c r="X241" i="5"/>
  <c r="X25" i="5"/>
  <c r="W25" i="5"/>
  <c r="W507" i="5"/>
  <c r="X507" i="5"/>
  <c r="W430" i="5"/>
  <c r="X430" i="5"/>
  <c r="W255" i="5"/>
  <c r="X255" i="5"/>
  <c r="W127" i="5"/>
  <c r="X127" i="5"/>
  <c r="W300" i="5"/>
  <c r="X300" i="5"/>
  <c r="X334" i="5"/>
  <c r="W334" i="5"/>
  <c r="W494" i="5"/>
  <c r="X494" i="5"/>
  <c r="W76" i="5"/>
  <c r="X76" i="5"/>
  <c r="X37" i="5"/>
  <c r="W37" i="5"/>
  <c r="W268" i="5"/>
  <c r="X268" i="5"/>
  <c r="X531" i="5"/>
  <c r="W531" i="5"/>
  <c r="X485" i="5"/>
  <c r="W485" i="5"/>
  <c r="W353" i="5"/>
  <c r="X353" i="5"/>
  <c r="X142" i="5"/>
  <c r="W142" i="5"/>
  <c r="X212" i="5"/>
  <c r="W212" i="5"/>
  <c r="X450" i="5"/>
  <c r="W450" i="5"/>
  <c r="W398" i="5"/>
  <c r="X398" i="5"/>
  <c r="W239" i="5"/>
  <c r="X239" i="5"/>
  <c r="X27" i="5"/>
  <c r="W27" i="5"/>
  <c r="W174" i="5"/>
  <c r="X174" i="5"/>
  <c r="X505" i="5"/>
  <c r="W505" i="5"/>
  <c r="X406" i="5"/>
  <c r="W406" i="5"/>
  <c r="X213" i="5"/>
  <c r="W213" i="5"/>
  <c r="W322" i="5"/>
  <c r="X322" i="5"/>
  <c r="W256" i="5"/>
  <c r="X256" i="5"/>
  <c r="X551" i="5"/>
  <c r="W551" i="5"/>
  <c r="X475" i="5"/>
  <c r="W475" i="5"/>
  <c r="X465" i="5"/>
  <c r="W465" i="5"/>
  <c r="X310" i="5"/>
  <c r="W310" i="5"/>
  <c r="X144" i="5"/>
  <c r="W144" i="5"/>
  <c r="X466" i="5"/>
  <c r="W466" i="5"/>
  <c r="X382" i="5"/>
  <c r="W382" i="5"/>
  <c r="X498" i="5"/>
  <c r="W498" i="5"/>
  <c r="X234" i="5"/>
  <c r="W234" i="5"/>
  <c r="W170" i="5"/>
  <c r="X170" i="5"/>
  <c r="W486" i="5"/>
  <c r="X486" i="5"/>
  <c r="X227" i="5"/>
  <c r="W227" i="5"/>
  <c r="W157" i="5"/>
  <c r="X157" i="5"/>
  <c r="W64" i="5"/>
  <c r="X64" i="5"/>
  <c r="X72" i="5"/>
  <c r="W72" i="5"/>
  <c r="X277" i="5"/>
  <c r="W277" i="5"/>
  <c r="W554" i="5"/>
  <c r="X554" i="5"/>
  <c r="X326" i="5"/>
  <c r="W326" i="5"/>
  <c r="X177" i="5"/>
  <c r="W177" i="5"/>
  <c r="X451" i="5"/>
  <c r="W451" i="5"/>
  <c r="X273" i="5"/>
  <c r="W273" i="5"/>
  <c r="W453" i="5"/>
  <c r="X453" i="5"/>
  <c r="X153" i="5"/>
  <c r="W153" i="5"/>
  <c r="X362" i="5"/>
  <c r="W362" i="5"/>
  <c r="W510" i="5"/>
  <c r="X510" i="5"/>
  <c r="X271" i="5"/>
  <c r="W271" i="5"/>
  <c r="W162" i="5"/>
  <c r="X162" i="5"/>
  <c r="W352" i="5"/>
  <c r="X352" i="5"/>
  <c r="W77" i="5"/>
  <c r="X77" i="5"/>
  <c r="X311" i="5"/>
  <c r="W311" i="5"/>
  <c r="X65" i="5"/>
  <c r="W65" i="5"/>
  <c r="X159" i="5"/>
  <c r="W159" i="5"/>
  <c r="AB482" i="5"/>
  <c r="X482" i="5"/>
  <c r="W482" i="5"/>
  <c r="W81" i="5"/>
  <c r="X81" i="5"/>
  <c r="X20" i="5"/>
  <c r="W20" i="5"/>
  <c r="W137" i="5"/>
  <c r="X137" i="5"/>
  <c r="W493" i="5"/>
  <c r="X493" i="5"/>
  <c r="AD446" i="5"/>
  <c r="AC446" i="5"/>
  <c r="BE446" i="5"/>
  <c r="BE327" i="5"/>
  <c r="AC327" i="5"/>
  <c r="AD327" i="5"/>
  <c r="AD452" i="5"/>
  <c r="AC452" i="5"/>
  <c r="BE452" i="5"/>
  <c r="BE445" i="5"/>
  <c r="AD445" i="5"/>
  <c r="AC445" i="5"/>
  <c r="AC84" i="5"/>
  <c r="AD84" i="5"/>
  <c r="BE84" i="5"/>
  <c r="AD121" i="5"/>
  <c r="AC121" i="5"/>
  <c r="BE121" i="5"/>
  <c r="AD295" i="5"/>
  <c r="AC295" i="5"/>
  <c r="BE295" i="5"/>
  <c r="X129" i="5"/>
  <c r="W129" i="5"/>
  <c r="W196" i="5"/>
  <c r="X196" i="5"/>
  <c r="X96" i="5"/>
  <c r="W96" i="5"/>
  <c r="X524" i="5"/>
  <c r="W524" i="5"/>
  <c r="X42" i="5"/>
  <c r="W42" i="5"/>
  <c r="X553" i="5"/>
  <c r="W553" i="5"/>
  <c r="W381" i="5"/>
  <c r="X381" i="5"/>
  <c r="W302" i="5"/>
  <c r="X302" i="5"/>
  <c r="X304" i="5"/>
  <c r="W304" i="5"/>
  <c r="W439" i="5"/>
  <c r="X439" i="5"/>
  <c r="X435" i="5"/>
  <c r="W435" i="5"/>
  <c r="X437" i="5"/>
  <c r="W437" i="5"/>
  <c r="X368" i="5"/>
  <c r="W368" i="5"/>
  <c r="W205" i="5"/>
  <c r="X205" i="5"/>
  <c r="X58" i="5"/>
  <c r="W58" i="5"/>
  <c r="W375" i="5"/>
  <c r="X375" i="5"/>
  <c r="W445" i="5"/>
  <c r="X445" i="5"/>
  <c r="X558" i="5"/>
  <c r="W558" i="5"/>
  <c r="X301" i="5"/>
  <c r="W301" i="5"/>
  <c r="W26" i="5"/>
  <c r="X26" i="5"/>
  <c r="W121" i="5"/>
  <c r="X121" i="5"/>
  <c r="X560" i="5"/>
  <c r="W560" i="5"/>
  <c r="X333" i="5"/>
  <c r="W333" i="5"/>
  <c r="W295" i="5"/>
  <c r="X295" i="5"/>
  <c r="W140" i="5"/>
  <c r="X140" i="5"/>
  <c r="W418" i="5"/>
  <c r="X418" i="5"/>
  <c r="X541" i="5"/>
  <c r="W541" i="5"/>
  <c r="X488" i="5"/>
  <c r="W488" i="5"/>
  <c r="W336" i="5"/>
  <c r="X336" i="5"/>
  <c r="X228" i="5"/>
  <c r="W228" i="5"/>
  <c r="X319" i="5"/>
  <c r="W319" i="5"/>
  <c r="X420" i="5"/>
  <c r="W420" i="5"/>
  <c r="W452" i="5"/>
  <c r="X452" i="5"/>
  <c r="W383" i="5"/>
  <c r="X383" i="5"/>
  <c r="W344" i="5"/>
  <c r="X344" i="5"/>
  <c r="X93" i="5"/>
  <c r="W93" i="5"/>
  <c r="W515" i="5"/>
  <c r="X515" i="5"/>
  <c r="W516" i="5"/>
  <c r="X516" i="5"/>
  <c r="W440" i="5"/>
  <c r="X440" i="5"/>
  <c r="X258" i="5"/>
  <c r="W258" i="5"/>
  <c r="X120" i="5"/>
  <c r="W120" i="5"/>
  <c r="X456" i="5"/>
  <c r="W456" i="5"/>
  <c r="X374" i="5"/>
  <c r="W374" i="5"/>
  <c r="W244" i="5"/>
  <c r="X244" i="5"/>
  <c r="X59" i="5"/>
  <c r="W59" i="5"/>
  <c r="W236" i="5"/>
  <c r="X236" i="5"/>
  <c r="W446" i="5"/>
  <c r="X446" i="5"/>
  <c r="W226" i="5"/>
  <c r="X226" i="5"/>
  <c r="X146" i="5"/>
  <c r="W146" i="5"/>
  <c r="X69" i="5"/>
  <c r="W69" i="5"/>
  <c r="X199" i="5"/>
  <c r="W199" i="5"/>
  <c r="X293" i="5"/>
  <c r="W293" i="5"/>
  <c r="X167" i="5"/>
  <c r="W167" i="5"/>
  <c r="X327" i="5"/>
  <c r="W327" i="5"/>
  <c r="X549" i="5"/>
  <c r="W549" i="5"/>
  <c r="W176" i="5"/>
  <c r="X176" i="5"/>
  <c r="W106" i="5"/>
  <c r="X106" i="5"/>
  <c r="X373" i="5"/>
  <c r="W373" i="5"/>
  <c r="W245" i="5"/>
  <c r="X245" i="5"/>
  <c r="X369" i="5"/>
  <c r="W369" i="5"/>
  <c r="X84" i="5"/>
  <c r="W84" i="5"/>
  <c r="X87" i="5"/>
  <c r="W87" i="5"/>
  <c r="W306" i="5"/>
  <c r="X306" i="5"/>
  <c r="X200" i="5"/>
  <c r="W200" i="5"/>
  <c r="X269" i="5"/>
  <c r="W269" i="5"/>
  <c r="W371" i="5"/>
  <c r="X371" i="5"/>
  <c r="W385" i="5"/>
  <c r="X385" i="5"/>
  <c r="AD413" i="5"/>
  <c r="AC413" i="5"/>
  <c r="BE413" i="5"/>
  <c r="AD62" i="5"/>
  <c r="AC62" i="5"/>
  <c r="BE62" i="5"/>
  <c r="AC404" i="5"/>
  <c r="AD404" i="5"/>
  <c r="BE404" i="5"/>
  <c r="AC118" i="5"/>
  <c r="BE118" i="5"/>
  <c r="AD118" i="5"/>
  <c r="AC154" i="5"/>
  <c r="AD154" i="5"/>
  <c r="BE154" i="5"/>
  <c r="AC29" i="5"/>
  <c r="AD29" i="5"/>
  <c r="BE29" i="5"/>
  <c r="AC278" i="5"/>
  <c r="BE278" i="5"/>
  <c r="AD278" i="5"/>
  <c r="AC197" i="5"/>
  <c r="BE197" i="5"/>
  <c r="AD197" i="5"/>
  <c r="X13" i="5"/>
  <c r="W13" i="5"/>
  <c r="X476" i="5"/>
  <c r="W476" i="5"/>
  <c r="X469" i="5"/>
  <c r="W469" i="5"/>
  <c r="X357" i="5"/>
  <c r="W357" i="5"/>
  <c r="W387" i="5"/>
  <c r="X387" i="5"/>
  <c r="X495" i="5"/>
  <c r="W495" i="5"/>
  <c r="W280" i="5"/>
  <c r="X280" i="5"/>
  <c r="X429" i="5"/>
  <c r="W429" i="5"/>
  <c r="W262" i="5"/>
  <c r="X262" i="5"/>
  <c r="X68" i="5"/>
  <c r="W68" i="5"/>
  <c r="W532" i="5"/>
  <c r="X532" i="5"/>
  <c r="W294" i="5"/>
  <c r="X294" i="5"/>
  <c r="X270" i="5"/>
  <c r="W270" i="5"/>
  <c r="W308" i="5"/>
  <c r="X308" i="5"/>
  <c r="W34" i="5"/>
  <c r="X34" i="5"/>
  <c r="W499" i="5"/>
  <c r="X499" i="5"/>
  <c r="X542" i="5"/>
  <c r="W542" i="5"/>
  <c r="X460" i="5"/>
  <c r="W460" i="5"/>
  <c r="W380" i="5"/>
  <c r="X380" i="5"/>
  <c r="X51" i="5"/>
  <c r="W51" i="5"/>
  <c r="W411" i="5"/>
  <c r="X411" i="5"/>
  <c r="W514" i="5"/>
  <c r="X514" i="5"/>
  <c r="W443" i="5"/>
  <c r="X443" i="5"/>
  <c r="W402" i="5"/>
  <c r="X402" i="5"/>
  <c r="W187" i="5"/>
  <c r="X187" i="5"/>
  <c r="X113" i="5"/>
  <c r="W113" i="5"/>
  <c r="W484" i="5"/>
  <c r="X484" i="5"/>
  <c r="W413" i="5"/>
  <c r="X413" i="5"/>
  <c r="W240" i="5"/>
  <c r="X240" i="5"/>
  <c r="W33" i="5"/>
  <c r="X33" i="5"/>
  <c r="W60" i="5"/>
  <c r="X60" i="5"/>
  <c r="X457" i="5"/>
  <c r="W457" i="5"/>
  <c r="X401" i="5"/>
  <c r="W401" i="5"/>
  <c r="W151" i="5"/>
  <c r="X151" i="5"/>
  <c r="X343" i="5"/>
  <c r="W343" i="5"/>
  <c r="X154" i="5"/>
  <c r="W154" i="5"/>
  <c r="W556" i="5"/>
  <c r="X556" i="5"/>
  <c r="X404" i="5"/>
  <c r="W404" i="5"/>
  <c r="W346" i="5"/>
  <c r="X346" i="5"/>
  <c r="X278" i="5"/>
  <c r="W278" i="5"/>
  <c r="W62" i="5"/>
  <c r="X62" i="5"/>
  <c r="X289" i="5"/>
  <c r="W289" i="5"/>
  <c r="X197" i="5"/>
  <c r="W197" i="5"/>
  <c r="X130" i="5"/>
  <c r="W130" i="5"/>
  <c r="W49" i="5"/>
  <c r="X49" i="5"/>
  <c r="X148" i="5"/>
  <c r="W148" i="5"/>
  <c r="W292" i="5"/>
  <c r="X292" i="5"/>
  <c r="W335" i="5"/>
  <c r="X335" i="5"/>
  <c r="X126" i="5"/>
  <c r="W126" i="5"/>
  <c r="X179" i="5"/>
  <c r="W179" i="5"/>
  <c r="W50" i="5"/>
  <c r="X50" i="5"/>
  <c r="W29" i="5"/>
  <c r="X29" i="5"/>
  <c r="X467" i="5"/>
  <c r="W467" i="5"/>
  <c r="X158" i="5"/>
  <c r="W158" i="5"/>
  <c r="X297" i="5"/>
  <c r="W297" i="5"/>
  <c r="W291" i="5"/>
  <c r="X291" i="5"/>
  <c r="W31" i="5"/>
  <c r="X31" i="5"/>
  <c r="X123" i="5"/>
  <c r="W123" i="5"/>
  <c r="X67" i="5"/>
  <c r="W67" i="5"/>
  <c r="W118" i="5"/>
  <c r="X118" i="5"/>
  <c r="W504" i="5"/>
  <c r="X504" i="5"/>
  <c r="W191" i="5"/>
  <c r="X191" i="5"/>
  <c r="X348" i="5"/>
  <c r="W348" i="5"/>
  <c r="X513" i="5"/>
  <c r="W513" i="5"/>
  <c r="W111" i="5"/>
  <c r="X111" i="5"/>
  <c r="X92" i="5"/>
  <c r="W92" i="5"/>
  <c r="W141" i="5"/>
  <c r="X141" i="5"/>
  <c r="W407" i="5"/>
  <c r="X407" i="5"/>
  <c r="AD220" i="5"/>
  <c r="AC220" i="5"/>
  <c r="BE220" i="5"/>
  <c r="AC520" i="5"/>
  <c r="AD520" i="5"/>
  <c r="BE520" i="5"/>
  <c r="AC147" i="5"/>
  <c r="BE147" i="5"/>
  <c r="AD147" i="5"/>
  <c r="AC461" i="5"/>
  <c r="AD461" i="5"/>
  <c r="BE461" i="5"/>
  <c r="AC63" i="5"/>
  <c r="BE63" i="5"/>
  <c r="AD63" i="5"/>
  <c r="X11" i="5"/>
  <c r="W11" i="5"/>
  <c r="X314" i="5"/>
  <c r="W314" i="5"/>
  <c r="W365" i="5"/>
  <c r="X365" i="5"/>
  <c r="X534" i="5"/>
  <c r="W534" i="5"/>
  <c r="X235" i="5"/>
  <c r="W235" i="5"/>
  <c r="W12" i="5"/>
  <c r="X12" i="5"/>
  <c r="X479" i="5"/>
  <c r="W479" i="5"/>
  <c r="X471" i="5"/>
  <c r="W471" i="5"/>
  <c r="X285" i="5"/>
  <c r="W285" i="5"/>
  <c r="X181" i="5"/>
  <c r="W181" i="5"/>
  <c r="W105" i="5"/>
  <c r="X105" i="5"/>
  <c r="W521" i="5"/>
  <c r="X521" i="5"/>
  <c r="W537" i="5"/>
  <c r="X537" i="5"/>
  <c r="X325" i="5"/>
  <c r="W325" i="5"/>
  <c r="X298" i="5"/>
  <c r="W298" i="5"/>
  <c r="X347" i="5"/>
  <c r="W347" i="5"/>
  <c r="W426" i="5"/>
  <c r="X426" i="5"/>
  <c r="X414" i="5"/>
  <c r="W414" i="5"/>
  <c r="X317" i="5"/>
  <c r="W317" i="5"/>
  <c r="X56" i="5"/>
  <c r="W56" i="5"/>
  <c r="W315" i="5"/>
  <c r="X315" i="5"/>
  <c r="W519" i="5"/>
  <c r="X519" i="5"/>
  <c r="W409" i="5"/>
  <c r="X409" i="5"/>
  <c r="X557" i="5"/>
  <c r="W557" i="5"/>
  <c r="X283" i="5"/>
  <c r="W283" i="5"/>
  <c r="W39" i="5"/>
  <c r="X39" i="5"/>
  <c r="X232" i="5"/>
  <c r="W232" i="5"/>
  <c r="X455" i="5"/>
  <c r="W455" i="5"/>
  <c r="X281" i="5"/>
  <c r="W281" i="5"/>
  <c r="W286" i="5"/>
  <c r="X286" i="5"/>
  <c r="W116" i="5"/>
  <c r="X116" i="5"/>
  <c r="X307" i="5"/>
  <c r="W307" i="5"/>
  <c r="X520" i="5"/>
  <c r="W520" i="5"/>
  <c r="W480" i="5"/>
  <c r="X480" i="5"/>
  <c r="X303" i="5"/>
  <c r="W303" i="5"/>
  <c r="W188" i="5"/>
  <c r="X188" i="5"/>
  <c r="X331" i="5"/>
  <c r="W331" i="5"/>
  <c r="W552" i="5"/>
  <c r="X552" i="5"/>
  <c r="W389" i="5"/>
  <c r="X389" i="5"/>
  <c r="W63" i="5"/>
  <c r="X63" i="5"/>
  <c r="X329" i="5"/>
  <c r="W329" i="5"/>
  <c r="W79" i="5"/>
  <c r="X79" i="5"/>
  <c r="X267" i="5"/>
  <c r="W267" i="5"/>
  <c r="X178" i="5"/>
  <c r="W178" i="5"/>
  <c r="W169" i="5"/>
  <c r="X169" i="5"/>
  <c r="W260" i="5"/>
  <c r="X260" i="5"/>
  <c r="W372" i="5"/>
  <c r="X372" i="5"/>
  <c r="W461" i="5"/>
  <c r="X461" i="5"/>
  <c r="W210" i="5"/>
  <c r="X210" i="5"/>
  <c r="W206" i="5"/>
  <c r="X206" i="5"/>
  <c r="X73" i="5"/>
  <c r="W73" i="5"/>
  <c r="W75" i="5"/>
  <c r="X75" i="5"/>
  <c r="W223" i="5"/>
  <c r="X223" i="5"/>
  <c r="X432" i="5"/>
  <c r="W432" i="5"/>
  <c r="W209" i="5"/>
  <c r="X209" i="5"/>
  <c r="W332" i="5"/>
  <c r="X332" i="5"/>
  <c r="X66" i="5"/>
  <c r="W66" i="5"/>
  <c r="W147" i="5"/>
  <c r="X147" i="5"/>
  <c r="X71" i="5"/>
  <c r="W71" i="5"/>
  <c r="X43" i="5"/>
  <c r="W43" i="5"/>
  <c r="X19" i="5"/>
  <c r="W19" i="5"/>
  <c r="X454" i="5"/>
  <c r="W454" i="5"/>
  <c r="X220" i="5"/>
  <c r="W220" i="5"/>
  <c r="W512" i="5"/>
  <c r="X512" i="5"/>
  <c r="W539" i="5"/>
  <c r="X539" i="5"/>
  <c r="W161" i="5"/>
  <c r="X161" i="5"/>
  <c r="X35" i="5"/>
  <c r="W35" i="5"/>
  <c r="X233" i="5"/>
  <c r="W233" i="5"/>
  <c r="X500" i="5"/>
  <c r="W500" i="5"/>
  <c r="AC384" i="5"/>
  <c r="BE384" i="5"/>
  <c r="AD384" i="5"/>
  <c r="AC320" i="5"/>
  <c r="AD320" i="5"/>
  <c r="BE320" i="5"/>
  <c r="AC491" i="5"/>
  <c r="AD491" i="5"/>
  <c r="BE491" i="5"/>
  <c r="AC533" i="5"/>
  <c r="AD533" i="5"/>
  <c r="BE533" i="5"/>
  <c r="AC30" i="5"/>
  <c r="AD30" i="5"/>
  <c r="BE30" i="5"/>
  <c r="AC61" i="5"/>
  <c r="AD61" i="5"/>
  <c r="BE61" i="5"/>
  <c r="AC38" i="5"/>
  <c r="BE38" i="5"/>
  <c r="AD38" i="5"/>
  <c r="AC478" i="5"/>
  <c r="AD478" i="5"/>
  <c r="BE478" i="5"/>
  <c r="AD547" i="5"/>
  <c r="AC547" i="5"/>
  <c r="BE547" i="5"/>
  <c r="X8" i="5"/>
  <c r="W8" i="5"/>
  <c r="X376" i="5"/>
  <c r="W376" i="5"/>
  <c r="X22" i="5"/>
  <c r="W22" i="5"/>
  <c r="X254" i="5"/>
  <c r="W254" i="5"/>
  <c r="X47" i="5"/>
  <c r="W47" i="5"/>
  <c r="X506" i="5"/>
  <c r="W506" i="5"/>
  <c r="X496" i="5"/>
  <c r="W496" i="5"/>
  <c r="X384" i="5"/>
  <c r="W384" i="5"/>
  <c r="X186" i="5"/>
  <c r="W186" i="5"/>
  <c r="W173" i="5"/>
  <c r="X173" i="5"/>
  <c r="X32" i="5"/>
  <c r="W32" i="5"/>
  <c r="W405" i="5"/>
  <c r="X405" i="5"/>
  <c r="X464" i="5"/>
  <c r="W464" i="5"/>
  <c r="W259" i="5"/>
  <c r="X259" i="5"/>
  <c r="X150" i="5"/>
  <c r="W150" i="5"/>
  <c r="W547" i="5"/>
  <c r="X547" i="5"/>
  <c r="W533" i="5"/>
  <c r="X533" i="5"/>
  <c r="W242" i="5"/>
  <c r="X242" i="5"/>
  <c r="X359" i="5"/>
  <c r="W359" i="5"/>
  <c r="X247" i="5"/>
  <c r="W247" i="5"/>
  <c r="W38" i="5"/>
  <c r="X38" i="5"/>
  <c r="W535" i="5"/>
  <c r="X535" i="5"/>
  <c r="X525" i="5"/>
  <c r="W525" i="5"/>
  <c r="X438" i="5"/>
  <c r="W438" i="5"/>
  <c r="X354" i="5"/>
  <c r="W354" i="5"/>
  <c r="X403" i="5"/>
  <c r="W403" i="5"/>
  <c r="X324" i="5"/>
  <c r="W324" i="5"/>
  <c r="W483" i="5"/>
  <c r="X483" i="5"/>
  <c r="W425" i="5"/>
  <c r="X425" i="5"/>
  <c r="W350" i="5"/>
  <c r="X350" i="5"/>
  <c r="W30" i="5"/>
  <c r="X30" i="5"/>
  <c r="X192" i="5"/>
  <c r="W192" i="5"/>
  <c r="W472" i="5"/>
  <c r="X472" i="5"/>
  <c r="X397" i="5"/>
  <c r="W397" i="5"/>
  <c r="W214" i="5"/>
  <c r="X214" i="5"/>
  <c r="X70" i="5"/>
  <c r="W70" i="5"/>
  <c r="W54" i="5"/>
  <c r="X54" i="5"/>
  <c r="X491" i="5"/>
  <c r="W491" i="5"/>
  <c r="W458" i="5"/>
  <c r="X458" i="5"/>
  <c r="W272" i="5"/>
  <c r="X272" i="5"/>
  <c r="X195" i="5"/>
  <c r="W195" i="5"/>
  <c r="X231" i="5"/>
  <c r="W231" i="5"/>
  <c r="W224" i="5"/>
  <c r="X224" i="5"/>
  <c r="W290" i="5"/>
  <c r="X290" i="5"/>
  <c r="X138" i="5"/>
  <c r="W138" i="5"/>
  <c r="X171" i="5"/>
  <c r="W171" i="5"/>
  <c r="X182" i="5"/>
  <c r="W182" i="5"/>
  <c r="W423" i="5"/>
  <c r="X423" i="5"/>
  <c r="X305" i="5"/>
  <c r="W305" i="5"/>
  <c r="X156" i="5"/>
  <c r="W156" i="5"/>
  <c r="X115" i="5"/>
  <c r="W115" i="5"/>
  <c r="X61" i="5"/>
  <c r="W61" i="5"/>
  <c r="X279" i="5"/>
  <c r="W279" i="5"/>
  <c r="W508" i="5"/>
  <c r="X508" i="5"/>
  <c r="X110" i="5"/>
  <c r="W110" i="5"/>
  <c r="W478" i="5"/>
  <c r="X478" i="5"/>
  <c r="W299" i="5"/>
  <c r="X299" i="5"/>
  <c r="W124" i="5"/>
  <c r="X124" i="5"/>
  <c r="X23" i="5"/>
  <c r="W23" i="5"/>
  <c r="W243" i="5"/>
  <c r="X243" i="5"/>
  <c r="X251" i="5"/>
  <c r="W251" i="5"/>
  <c r="X276" i="5"/>
  <c r="W276" i="5"/>
  <c r="W198" i="5"/>
  <c r="X198" i="5"/>
  <c r="X415" i="5"/>
  <c r="W415" i="5"/>
  <c r="W543" i="5"/>
  <c r="X543" i="5"/>
  <c r="W82" i="5"/>
  <c r="X82" i="5"/>
  <c r="W408" i="5"/>
  <c r="X408" i="5"/>
  <c r="W94" i="5"/>
  <c r="X94" i="5"/>
  <c r="W320" i="5"/>
  <c r="X320" i="5"/>
  <c r="AD386" i="5"/>
  <c r="AC386" i="5"/>
  <c r="BE386" i="5"/>
  <c r="BE166" i="5"/>
  <c r="AC166" i="5"/>
  <c r="AD166" i="5"/>
  <c r="AD527" i="5"/>
  <c r="BE527" i="5"/>
  <c r="AC527" i="5"/>
  <c r="AD477" i="5"/>
  <c r="AC477" i="5"/>
  <c r="BE477" i="5"/>
  <c r="AC164" i="5"/>
  <c r="BE164" i="5"/>
  <c r="AD164" i="5"/>
  <c r="AD221" i="5"/>
  <c r="AC221" i="5"/>
  <c r="BE221" i="5"/>
  <c r="X527" i="5"/>
  <c r="W527" i="5"/>
  <c r="X266" i="5"/>
  <c r="W266" i="5"/>
  <c r="W349" i="5"/>
  <c r="X349" i="5"/>
  <c r="X246" i="5"/>
  <c r="W246" i="5"/>
  <c r="X10" i="5"/>
  <c r="W10" i="5"/>
  <c r="X395" i="5"/>
  <c r="W395" i="5"/>
  <c r="W538" i="5"/>
  <c r="X538" i="5"/>
  <c r="X386" i="5"/>
  <c r="W386" i="5"/>
  <c r="W287" i="5"/>
  <c r="X287" i="5"/>
  <c r="X216" i="5"/>
  <c r="W216" i="5"/>
  <c r="W263" i="5"/>
  <c r="X263" i="5"/>
  <c r="X481" i="5"/>
  <c r="W481" i="5"/>
  <c r="W424" i="5"/>
  <c r="X424" i="5"/>
  <c r="W166" i="5"/>
  <c r="X166" i="5"/>
  <c r="W136" i="5"/>
  <c r="X136" i="5"/>
  <c r="W36" i="5"/>
  <c r="X36" i="5"/>
  <c r="X544" i="5"/>
  <c r="W544" i="5"/>
  <c r="X509" i="5"/>
  <c r="W509" i="5"/>
  <c r="X345" i="5"/>
  <c r="W345" i="5"/>
  <c r="X237" i="5"/>
  <c r="W237" i="5"/>
  <c r="X24" i="5"/>
  <c r="W24" i="5"/>
  <c r="X546" i="5"/>
  <c r="W546" i="5"/>
  <c r="X447" i="5"/>
  <c r="W447" i="5"/>
  <c r="W391" i="5"/>
  <c r="X391" i="5"/>
  <c r="X366" i="5"/>
  <c r="W366" i="5"/>
  <c r="X193" i="5"/>
  <c r="W193" i="5"/>
  <c r="W433" i="5"/>
  <c r="X433" i="5"/>
  <c r="W427" i="5"/>
  <c r="X427" i="5"/>
  <c r="X536" i="5"/>
  <c r="W536" i="5"/>
  <c r="AB265" i="5"/>
  <c r="W265" i="5"/>
  <c r="X265" i="5"/>
  <c r="X152" i="5"/>
  <c r="W152" i="5"/>
  <c r="X98" i="5"/>
  <c r="W98" i="5"/>
  <c r="X417" i="5"/>
  <c r="W417" i="5"/>
  <c r="X189" i="5"/>
  <c r="W189" i="5"/>
  <c r="X296" i="5"/>
  <c r="W296" i="5"/>
  <c r="W52" i="5"/>
  <c r="X52" i="5"/>
  <c r="W145" i="5"/>
  <c r="X145" i="5"/>
  <c r="W470" i="5"/>
  <c r="X470" i="5"/>
  <c r="X416" i="5"/>
  <c r="W416" i="5"/>
  <c r="X183" i="5"/>
  <c r="W183" i="5"/>
  <c r="X185" i="5"/>
  <c r="W185" i="5"/>
  <c r="W48" i="5"/>
  <c r="X48" i="5"/>
  <c r="X396" i="5"/>
  <c r="W396" i="5"/>
  <c r="X119" i="5"/>
  <c r="W119" i="5"/>
  <c r="W211" i="5"/>
  <c r="X211" i="5"/>
  <c r="W99" i="5"/>
  <c r="X99" i="5"/>
  <c r="X248" i="5"/>
  <c r="W248" i="5"/>
  <c r="W503" i="5"/>
  <c r="X503" i="5"/>
  <c r="X221" i="5"/>
  <c r="W221" i="5"/>
  <c r="X184" i="5"/>
  <c r="W184" i="5"/>
  <c r="X108" i="5"/>
  <c r="W108" i="5"/>
  <c r="W101" i="5"/>
  <c r="X101" i="5"/>
  <c r="X143" i="5"/>
  <c r="W143" i="5"/>
  <c r="X367" i="5"/>
  <c r="W367" i="5"/>
  <c r="W264" i="5"/>
  <c r="X264" i="5"/>
  <c r="X436" i="5"/>
  <c r="W436" i="5"/>
  <c r="W95" i="5"/>
  <c r="X95" i="5"/>
  <c r="X164" i="5"/>
  <c r="W164" i="5"/>
  <c r="W28" i="5"/>
  <c r="X28" i="5"/>
  <c r="X122" i="5"/>
  <c r="W122" i="5"/>
  <c r="X252" i="5"/>
  <c r="W252" i="5"/>
  <c r="W477" i="5"/>
  <c r="X477" i="5"/>
  <c r="X91" i="5"/>
  <c r="W91" i="5"/>
  <c r="W459" i="5"/>
  <c r="X459" i="5"/>
  <c r="X163" i="5"/>
  <c r="W163" i="5"/>
  <c r="W45" i="5"/>
  <c r="X45" i="5"/>
  <c r="X125" i="5"/>
  <c r="W125" i="5"/>
  <c r="X449" i="5"/>
  <c r="W449" i="5"/>
  <c r="X282" i="5"/>
  <c r="W282" i="5"/>
  <c r="AC133" i="5"/>
  <c r="AD133" i="5"/>
  <c r="BE133" i="5"/>
  <c r="AD207" i="5"/>
  <c r="AC207" i="5"/>
  <c r="BE207" i="5"/>
  <c r="AC107" i="5"/>
  <c r="AD107" i="5"/>
  <c r="BE107" i="5"/>
  <c r="AD284" i="5"/>
  <c r="AC284" i="5"/>
  <c r="BE284" i="5"/>
  <c r="X318" i="5"/>
  <c r="W318" i="5"/>
  <c r="X133" i="5"/>
  <c r="W133" i="5"/>
  <c r="W434" i="5"/>
  <c r="X434" i="5"/>
  <c r="X250" i="5"/>
  <c r="W250" i="5"/>
  <c r="X517" i="5"/>
  <c r="W517" i="5"/>
  <c r="W338" i="5"/>
  <c r="X338" i="5"/>
  <c r="X442" i="5"/>
  <c r="W442" i="5"/>
  <c r="W410" i="5"/>
  <c r="X410" i="5"/>
  <c r="W313" i="5"/>
  <c r="X313" i="5"/>
  <c r="X215" i="5"/>
  <c r="W215" i="5"/>
  <c r="X207" i="5"/>
  <c r="W207" i="5"/>
  <c r="X523" i="5"/>
  <c r="W523" i="5"/>
  <c r="X358" i="5"/>
  <c r="W358" i="5"/>
  <c r="X230" i="5"/>
  <c r="W230" i="5"/>
  <c r="W160" i="5"/>
  <c r="X160" i="5"/>
  <c r="W104" i="5"/>
  <c r="X104" i="5"/>
  <c r="W492" i="5"/>
  <c r="X492" i="5"/>
  <c r="W422" i="5"/>
  <c r="X422" i="5"/>
  <c r="X238" i="5"/>
  <c r="W238" i="5"/>
  <c r="W55" i="5"/>
  <c r="X55" i="5"/>
  <c r="X74" i="5"/>
  <c r="W74" i="5"/>
  <c r="X489" i="5"/>
  <c r="W489" i="5"/>
  <c r="W441" i="5"/>
  <c r="X441" i="5"/>
  <c r="W328" i="5"/>
  <c r="X328" i="5"/>
  <c r="X53" i="5"/>
  <c r="W53" i="5"/>
  <c r="W40" i="5"/>
  <c r="X40" i="5"/>
  <c r="X545" i="5"/>
  <c r="W545" i="5"/>
  <c r="X530" i="5"/>
  <c r="W530" i="5"/>
  <c r="W448" i="5"/>
  <c r="X448" i="5"/>
  <c r="X355" i="5"/>
  <c r="W355" i="5"/>
  <c r="W168" i="5"/>
  <c r="X168" i="5"/>
  <c r="X377" i="5"/>
  <c r="W377" i="5"/>
  <c r="W462" i="5"/>
  <c r="X462" i="5"/>
  <c r="W390" i="5"/>
  <c r="X390" i="5"/>
  <c r="W309" i="5"/>
  <c r="X309" i="5"/>
  <c r="W88" i="5"/>
  <c r="X88" i="5"/>
  <c r="X463" i="5"/>
  <c r="W463" i="5"/>
  <c r="X419" i="5"/>
  <c r="W419" i="5"/>
  <c r="X388" i="5"/>
  <c r="W388" i="5"/>
  <c r="W284" i="5"/>
  <c r="X284" i="5"/>
  <c r="W201" i="5"/>
  <c r="X201" i="5"/>
  <c r="W107" i="5"/>
  <c r="X107" i="5"/>
  <c r="X249" i="5"/>
  <c r="W249" i="5"/>
  <c r="X204" i="5"/>
  <c r="W204" i="5"/>
  <c r="W149" i="5"/>
  <c r="X149" i="5"/>
  <c r="W100" i="5"/>
  <c r="X100" i="5"/>
  <c r="X114" i="5"/>
  <c r="W114" i="5"/>
  <c r="X340" i="5"/>
  <c r="W340" i="5"/>
  <c r="W339" i="5"/>
  <c r="X339" i="5"/>
  <c r="W44" i="5"/>
  <c r="X44" i="5"/>
  <c r="W400" i="5"/>
  <c r="X400" i="5"/>
  <c r="X117" i="5"/>
  <c r="W117" i="5"/>
  <c r="W323" i="5"/>
  <c r="X323" i="5"/>
  <c r="X363" i="5"/>
  <c r="W363" i="5"/>
  <c r="X497" i="5"/>
  <c r="W497" i="5"/>
  <c r="W275" i="5"/>
  <c r="X275" i="5"/>
  <c r="X288" i="5"/>
  <c r="W288" i="5"/>
  <c r="X222" i="5"/>
  <c r="W222" i="5"/>
  <c r="X134" i="5"/>
  <c r="W134" i="5"/>
  <c r="X175" i="5"/>
  <c r="W175" i="5"/>
  <c r="X392" i="5"/>
  <c r="W392" i="5"/>
  <c r="X555" i="5"/>
  <c r="W555" i="5"/>
  <c r="X257" i="5"/>
  <c r="W257" i="5"/>
  <c r="X378" i="5"/>
  <c r="W378" i="5"/>
  <c r="X203" i="5"/>
  <c r="W203" i="5"/>
  <c r="X57" i="5"/>
  <c r="W57" i="5"/>
  <c r="X261" i="5"/>
  <c r="W261" i="5"/>
  <c r="W518" i="5"/>
  <c r="X518" i="5"/>
  <c r="W559" i="5"/>
  <c r="X559" i="5"/>
  <c r="AC522" i="5"/>
  <c r="AD522" i="5"/>
  <c r="BE522" i="5"/>
  <c r="AC342" i="5"/>
  <c r="AD342" i="5"/>
  <c r="BE342" i="5"/>
  <c r="AD83" i="5"/>
  <c r="AC83" i="5"/>
  <c r="BE83" i="5"/>
  <c r="AD97" i="5"/>
  <c r="AC97" i="5"/>
  <c r="BE97" i="5"/>
  <c r="AC511" i="5"/>
  <c r="BE511" i="5"/>
  <c r="AD511" i="5"/>
  <c r="AC502" i="5"/>
  <c r="AD502" i="5"/>
  <c r="BE502" i="5"/>
  <c r="X218" i="5"/>
  <c r="W218" i="5"/>
  <c r="W83" i="5"/>
  <c r="X83" i="5"/>
  <c r="W393" i="5"/>
  <c r="X393" i="5"/>
  <c r="X21" i="5"/>
  <c r="W21" i="5"/>
  <c r="W431" i="5"/>
  <c r="X431" i="5"/>
  <c r="X180" i="5"/>
  <c r="W180" i="5"/>
  <c r="W399" i="5"/>
  <c r="X399" i="5"/>
  <c r="X487" i="5"/>
  <c r="W487" i="5"/>
  <c r="W112" i="5"/>
  <c r="X112" i="5"/>
  <c r="X155" i="5"/>
  <c r="W155" i="5"/>
  <c r="X172" i="5"/>
  <c r="W172" i="5"/>
  <c r="W428" i="5"/>
  <c r="X428" i="5"/>
  <c r="W394" i="5"/>
  <c r="X394" i="5"/>
  <c r="X364" i="5"/>
  <c r="W364" i="5"/>
  <c r="W128" i="5"/>
  <c r="X128" i="5"/>
  <c r="W253" i="5"/>
  <c r="X253" i="5"/>
  <c r="W511" i="5"/>
  <c r="X511" i="5"/>
  <c r="X360" i="5"/>
  <c r="W360" i="5"/>
  <c r="W321" i="5"/>
  <c r="X321" i="5"/>
  <c r="X135" i="5"/>
  <c r="W135" i="5"/>
  <c r="X90" i="5"/>
  <c r="W90" i="5"/>
  <c r="X550" i="5"/>
  <c r="W550" i="5"/>
  <c r="X468" i="5"/>
  <c r="W468" i="5"/>
  <c r="X337" i="5"/>
  <c r="W337" i="5"/>
  <c r="X229" i="5"/>
  <c r="W229" i="5"/>
  <c r="W41" i="5"/>
  <c r="X41" i="5"/>
  <c r="W529" i="5"/>
  <c r="X529" i="5"/>
  <c r="W219" i="5"/>
  <c r="X219" i="5"/>
  <c r="X361" i="5"/>
  <c r="W361" i="5"/>
  <c r="X341" i="5"/>
  <c r="W341" i="5"/>
  <c r="X103" i="5"/>
  <c r="W103" i="5"/>
  <c r="X473" i="5"/>
  <c r="W473" i="5"/>
  <c r="X412" i="5"/>
  <c r="W412" i="5"/>
  <c r="X528" i="5"/>
  <c r="W528" i="5"/>
  <c r="X274" i="5"/>
  <c r="W274" i="5"/>
  <c r="W131" i="5"/>
  <c r="X131" i="5"/>
  <c r="X342" i="5"/>
  <c r="W342" i="5"/>
  <c r="W490" i="5"/>
  <c r="X490" i="5"/>
  <c r="X444" i="5"/>
  <c r="W444" i="5"/>
  <c r="W351" i="5"/>
  <c r="X351" i="5"/>
  <c r="W217" i="5"/>
  <c r="X217" i="5"/>
  <c r="W80" i="5"/>
  <c r="X80" i="5"/>
  <c r="X330" i="5"/>
  <c r="W330" i="5"/>
  <c r="X97" i="5"/>
  <c r="W97" i="5"/>
  <c r="W78" i="5"/>
  <c r="X78" i="5"/>
  <c r="X85" i="5"/>
  <c r="W85" i="5"/>
  <c r="W502" i="5"/>
  <c r="X502" i="5"/>
  <c r="X356" i="5"/>
  <c r="W356" i="5"/>
  <c r="W194" i="5"/>
  <c r="X194" i="5"/>
  <c r="W139" i="5"/>
  <c r="X139" i="5"/>
  <c r="W526" i="5"/>
  <c r="X526" i="5"/>
  <c r="W102" i="5"/>
  <c r="X102" i="5"/>
  <c r="W312" i="5"/>
  <c r="X312" i="5"/>
  <c r="W522" i="5"/>
  <c r="X522" i="5"/>
  <c r="W225" i="5"/>
  <c r="X225" i="5"/>
  <c r="X474" i="5"/>
  <c r="W474" i="5"/>
  <c r="W379" i="5"/>
  <c r="X379" i="5"/>
  <c r="W89" i="5"/>
  <c r="X89" i="5"/>
  <c r="X86" i="5"/>
  <c r="W86" i="5"/>
  <c r="X190" i="5"/>
  <c r="W190" i="5"/>
  <c r="X370" i="5"/>
  <c r="W370" i="5"/>
  <c r="W540" i="5"/>
  <c r="X540" i="5"/>
  <c r="W132" i="5"/>
  <c r="X132" i="5"/>
  <c r="X316" i="5"/>
  <c r="W316" i="5"/>
  <c r="X46" i="5"/>
  <c r="W46" i="5"/>
  <c r="X109" i="5"/>
  <c r="W109" i="5"/>
  <c r="X208" i="5"/>
  <c r="W208" i="5"/>
  <c r="W421" i="5"/>
  <c r="X421" i="5"/>
  <c r="X548" i="5"/>
  <c r="W548" i="5"/>
  <c r="I40" i="2"/>
  <c r="AO106" i="6" l="1"/>
  <c r="AU106" i="6" s="1"/>
  <c r="AW106" i="6" s="1"/>
  <c r="AU69" i="6"/>
  <c r="AW69" i="6" s="1"/>
  <c r="AU136" i="6"/>
  <c r="AW136" i="6" s="1"/>
  <c r="AU83" i="8"/>
  <c r="AW83" i="8" s="1"/>
  <c r="AU72" i="8"/>
  <c r="AW72" i="8" s="1"/>
  <c r="AU17" i="8"/>
  <c r="AW17" i="8" s="1"/>
  <c r="AO76" i="6"/>
  <c r="AU76" i="6" s="1"/>
  <c r="AW76" i="6" s="1"/>
  <c r="AU154" i="8"/>
  <c r="AW154" i="8" s="1"/>
  <c r="AU39" i="8"/>
  <c r="AW39" i="8" s="1"/>
  <c r="AU129" i="8"/>
  <c r="AW129" i="8" s="1"/>
  <c r="AU126" i="8"/>
  <c r="AW126" i="8" s="1"/>
  <c r="AU157" i="8"/>
  <c r="AW157" i="8" s="1"/>
  <c r="AU43" i="8"/>
  <c r="AW43" i="8" s="1"/>
  <c r="AU72" i="6"/>
  <c r="AW72" i="6" s="1"/>
  <c r="AU156" i="8"/>
  <c r="AW156" i="8" s="1"/>
  <c r="AU16" i="8"/>
  <c r="AW16" i="8" s="1"/>
  <c r="AU74" i="8"/>
  <c r="AW74" i="8" s="1"/>
  <c r="AU145" i="8"/>
  <c r="AW145" i="8" s="1"/>
  <c r="AU135" i="8"/>
  <c r="AW135" i="8" s="1"/>
  <c r="AO111" i="6"/>
  <c r="AU111" i="6" s="1"/>
  <c r="AW111" i="6" s="1"/>
  <c r="AO81" i="6"/>
  <c r="AU81" i="6" s="1"/>
  <c r="AW81" i="6" s="1"/>
  <c r="AU93" i="6"/>
  <c r="AW93" i="6" s="1"/>
  <c r="AU71" i="6"/>
  <c r="AW71" i="6" s="1"/>
  <c r="AO101" i="6"/>
  <c r="AU101" i="6" s="1"/>
  <c r="AW101" i="6" s="1"/>
  <c r="AU126" i="6"/>
  <c r="AW126" i="6" s="1"/>
  <c r="AO149" i="6"/>
  <c r="AU149" i="6" s="1"/>
  <c r="AW149" i="6" s="1"/>
  <c r="AU74" i="6"/>
  <c r="AW74" i="6" s="1"/>
  <c r="AO120" i="6"/>
  <c r="AU120" i="6" s="1"/>
  <c r="AW120" i="6" s="1"/>
  <c r="AO63" i="6"/>
  <c r="AU63" i="6" s="1"/>
  <c r="AW63" i="6" s="1"/>
  <c r="AU59" i="6"/>
  <c r="AW59" i="6" s="1"/>
  <c r="AO109" i="6"/>
  <c r="AU109" i="6" s="1"/>
  <c r="AW109" i="6" s="1"/>
  <c r="AU85" i="8"/>
  <c r="AW85" i="8" s="1"/>
  <c r="AO60" i="6"/>
  <c r="AU60" i="6" s="1"/>
  <c r="AW60" i="6" s="1"/>
  <c r="AU156" i="6"/>
  <c r="AW156" i="6" s="1"/>
  <c r="AU62" i="8"/>
  <c r="AW62" i="8" s="1"/>
  <c r="AO92" i="6"/>
  <c r="AU92" i="6" s="1"/>
  <c r="AW92" i="6" s="1"/>
  <c r="AU64" i="8"/>
  <c r="AW64" i="8" s="1"/>
  <c r="AU95" i="6"/>
  <c r="AW95" i="6" s="1"/>
  <c r="AU96" i="8"/>
  <c r="AW96" i="8" s="1"/>
  <c r="AU132" i="8"/>
  <c r="AW132" i="8" s="1"/>
  <c r="AU37" i="8"/>
  <c r="AW37" i="8" s="1"/>
  <c r="AU131" i="6"/>
  <c r="AW131" i="6" s="1"/>
  <c r="AU108" i="8"/>
  <c r="AW108" i="8" s="1"/>
  <c r="AU133" i="6"/>
  <c r="AW133" i="6" s="1"/>
  <c r="AC400" i="5"/>
  <c r="AO124" i="6"/>
  <c r="AU124" i="6" s="1"/>
  <c r="AW124" i="6" s="1"/>
  <c r="AU128" i="8"/>
  <c r="AW128" i="8" s="1"/>
  <c r="AU36" i="8"/>
  <c r="AW36" i="8" s="1"/>
  <c r="AU77" i="6"/>
  <c r="AW77" i="6" s="1"/>
  <c r="AU47" i="8"/>
  <c r="AW47" i="8" s="1"/>
  <c r="AU94" i="8"/>
  <c r="AW94" i="8" s="1"/>
  <c r="AU118" i="6"/>
  <c r="AW118" i="6" s="1"/>
  <c r="AU60" i="8"/>
  <c r="AW60" i="8" s="1"/>
  <c r="AU41" i="8"/>
  <c r="AW41" i="8" s="1"/>
  <c r="AU107" i="8"/>
  <c r="AW107" i="8" s="1"/>
  <c r="AU57" i="8"/>
  <c r="AW57" i="8" s="1"/>
  <c r="AO22" i="8"/>
  <c r="AU22" i="8" s="1"/>
  <c r="AW22" i="8" s="1"/>
  <c r="AU51" i="6"/>
  <c r="AW51" i="6" s="1"/>
  <c r="AO58" i="6"/>
  <c r="AU58" i="6" s="1"/>
  <c r="AW58" i="6" s="1"/>
  <c r="AU71" i="8"/>
  <c r="AW71" i="8" s="1"/>
  <c r="AU70" i="8"/>
  <c r="AW70" i="8" s="1"/>
  <c r="BE400" i="5"/>
  <c r="BG400" i="5" s="1"/>
  <c r="BL400" i="5" s="1"/>
  <c r="AU110" i="8"/>
  <c r="AW110" i="8" s="1"/>
  <c r="AO83" i="6"/>
  <c r="AU83" i="6" s="1"/>
  <c r="AW83" i="6" s="1"/>
  <c r="AU40" i="8"/>
  <c r="AW40" i="8" s="1"/>
  <c r="BE249" i="5"/>
  <c r="BF249" i="5" s="1"/>
  <c r="BK249" i="5" s="1"/>
  <c r="AU61" i="8"/>
  <c r="AW61" i="8" s="1"/>
  <c r="BE339" i="5"/>
  <c r="BF339" i="5" s="1"/>
  <c r="BK339" i="5" s="1"/>
  <c r="AO148" i="6"/>
  <c r="AU148" i="6" s="1"/>
  <c r="AW148" i="6" s="1"/>
  <c r="AU104" i="8"/>
  <c r="AW104" i="8" s="1"/>
  <c r="AU82" i="8"/>
  <c r="AW82" i="8" s="1"/>
  <c r="AU97" i="8"/>
  <c r="AW97" i="8" s="1"/>
  <c r="AU73" i="8"/>
  <c r="AW73" i="8" s="1"/>
  <c r="AC518" i="5"/>
  <c r="AO73" i="6"/>
  <c r="AU73" i="6" s="1"/>
  <c r="AW73" i="6" s="1"/>
  <c r="AU115" i="8"/>
  <c r="AW115" i="8" s="1"/>
  <c r="AU124" i="8"/>
  <c r="AW124" i="8" s="1"/>
  <c r="AC57" i="5"/>
  <c r="AU113" i="6"/>
  <c r="AW113" i="6" s="1"/>
  <c r="BE57" i="5"/>
  <c r="BG57" i="5" s="1"/>
  <c r="BL57" i="5" s="1"/>
  <c r="AU67" i="6"/>
  <c r="AW67" i="6" s="1"/>
  <c r="AO138" i="6"/>
  <c r="AU138" i="6" s="1"/>
  <c r="AW138" i="6" s="1"/>
  <c r="AO94" i="6"/>
  <c r="AU94" i="6" s="1"/>
  <c r="AW94" i="6" s="1"/>
  <c r="AU80" i="6"/>
  <c r="AW80" i="6" s="1"/>
  <c r="AU65" i="6"/>
  <c r="AW65" i="6" s="1"/>
  <c r="AO122" i="6"/>
  <c r="AU122" i="6" s="1"/>
  <c r="AW122" i="6" s="1"/>
  <c r="BE559" i="5"/>
  <c r="BF559" i="5" s="1"/>
  <c r="BK559" i="5" s="1"/>
  <c r="AD559" i="5"/>
  <c r="AC285" i="5"/>
  <c r="AD285" i="5"/>
  <c r="AO121" i="6"/>
  <c r="AU121" i="6" s="1"/>
  <c r="AW121" i="6" s="1"/>
  <c r="AU125" i="6"/>
  <c r="AW125" i="6" s="1"/>
  <c r="AC74" i="5"/>
  <c r="BE373" i="5"/>
  <c r="BF373" i="5" s="1"/>
  <c r="BK373" i="5" s="1"/>
  <c r="AU53" i="6"/>
  <c r="AW53" i="6" s="1"/>
  <c r="BE497" i="5"/>
  <c r="BF497" i="5" s="1"/>
  <c r="BK497" i="5" s="1"/>
  <c r="AU45" i="6"/>
  <c r="AW45" i="6" s="1"/>
  <c r="AC497" i="5"/>
  <c r="AU66" i="6"/>
  <c r="AW66" i="6" s="1"/>
  <c r="AO128" i="6"/>
  <c r="AU128" i="6" s="1"/>
  <c r="AW128" i="6" s="1"/>
  <c r="AU55" i="6"/>
  <c r="AW55" i="6" s="1"/>
  <c r="AO145" i="6"/>
  <c r="AU145" i="6" s="1"/>
  <c r="AW145" i="6" s="1"/>
  <c r="AC369" i="5"/>
  <c r="AO142" i="6"/>
  <c r="AU142" i="6" s="1"/>
  <c r="AW142" i="6" s="1"/>
  <c r="AU112" i="6"/>
  <c r="AW112" i="6" s="1"/>
  <c r="AC249" i="5"/>
  <c r="AD275" i="5"/>
  <c r="BE440" i="5"/>
  <c r="BF440" i="5" s="1"/>
  <c r="BK440" i="5" s="1"/>
  <c r="BE293" i="5"/>
  <c r="BF293" i="5" s="1"/>
  <c r="BK293" i="5" s="1"/>
  <c r="AD440" i="5"/>
  <c r="BE319" i="5"/>
  <c r="BF319" i="5" s="1"/>
  <c r="BK319" i="5" s="1"/>
  <c r="AC293" i="5"/>
  <c r="AD319" i="5"/>
  <c r="AD245" i="5"/>
  <c r="AO116" i="6"/>
  <c r="AU116" i="6" s="1"/>
  <c r="AW116" i="6" s="1"/>
  <c r="AO137" i="6"/>
  <c r="AU137" i="6" s="1"/>
  <c r="AW137" i="6" s="1"/>
  <c r="AO97" i="6"/>
  <c r="AU97" i="6" s="1"/>
  <c r="AW97" i="6" s="1"/>
  <c r="AU110" i="6"/>
  <c r="AW110" i="6" s="1"/>
  <c r="AU75" i="6"/>
  <c r="AW75" i="6" s="1"/>
  <c r="AU157" i="6"/>
  <c r="AW157" i="6" s="1"/>
  <c r="AO61" i="6"/>
  <c r="AU61" i="6" s="1"/>
  <c r="AW61" i="6" s="1"/>
  <c r="AO62" i="6"/>
  <c r="AU62" i="6" s="1"/>
  <c r="AW62" i="6" s="1"/>
  <c r="AU100" i="6"/>
  <c r="AW100" i="6" s="1"/>
  <c r="AO104" i="6"/>
  <c r="AU104" i="6" s="1"/>
  <c r="AW104" i="6" s="1"/>
  <c r="AU153" i="6"/>
  <c r="AW153" i="6" s="1"/>
  <c r="AU130" i="6"/>
  <c r="AW130" i="6" s="1"/>
  <c r="AU127" i="6"/>
  <c r="AW127" i="6" s="1"/>
  <c r="AD339" i="5"/>
  <c r="BE120" i="5"/>
  <c r="BF120" i="5" s="1"/>
  <c r="BK120" i="5" s="1"/>
  <c r="AC549" i="5"/>
  <c r="BE323" i="5"/>
  <c r="BF323" i="5" s="1"/>
  <c r="BK323" i="5" s="1"/>
  <c r="AO43" i="6"/>
  <c r="AU43" i="6" s="1"/>
  <c r="AW43" i="6" s="1"/>
  <c r="AU102" i="6"/>
  <c r="AW102" i="6" s="1"/>
  <c r="AO134" i="6"/>
  <c r="AU134" i="6" s="1"/>
  <c r="AW134" i="6" s="1"/>
  <c r="AO68" i="6"/>
  <c r="AU68" i="6" s="1"/>
  <c r="AW68" i="6" s="1"/>
  <c r="AD323" i="5"/>
  <c r="AU84" i="6"/>
  <c r="AW84" i="6" s="1"/>
  <c r="AU64" i="6"/>
  <c r="AW64" i="6" s="1"/>
  <c r="AO38" i="6"/>
  <c r="AU38" i="6" s="1"/>
  <c r="AW38" i="6" s="1"/>
  <c r="AU152" i="6"/>
  <c r="AW152" i="6" s="1"/>
  <c r="AO56" i="6"/>
  <c r="AU56" i="6" s="1"/>
  <c r="AW56" i="6" s="1"/>
  <c r="AO107" i="6"/>
  <c r="AU107" i="6" s="1"/>
  <c r="AW107" i="6" s="1"/>
  <c r="AU91" i="6"/>
  <c r="AW91" i="6" s="1"/>
  <c r="AC448" i="5"/>
  <c r="AO79" i="6"/>
  <c r="AU79" i="6" s="1"/>
  <c r="AW79" i="6" s="1"/>
  <c r="AU49" i="6"/>
  <c r="AW49" i="6" s="1"/>
  <c r="AU99" i="6"/>
  <c r="AW99" i="6" s="1"/>
  <c r="AC225" i="5"/>
  <c r="AU52" i="6"/>
  <c r="AW52" i="6" s="1"/>
  <c r="AU129" i="6"/>
  <c r="AW129" i="6" s="1"/>
  <c r="AU147" i="6"/>
  <c r="AW147" i="6" s="1"/>
  <c r="AU154" i="6"/>
  <c r="AW154" i="6" s="1"/>
  <c r="AD74" i="5"/>
  <c r="AU42" i="6"/>
  <c r="AW42" i="6" s="1"/>
  <c r="AO78" i="6"/>
  <c r="AU78" i="6" s="1"/>
  <c r="AW78" i="6" s="1"/>
  <c r="AO54" i="6"/>
  <c r="AU54" i="6" s="1"/>
  <c r="AW54" i="6" s="1"/>
  <c r="AU37" i="6"/>
  <c r="AW37" i="6" s="1"/>
  <c r="AU140" i="6"/>
  <c r="AW140" i="6" s="1"/>
  <c r="AU86" i="6"/>
  <c r="AW86" i="6" s="1"/>
  <c r="AU88" i="6"/>
  <c r="AW88" i="6" s="1"/>
  <c r="AD373" i="5"/>
  <c r="AU155" i="6"/>
  <c r="AW155" i="6" s="1"/>
  <c r="AU103" i="6"/>
  <c r="AW103" i="6" s="1"/>
  <c r="BE371" i="5"/>
  <c r="BG371" i="5" s="1"/>
  <c r="BL371" i="5" s="1"/>
  <c r="AU146" i="6"/>
  <c r="AW146" i="6" s="1"/>
  <c r="AU87" i="6"/>
  <c r="AW87" i="6" s="1"/>
  <c r="AU114" i="6"/>
  <c r="AW114" i="6" s="1"/>
  <c r="AU46" i="6"/>
  <c r="AW46" i="6" s="1"/>
  <c r="AO41" i="6"/>
  <c r="AU41" i="6" s="1"/>
  <c r="AW41" i="6" s="1"/>
  <c r="AO40" i="6"/>
  <c r="AU40" i="6" s="1"/>
  <c r="AW40" i="6" s="1"/>
  <c r="AO105" i="6"/>
  <c r="AU105" i="6" s="1"/>
  <c r="AW105" i="6" s="1"/>
  <c r="AO119" i="6"/>
  <c r="AU119" i="6" s="1"/>
  <c r="AW119" i="6" s="1"/>
  <c r="AU70" i="6"/>
  <c r="AW70" i="6" s="1"/>
  <c r="AC11" i="5"/>
  <c r="BE11" i="5"/>
  <c r="BG11" i="5" s="1"/>
  <c r="BL11" i="5" s="1"/>
  <c r="AD19" i="5"/>
  <c r="BE19" i="5"/>
  <c r="AU28" i="8"/>
  <c r="AW28" i="8" s="1"/>
  <c r="BB9" i="5"/>
  <c r="AC93" i="5"/>
  <c r="AU90" i="6"/>
  <c r="AW90" i="6" s="1"/>
  <c r="AU115" i="6"/>
  <c r="AW115" i="6" s="1"/>
  <c r="AO117" i="6"/>
  <c r="AU117" i="6" s="1"/>
  <c r="AW117" i="6" s="1"/>
  <c r="AU150" i="6"/>
  <c r="AW150" i="6" s="1"/>
  <c r="AU85" i="6"/>
  <c r="AW85" i="6" s="1"/>
  <c r="AO50" i="6"/>
  <c r="AU50" i="6" s="1"/>
  <c r="AW50" i="6" s="1"/>
  <c r="BE176" i="5"/>
  <c r="BF176" i="5" s="1"/>
  <c r="BK176" i="5" s="1"/>
  <c r="AC199" i="5"/>
  <c r="AC176" i="5"/>
  <c r="BE245" i="5"/>
  <c r="BF245" i="5" s="1"/>
  <c r="BK245" i="5" s="1"/>
  <c r="AD515" i="5"/>
  <c r="AU38" i="8"/>
  <c r="AW38" i="8" s="1"/>
  <c r="AU139" i="6"/>
  <c r="AW139" i="6" s="1"/>
  <c r="AU57" i="6"/>
  <c r="AW57" i="6" s="1"/>
  <c r="AC204" i="5"/>
  <c r="AD204" i="5"/>
  <c r="BE374" i="5"/>
  <c r="BF374" i="5" s="1"/>
  <c r="BK374" i="5" s="1"/>
  <c r="BE244" i="5"/>
  <c r="BF244" i="5" s="1"/>
  <c r="BK244" i="5" s="1"/>
  <c r="BE215" i="5"/>
  <c r="BG215" i="5" s="1"/>
  <c r="BL215" i="5" s="1"/>
  <c r="AC374" i="5"/>
  <c r="AC120" i="5"/>
  <c r="AD369" i="5"/>
  <c r="AC244" i="5"/>
  <c r="BE549" i="5"/>
  <c r="BG549" i="5" s="1"/>
  <c r="BL549" i="5" s="1"/>
  <c r="AD442" i="5"/>
  <c r="BE456" i="5"/>
  <c r="BF456" i="5" s="1"/>
  <c r="BK456" i="5" s="1"/>
  <c r="AD456" i="5"/>
  <c r="BE110" i="5"/>
  <c r="BF110" i="5" s="1"/>
  <c r="BK110" i="5" s="1"/>
  <c r="AD106" i="5"/>
  <c r="AU123" i="6"/>
  <c r="AW123" i="6" s="1"/>
  <c r="AC89" i="5"/>
  <c r="AC544" i="5"/>
  <c r="AC106" i="5"/>
  <c r="AC275" i="5"/>
  <c r="AD109" i="5"/>
  <c r="AD544" i="5"/>
  <c r="BE160" i="5"/>
  <c r="BF160" i="5" s="1"/>
  <c r="BK160" i="5" s="1"/>
  <c r="AC219" i="5"/>
  <c r="AD44" i="5"/>
  <c r="BE388" i="5"/>
  <c r="BF388" i="5" s="1"/>
  <c r="BK388" i="5" s="1"/>
  <c r="AD146" i="5"/>
  <c r="AC160" i="5"/>
  <c r="BE518" i="5"/>
  <c r="BG518" i="5" s="1"/>
  <c r="BL518" i="5" s="1"/>
  <c r="BE44" i="5"/>
  <c r="BF44" i="5" s="1"/>
  <c r="BK44" i="5" s="1"/>
  <c r="AC388" i="5"/>
  <c r="BE358" i="5"/>
  <c r="BG358" i="5" s="1"/>
  <c r="BL358" i="5" s="1"/>
  <c r="AC217" i="5"/>
  <c r="BE468" i="5"/>
  <c r="BF468" i="5" s="1"/>
  <c r="BK468" i="5" s="1"/>
  <c r="AC333" i="5"/>
  <c r="BE516" i="5"/>
  <c r="BG516" i="5" s="1"/>
  <c r="BL516" i="5" s="1"/>
  <c r="AD516" i="5"/>
  <c r="AD217" i="5"/>
  <c r="AD93" i="5"/>
  <c r="BE383" i="5"/>
  <c r="BG383" i="5" s="1"/>
  <c r="BL383" i="5" s="1"/>
  <c r="AC383" i="5"/>
  <c r="BE269" i="5"/>
  <c r="BF269" i="5" s="1"/>
  <c r="BK269" i="5" s="1"/>
  <c r="AC269" i="5"/>
  <c r="BE59" i="5"/>
  <c r="BF59" i="5" s="1"/>
  <c r="BK59" i="5" s="1"/>
  <c r="AC226" i="5"/>
  <c r="AD87" i="5"/>
  <c r="BE146" i="5"/>
  <c r="BF146" i="5" s="1"/>
  <c r="BK146" i="5" s="1"/>
  <c r="AC87" i="5"/>
  <c r="AD236" i="5"/>
  <c r="AC167" i="5"/>
  <c r="AC55" i="5"/>
  <c r="AD182" i="5"/>
  <c r="BE438" i="5"/>
  <c r="BG438" i="5" s="1"/>
  <c r="BL438" i="5" s="1"/>
  <c r="AD88" i="5"/>
  <c r="BE297" i="5"/>
  <c r="BG297" i="5" s="1"/>
  <c r="BL297" i="5" s="1"/>
  <c r="AD40" i="5"/>
  <c r="AC371" i="5"/>
  <c r="BE385" i="5"/>
  <c r="BF385" i="5" s="1"/>
  <c r="BK385" i="5" s="1"/>
  <c r="BE200" i="5"/>
  <c r="BF200" i="5" s="1"/>
  <c r="BK200" i="5" s="1"/>
  <c r="AD385" i="5"/>
  <c r="AC410" i="5"/>
  <c r="AD200" i="5"/>
  <c r="AC90" i="5"/>
  <c r="AC532" i="5"/>
  <c r="AU98" i="6"/>
  <c r="AW98" i="6" s="1"/>
  <c r="AU108" i="6"/>
  <c r="AW108" i="6" s="1"/>
  <c r="AO7" i="6"/>
  <c r="AU7" i="6" s="1"/>
  <c r="AW7" i="6" s="1"/>
  <c r="AC59" i="5"/>
  <c r="BE226" i="5"/>
  <c r="BG226" i="5" s="1"/>
  <c r="BL226" i="5" s="1"/>
  <c r="AD46" i="5"/>
  <c r="AU96" i="6"/>
  <c r="AW96" i="6" s="1"/>
  <c r="AC344" i="5"/>
  <c r="AC69" i="5"/>
  <c r="AD100" i="5"/>
  <c r="AC441" i="5"/>
  <c r="AD344" i="5"/>
  <c r="BE69" i="5"/>
  <c r="BG69" i="5" s="1"/>
  <c r="BL69" i="5" s="1"/>
  <c r="BE100" i="5"/>
  <c r="BF100" i="5" s="1"/>
  <c r="BK100" i="5" s="1"/>
  <c r="BE441" i="5"/>
  <c r="BG441" i="5" s="1"/>
  <c r="BL441" i="5" s="1"/>
  <c r="AU144" i="6"/>
  <c r="AW144" i="6" s="1"/>
  <c r="AC468" i="5"/>
  <c r="AD335" i="5"/>
  <c r="BE333" i="5"/>
  <c r="BF333" i="5" s="1"/>
  <c r="BK333" i="5" s="1"/>
  <c r="AC111" i="5"/>
  <c r="AU151" i="6"/>
  <c r="AW151" i="6" s="1"/>
  <c r="AD306" i="5"/>
  <c r="AD199" i="5"/>
  <c r="AC363" i="5"/>
  <c r="AD378" i="5"/>
  <c r="AD363" i="5"/>
  <c r="BE378" i="5"/>
  <c r="BF378" i="5" s="1"/>
  <c r="BK378" i="5" s="1"/>
  <c r="BE515" i="5"/>
  <c r="BG515" i="5" s="1"/>
  <c r="BL515" i="5" s="1"/>
  <c r="BE540" i="5"/>
  <c r="BF540" i="5" s="1"/>
  <c r="BK540" i="5" s="1"/>
  <c r="AD444" i="5"/>
  <c r="AD540" i="5"/>
  <c r="BE225" i="5"/>
  <c r="BF225" i="5" s="1"/>
  <c r="BK225" i="5" s="1"/>
  <c r="BE85" i="5"/>
  <c r="BF85" i="5" s="1"/>
  <c r="BK85" i="5" s="1"/>
  <c r="AC336" i="5"/>
  <c r="AC85" i="5"/>
  <c r="AD448" i="5"/>
  <c r="BE135" i="5"/>
  <c r="BG135" i="5" s="1"/>
  <c r="BL135" i="5" s="1"/>
  <c r="AD167" i="5"/>
  <c r="AC236" i="5"/>
  <c r="AC555" i="5"/>
  <c r="AC258" i="5"/>
  <c r="AC306" i="5"/>
  <c r="BE555" i="5"/>
  <c r="BF555" i="5" s="1"/>
  <c r="BK555" i="5" s="1"/>
  <c r="AD458" i="5"/>
  <c r="AD258" i="5"/>
  <c r="AD490" i="5"/>
  <c r="AD90" i="5"/>
  <c r="BE316" i="5"/>
  <c r="BG316" i="5" s="1"/>
  <c r="BL316" i="5" s="1"/>
  <c r="AC412" i="5"/>
  <c r="AC316" i="5"/>
  <c r="AC191" i="5"/>
  <c r="AC135" i="5"/>
  <c r="AC474" i="5"/>
  <c r="BE309" i="5"/>
  <c r="BF309" i="5" s="1"/>
  <c r="BK309" i="5" s="1"/>
  <c r="AC545" i="5"/>
  <c r="AD474" i="5"/>
  <c r="AC309" i="5"/>
  <c r="AD545" i="5"/>
  <c r="AC356" i="5"/>
  <c r="BE318" i="5"/>
  <c r="BG318" i="5" s="1"/>
  <c r="BL318" i="5" s="1"/>
  <c r="AC318" i="5"/>
  <c r="BE261" i="5"/>
  <c r="BF261" i="5" s="1"/>
  <c r="BK261" i="5" s="1"/>
  <c r="AD261" i="5"/>
  <c r="AC252" i="5"/>
  <c r="AC139" i="5"/>
  <c r="AC402" i="5"/>
  <c r="AD82" i="5"/>
  <c r="AD419" i="5"/>
  <c r="AC526" i="5"/>
  <c r="AC70" i="5"/>
  <c r="AC86" i="5"/>
  <c r="AC132" i="5"/>
  <c r="AD41" i="5"/>
  <c r="BE42" i="5"/>
  <c r="BG42" i="5" s="1"/>
  <c r="BL42" i="5" s="1"/>
  <c r="AC138" i="5"/>
  <c r="BE114" i="5"/>
  <c r="BG114" i="5" s="1"/>
  <c r="BL114" i="5" s="1"/>
  <c r="BE526" i="5"/>
  <c r="BF526" i="5" s="1"/>
  <c r="BK526" i="5" s="1"/>
  <c r="BE139" i="5"/>
  <c r="BF139" i="5" s="1"/>
  <c r="BK139" i="5" s="1"/>
  <c r="AD307" i="5"/>
  <c r="AD489" i="5"/>
  <c r="BE419" i="5"/>
  <c r="BF419" i="5" s="1"/>
  <c r="BK419" i="5" s="1"/>
  <c r="BE203" i="5"/>
  <c r="BF203" i="5" s="1"/>
  <c r="BK203" i="5" s="1"/>
  <c r="BE359" i="5"/>
  <c r="BF359" i="5" s="1"/>
  <c r="BK359" i="5" s="1"/>
  <c r="BE129" i="5"/>
  <c r="BF129" i="5" s="1"/>
  <c r="BK129" i="5" s="1"/>
  <c r="AD443" i="5"/>
  <c r="AC434" i="5"/>
  <c r="AC124" i="5"/>
  <c r="AC203" i="5"/>
  <c r="AC421" i="5"/>
  <c r="BE134" i="5"/>
  <c r="BF134" i="5" s="1"/>
  <c r="BK134" i="5" s="1"/>
  <c r="AC161" i="5"/>
  <c r="AC312" i="5"/>
  <c r="AD421" i="5"/>
  <c r="BE208" i="5"/>
  <c r="BF208" i="5" s="1"/>
  <c r="BK208" i="5" s="1"/>
  <c r="AD134" i="5"/>
  <c r="AD312" i="5"/>
  <c r="AD208" i="5"/>
  <c r="AD488" i="5"/>
  <c r="AC31" i="5"/>
  <c r="BE489" i="5"/>
  <c r="BG489" i="5" s="1"/>
  <c r="BL489" i="5" s="1"/>
  <c r="BE86" i="5"/>
  <c r="BG86" i="5" s="1"/>
  <c r="BL86" i="5" s="1"/>
  <c r="BE330" i="5"/>
  <c r="BF330" i="5" s="1"/>
  <c r="BK330" i="5" s="1"/>
  <c r="AC529" i="5"/>
  <c r="BE102" i="5"/>
  <c r="BF102" i="5" s="1"/>
  <c r="BK102" i="5" s="1"/>
  <c r="AC330" i="5"/>
  <c r="AD190" i="5"/>
  <c r="BE222" i="5"/>
  <c r="BF222" i="5" s="1"/>
  <c r="BK222" i="5" s="1"/>
  <c r="AD102" i="5"/>
  <c r="AD530" i="5"/>
  <c r="AC187" i="5"/>
  <c r="AC552" i="5"/>
  <c r="AC222" i="5"/>
  <c r="BE394" i="5"/>
  <c r="BF394" i="5" s="1"/>
  <c r="BK394" i="5" s="1"/>
  <c r="BE380" i="5"/>
  <c r="BG380" i="5" s="1"/>
  <c r="BL380" i="5" s="1"/>
  <c r="BE41" i="5"/>
  <c r="BF41" i="5" s="1"/>
  <c r="BK41" i="5" s="1"/>
  <c r="AD114" i="5"/>
  <c r="AD380" i="5"/>
  <c r="AC78" i="5"/>
  <c r="AC370" i="5"/>
  <c r="AC288" i="5"/>
  <c r="AC194" i="5"/>
  <c r="AD78" i="5"/>
  <c r="BE194" i="5"/>
  <c r="BG194" i="5" s="1"/>
  <c r="BL194" i="5" s="1"/>
  <c r="BE229" i="5"/>
  <c r="BG229" i="5" s="1"/>
  <c r="BL229" i="5" s="1"/>
  <c r="AD370" i="5"/>
  <c r="AC201" i="5"/>
  <c r="AC304" i="5"/>
  <c r="BE343" i="5"/>
  <c r="BF343" i="5" s="1"/>
  <c r="BK343" i="5" s="1"/>
  <c r="AC407" i="5"/>
  <c r="AD201" i="5"/>
  <c r="BE190" i="5"/>
  <c r="BF190" i="5" s="1"/>
  <c r="BK190" i="5" s="1"/>
  <c r="BE132" i="5"/>
  <c r="BG132" i="5" s="1"/>
  <c r="BL132" i="5" s="1"/>
  <c r="BE379" i="5"/>
  <c r="BF379" i="5" s="1"/>
  <c r="BK379" i="5" s="1"/>
  <c r="AC175" i="5"/>
  <c r="BE289" i="5"/>
  <c r="BF289" i="5" s="1"/>
  <c r="BK289" i="5" s="1"/>
  <c r="AD313" i="5"/>
  <c r="BE528" i="5"/>
  <c r="BF528" i="5" s="1"/>
  <c r="BK528" i="5" s="1"/>
  <c r="BE392" i="5"/>
  <c r="BG392" i="5" s="1"/>
  <c r="BL392" i="5" s="1"/>
  <c r="AD392" i="5"/>
  <c r="BE302" i="5"/>
  <c r="BG302" i="5" s="1"/>
  <c r="BL302" i="5" s="1"/>
  <c r="BE96" i="5"/>
  <c r="BG96" i="5" s="1"/>
  <c r="BL96" i="5" s="1"/>
  <c r="AC44" i="6"/>
  <c r="AD44" i="6" s="1"/>
  <c r="AQ44" i="6"/>
  <c r="AP44" i="6"/>
  <c r="AK44" i="6"/>
  <c r="AL44" i="6" s="1"/>
  <c r="AF44" i="6"/>
  <c r="AG44" i="6" s="1"/>
  <c r="AI44" i="6" s="1"/>
  <c r="AN44" i="6"/>
  <c r="AC48" i="6"/>
  <c r="AD48" i="6" s="1"/>
  <c r="AQ48" i="6"/>
  <c r="AP48" i="6"/>
  <c r="AP82" i="6"/>
  <c r="AQ82" i="6"/>
  <c r="AC82" i="6"/>
  <c r="AD82" i="6" s="1"/>
  <c r="AQ47" i="6"/>
  <c r="AC47" i="6"/>
  <c r="AD47" i="6" s="1"/>
  <c r="AP47" i="6"/>
  <c r="AN48" i="6"/>
  <c r="AF48" i="6"/>
  <c r="AG48" i="6" s="1"/>
  <c r="AI48" i="6" s="1"/>
  <c r="AK48" i="6"/>
  <c r="AL48" i="6" s="1"/>
  <c r="AF82" i="6"/>
  <c r="AG82" i="6" s="1"/>
  <c r="AI82" i="6" s="1"/>
  <c r="AK82" i="6"/>
  <c r="AL82" i="6" s="1"/>
  <c r="AN82" i="6"/>
  <c r="AF47" i="6"/>
  <c r="AG47" i="6" s="1"/>
  <c r="AI47" i="6" s="1"/>
  <c r="AN47" i="6"/>
  <c r="AO47" i="6" s="1"/>
  <c r="AP143" i="6"/>
  <c r="AQ143" i="6"/>
  <c r="AC143" i="6"/>
  <c r="AD143" i="6" s="1"/>
  <c r="AK143" i="6"/>
  <c r="AL143" i="6" s="1"/>
  <c r="AN143" i="6"/>
  <c r="AF143" i="6"/>
  <c r="AG143" i="6" s="1"/>
  <c r="AI143" i="6" s="1"/>
  <c r="AK132" i="6"/>
  <c r="AL132" i="6" s="1"/>
  <c r="AF132" i="6"/>
  <c r="AG132" i="6" s="1"/>
  <c r="AI132" i="6" s="1"/>
  <c r="AN132" i="6"/>
  <c r="AK89" i="6"/>
  <c r="AL89" i="6" s="1"/>
  <c r="AN89" i="6"/>
  <c r="AF89" i="6"/>
  <c r="AG89" i="6" s="1"/>
  <c r="AI89" i="6" s="1"/>
  <c r="AP141" i="6"/>
  <c r="AQ141" i="6"/>
  <c r="AC141" i="6"/>
  <c r="AD141" i="6" s="1"/>
  <c r="AQ132" i="6"/>
  <c r="AP132" i="6"/>
  <c r="AC132" i="6"/>
  <c r="AD132" i="6" s="1"/>
  <c r="AQ89" i="6"/>
  <c r="AC89" i="6"/>
  <c r="AD89" i="6" s="1"/>
  <c r="AP89" i="6"/>
  <c r="AF135" i="6"/>
  <c r="AG135" i="6" s="1"/>
  <c r="AI135" i="6" s="1"/>
  <c r="AN135" i="6"/>
  <c r="AK135" i="6"/>
  <c r="AL135" i="6" s="1"/>
  <c r="AN141" i="6"/>
  <c r="AF141" i="6"/>
  <c r="AG141" i="6" s="1"/>
  <c r="AI141" i="6" s="1"/>
  <c r="AK141" i="6"/>
  <c r="AL141" i="6" s="1"/>
  <c r="AP135" i="6"/>
  <c r="AC135" i="6"/>
  <c r="AD135" i="6" s="1"/>
  <c r="AQ135" i="6"/>
  <c r="BE328" i="5"/>
  <c r="BF328" i="5" s="1"/>
  <c r="BK328" i="5" s="1"/>
  <c r="AC512" i="5"/>
  <c r="AC541" i="5"/>
  <c r="AD492" i="5"/>
  <c r="AD403" i="5"/>
  <c r="AC117" i="5"/>
  <c r="BE53" i="5"/>
  <c r="BF53" i="5" s="1"/>
  <c r="BK53" i="5" s="1"/>
  <c r="AD117" i="5"/>
  <c r="BE149" i="5"/>
  <c r="BF149" i="5" s="1"/>
  <c r="BK149" i="5" s="1"/>
  <c r="AD524" i="5"/>
  <c r="AC149" i="5"/>
  <c r="AD340" i="5"/>
  <c r="BE337" i="5"/>
  <c r="BF337" i="5" s="1"/>
  <c r="BK337" i="5" s="1"/>
  <c r="BE21" i="5"/>
  <c r="BG21" i="5" s="1"/>
  <c r="BL21" i="5" s="1"/>
  <c r="AC460" i="5"/>
  <c r="AC488" i="5"/>
  <c r="AD402" i="5"/>
  <c r="AC232" i="5"/>
  <c r="AC490" i="5"/>
  <c r="AD434" i="5"/>
  <c r="AC358" i="5"/>
  <c r="BE82" i="5"/>
  <c r="BG82" i="5" s="1"/>
  <c r="BL82" i="5" s="1"/>
  <c r="AD31" i="5"/>
  <c r="BE70" i="5"/>
  <c r="BF70" i="5" s="1"/>
  <c r="BK70" i="5" s="1"/>
  <c r="BE124" i="5"/>
  <c r="BF124" i="5" s="1"/>
  <c r="BK124" i="5" s="1"/>
  <c r="BE253" i="5"/>
  <c r="BF253" i="5" s="1"/>
  <c r="BK253" i="5" s="1"/>
  <c r="AD379" i="5"/>
  <c r="BE356" i="5"/>
  <c r="BG356" i="5" s="1"/>
  <c r="BL356" i="5" s="1"/>
  <c r="AD253" i="5"/>
  <c r="AC415" i="5"/>
  <c r="BE560" i="5"/>
  <c r="BG560" i="5" s="1"/>
  <c r="BL560" i="5" s="1"/>
  <c r="AD205" i="5"/>
  <c r="AC341" i="5"/>
  <c r="AC42" i="5"/>
  <c r="AD129" i="5"/>
  <c r="AC229" i="5"/>
  <c r="BE341" i="5"/>
  <c r="BF341" i="5" s="1"/>
  <c r="BK341" i="5" s="1"/>
  <c r="AC305" i="5"/>
  <c r="BE471" i="5"/>
  <c r="BF471" i="5" s="1"/>
  <c r="BK471" i="5" s="1"/>
  <c r="BE113" i="5"/>
  <c r="BG113" i="5" s="1"/>
  <c r="BL113" i="5" s="1"/>
  <c r="BE168" i="5"/>
  <c r="BG168" i="5" s="1"/>
  <c r="BL168" i="5" s="1"/>
  <c r="BE80" i="5"/>
  <c r="BG80" i="5" s="1"/>
  <c r="BL80" i="5" s="1"/>
  <c r="AC443" i="5"/>
  <c r="BE240" i="5"/>
  <c r="BF240" i="5" s="1"/>
  <c r="BK240" i="5" s="1"/>
  <c r="BE368" i="5"/>
  <c r="BG368" i="5" s="1"/>
  <c r="BL368" i="5" s="1"/>
  <c r="AD257" i="5"/>
  <c r="BE437" i="5"/>
  <c r="BG437" i="5" s="1"/>
  <c r="BL437" i="5" s="1"/>
  <c r="AD422" i="5"/>
  <c r="BE243" i="5"/>
  <c r="BF243" i="5" s="1"/>
  <c r="BK243" i="5" s="1"/>
  <c r="AC168" i="5"/>
  <c r="AC80" i="5"/>
  <c r="BE457" i="5"/>
  <c r="BF457" i="5" s="1"/>
  <c r="BK457" i="5" s="1"/>
  <c r="AC262" i="5"/>
  <c r="BE103" i="5"/>
  <c r="BG103" i="5" s="1"/>
  <c r="BL103" i="5" s="1"/>
  <c r="AC368" i="5"/>
  <c r="BE250" i="5"/>
  <c r="BF250" i="5" s="1"/>
  <c r="BK250" i="5" s="1"/>
  <c r="AD54" i="5"/>
  <c r="AD128" i="5"/>
  <c r="AC257" i="5"/>
  <c r="BE462" i="5"/>
  <c r="BG462" i="5" s="1"/>
  <c r="BL462" i="5" s="1"/>
  <c r="AD560" i="5"/>
  <c r="BE205" i="5"/>
  <c r="BF205" i="5" s="1"/>
  <c r="BK205" i="5" s="1"/>
  <c r="BE444" i="5"/>
  <c r="BF444" i="5" s="1"/>
  <c r="BK444" i="5" s="1"/>
  <c r="AC243" i="5"/>
  <c r="AC457" i="5"/>
  <c r="BE288" i="5"/>
  <c r="BF288" i="5" s="1"/>
  <c r="BK288" i="5" s="1"/>
  <c r="BE262" i="5"/>
  <c r="BF262" i="5" s="1"/>
  <c r="BK262" i="5" s="1"/>
  <c r="AC103" i="5"/>
  <c r="AD231" i="5"/>
  <c r="AC462" i="5"/>
  <c r="AD539" i="5"/>
  <c r="BE187" i="5"/>
  <c r="BG187" i="5" s="1"/>
  <c r="BL187" i="5" s="1"/>
  <c r="AC48" i="5"/>
  <c r="BE292" i="5"/>
  <c r="BF292" i="5" s="1"/>
  <c r="BK292" i="5" s="1"/>
  <c r="AD155" i="5"/>
  <c r="AC250" i="5"/>
  <c r="AD393" i="5"/>
  <c r="BE54" i="5"/>
  <c r="BF54" i="5" s="1"/>
  <c r="BK54" i="5" s="1"/>
  <c r="AD175" i="5"/>
  <c r="AC338" i="5"/>
  <c r="AC238" i="5"/>
  <c r="AD460" i="5"/>
  <c r="AC131" i="5"/>
  <c r="AC46" i="5"/>
  <c r="AC21" i="5"/>
  <c r="AC524" i="5"/>
  <c r="AC290" i="5"/>
  <c r="BE548" i="5"/>
  <c r="BF548" i="5" s="1"/>
  <c r="BK548" i="5" s="1"/>
  <c r="BE428" i="5"/>
  <c r="BG428" i="5" s="1"/>
  <c r="BL428" i="5" s="1"/>
  <c r="AC548" i="5"/>
  <c r="AC523" i="5"/>
  <c r="AC428" i="5"/>
  <c r="AC463" i="5"/>
  <c r="BE351" i="5"/>
  <c r="BF351" i="5" s="1"/>
  <c r="BK351" i="5" s="1"/>
  <c r="AC476" i="5"/>
  <c r="BE340" i="5"/>
  <c r="BG340" i="5" s="1"/>
  <c r="BL340" i="5" s="1"/>
  <c r="AD523" i="5"/>
  <c r="AD351" i="5"/>
  <c r="AC387" i="5"/>
  <c r="AD148" i="5"/>
  <c r="BE131" i="5"/>
  <c r="BF131" i="5" s="1"/>
  <c r="BK131" i="5" s="1"/>
  <c r="AD308" i="5"/>
  <c r="BE23" i="5"/>
  <c r="BG23" i="5" s="1"/>
  <c r="BL23" i="5" s="1"/>
  <c r="BE88" i="5"/>
  <c r="BG88" i="5" s="1"/>
  <c r="BL88" i="5" s="1"/>
  <c r="AD110" i="5"/>
  <c r="BE514" i="5"/>
  <c r="BF514" i="5" s="1"/>
  <c r="BK514" i="5" s="1"/>
  <c r="AD55" i="5"/>
  <c r="BE130" i="5"/>
  <c r="BF130" i="5" s="1"/>
  <c r="BK130" i="5" s="1"/>
  <c r="AC40" i="5"/>
  <c r="AC514" i="5"/>
  <c r="BE335" i="5"/>
  <c r="BG335" i="5" s="1"/>
  <c r="BL335" i="5" s="1"/>
  <c r="BE182" i="5"/>
  <c r="BG182" i="5" s="1"/>
  <c r="BL182" i="5" s="1"/>
  <c r="BE532" i="5"/>
  <c r="BF532" i="5" s="1"/>
  <c r="BK532" i="5" s="1"/>
  <c r="BE111" i="5"/>
  <c r="BF111" i="5" s="1"/>
  <c r="BK111" i="5" s="1"/>
  <c r="AD96" i="5"/>
  <c r="AD297" i="5"/>
  <c r="AC94" i="5"/>
  <c r="AC51" i="5"/>
  <c r="BE171" i="5"/>
  <c r="BF171" i="5" s="1"/>
  <c r="BK171" i="5" s="1"/>
  <c r="AD438" i="5"/>
  <c r="BE442" i="5"/>
  <c r="BF442" i="5" s="1"/>
  <c r="BK442" i="5" s="1"/>
  <c r="AD186" i="5"/>
  <c r="BE94" i="5"/>
  <c r="BF94" i="5" s="1"/>
  <c r="BK94" i="5" s="1"/>
  <c r="AD51" i="5"/>
  <c r="AC186" i="5"/>
  <c r="AC43" i="5"/>
  <c r="AC171" i="5"/>
  <c r="AC347" i="5"/>
  <c r="AC302" i="5"/>
  <c r="AC68" i="5"/>
  <c r="AC343" i="5"/>
  <c r="AD89" i="5"/>
  <c r="BE412" i="5"/>
  <c r="BG412" i="5" s="1"/>
  <c r="BL412" i="5" s="1"/>
  <c r="AD219" i="5"/>
  <c r="BE508" i="5"/>
  <c r="BF508" i="5" s="1"/>
  <c r="BK508" i="5" s="1"/>
  <c r="BE172" i="5"/>
  <c r="BF172" i="5" s="1"/>
  <c r="BK172" i="5" s="1"/>
  <c r="BE423" i="5"/>
  <c r="BG423" i="5" s="1"/>
  <c r="BL423" i="5" s="1"/>
  <c r="BE355" i="5"/>
  <c r="BF355" i="5" s="1"/>
  <c r="BK355" i="5" s="1"/>
  <c r="BE390" i="5"/>
  <c r="BF390" i="5" s="1"/>
  <c r="BK390" i="5" s="1"/>
  <c r="AC508" i="5"/>
  <c r="AC172" i="5"/>
  <c r="AD423" i="5"/>
  <c r="AC104" i="5"/>
  <c r="AC355" i="5"/>
  <c r="AC390" i="5"/>
  <c r="AD104" i="5"/>
  <c r="AC401" i="5"/>
  <c r="AD196" i="5"/>
  <c r="AC361" i="5"/>
  <c r="AD304" i="5"/>
  <c r="AD407" i="5"/>
  <c r="BE381" i="5"/>
  <c r="BG381" i="5" s="1"/>
  <c r="BL381" i="5" s="1"/>
  <c r="BE141" i="5"/>
  <c r="BG141" i="5" s="1"/>
  <c r="BL141" i="5" s="1"/>
  <c r="BE196" i="5"/>
  <c r="BG196" i="5" s="1"/>
  <c r="BL196" i="5" s="1"/>
  <c r="AD361" i="5"/>
  <c r="BE294" i="5"/>
  <c r="BG294" i="5" s="1"/>
  <c r="BL294" i="5" s="1"/>
  <c r="AD242" i="5"/>
  <c r="AD401" i="5"/>
  <c r="AD138" i="5"/>
  <c r="BE496" i="5"/>
  <c r="BF496" i="5" s="1"/>
  <c r="BK496" i="5" s="1"/>
  <c r="AC381" i="5"/>
  <c r="BE50" i="5"/>
  <c r="BF50" i="5" s="1"/>
  <c r="BK50" i="5" s="1"/>
  <c r="AD141" i="5"/>
  <c r="BE473" i="5"/>
  <c r="BF473" i="5" s="1"/>
  <c r="BK473" i="5" s="1"/>
  <c r="AC294" i="5"/>
  <c r="AC496" i="5"/>
  <c r="AC50" i="5"/>
  <c r="AD473" i="5"/>
  <c r="BE109" i="5"/>
  <c r="BF109" i="5" s="1"/>
  <c r="BK109" i="5" s="1"/>
  <c r="BE33" i="5"/>
  <c r="BF33" i="5" s="1"/>
  <c r="BK33" i="5" s="1"/>
  <c r="AC272" i="5"/>
  <c r="AD126" i="5"/>
  <c r="BE499" i="5"/>
  <c r="BG499" i="5" s="1"/>
  <c r="BL499" i="5" s="1"/>
  <c r="AC112" i="5"/>
  <c r="AC274" i="5"/>
  <c r="AD198" i="5"/>
  <c r="BE156" i="5"/>
  <c r="BF156" i="5" s="1"/>
  <c r="BK156" i="5" s="1"/>
  <c r="AD418" i="5"/>
  <c r="AC33" i="5"/>
  <c r="AD215" i="5"/>
  <c r="BE377" i="5"/>
  <c r="BG377" i="5" s="1"/>
  <c r="BL377" i="5" s="1"/>
  <c r="AD301" i="5"/>
  <c r="BE123" i="5"/>
  <c r="BG123" i="5" s="1"/>
  <c r="BL123" i="5" s="1"/>
  <c r="AD272" i="5"/>
  <c r="AC418" i="5"/>
  <c r="BE484" i="5"/>
  <c r="BG484" i="5" s="1"/>
  <c r="BL484" i="5" s="1"/>
  <c r="AC126" i="5"/>
  <c r="BE458" i="5"/>
  <c r="BG458" i="5" s="1"/>
  <c r="BL458" i="5" s="1"/>
  <c r="AD499" i="5"/>
  <c r="AD472" i="5"/>
  <c r="AC230" i="5"/>
  <c r="BE224" i="5"/>
  <c r="BG224" i="5" s="1"/>
  <c r="BL224" i="5" s="1"/>
  <c r="AC123" i="5"/>
  <c r="AC484" i="5"/>
  <c r="AC58" i="5"/>
  <c r="AC224" i="5"/>
  <c r="AD377" i="5"/>
  <c r="BE301" i="5"/>
  <c r="BF301" i="5" s="1"/>
  <c r="BK301" i="5" s="1"/>
  <c r="AD230" i="5"/>
  <c r="BE472" i="5"/>
  <c r="BF472" i="5" s="1"/>
  <c r="BK472" i="5" s="1"/>
  <c r="AD247" i="5"/>
  <c r="BE58" i="5"/>
  <c r="BF58" i="5" s="1"/>
  <c r="BK58" i="5" s="1"/>
  <c r="BE270" i="5"/>
  <c r="BF270" i="5" s="1"/>
  <c r="BK270" i="5" s="1"/>
  <c r="BE247" i="5"/>
  <c r="BF247" i="5" s="1"/>
  <c r="BK247" i="5" s="1"/>
  <c r="BE550" i="5"/>
  <c r="BG550" i="5" s="1"/>
  <c r="BL550" i="5" s="1"/>
  <c r="AC270" i="5"/>
  <c r="AC92" i="5"/>
  <c r="BE92" i="5"/>
  <c r="BG92" i="5" s="1"/>
  <c r="BL92" i="5" s="1"/>
  <c r="BE112" i="5"/>
  <c r="BF112" i="5" s="1"/>
  <c r="BK112" i="5" s="1"/>
  <c r="AC550" i="5"/>
  <c r="BE274" i="5"/>
  <c r="BF274" i="5" s="1"/>
  <c r="BK274" i="5" s="1"/>
  <c r="BE198" i="5"/>
  <c r="BG198" i="5" s="1"/>
  <c r="BL198" i="5" s="1"/>
  <c r="AD156" i="5"/>
  <c r="AD426" i="5"/>
  <c r="AC346" i="5"/>
  <c r="AC179" i="5"/>
  <c r="AC315" i="5"/>
  <c r="AD354" i="5"/>
  <c r="AD553" i="5"/>
  <c r="AD191" i="5"/>
  <c r="BE410" i="5"/>
  <c r="BG410" i="5" s="1"/>
  <c r="BL410" i="5" s="1"/>
  <c r="AD336" i="5"/>
  <c r="BE529" i="5"/>
  <c r="BF529" i="5" s="1"/>
  <c r="BK529" i="5" s="1"/>
  <c r="BE408" i="5"/>
  <c r="BF408" i="5" s="1"/>
  <c r="BK408" i="5" s="1"/>
  <c r="AD252" i="5"/>
  <c r="BE426" i="5"/>
  <c r="BF426" i="5" s="1"/>
  <c r="BK426" i="5" s="1"/>
  <c r="AC528" i="5"/>
  <c r="BE346" i="5"/>
  <c r="BF346" i="5" s="1"/>
  <c r="BK346" i="5" s="1"/>
  <c r="AD425" i="5"/>
  <c r="AC394" i="5"/>
  <c r="BE179" i="5"/>
  <c r="BG179" i="5" s="1"/>
  <c r="BL179" i="5" s="1"/>
  <c r="AD347" i="5"/>
  <c r="AD328" i="5"/>
  <c r="AC504" i="5"/>
  <c r="AD411" i="5"/>
  <c r="BE425" i="5"/>
  <c r="BF425" i="5" s="1"/>
  <c r="BK425" i="5" s="1"/>
  <c r="AC408" i="5"/>
  <c r="BE495" i="5"/>
  <c r="BG495" i="5" s="1"/>
  <c r="BL495" i="5" s="1"/>
  <c r="BE504" i="5"/>
  <c r="BG504" i="5" s="1"/>
  <c r="BL504" i="5" s="1"/>
  <c r="AC360" i="5"/>
  <c r="AC350" i="5"/>
  <c r="BE350" i="5"/>
  <c r="BG350" i="5" s="1"/>
  <c r="BL350" i="5" s="1"/>
  <c r="AD495" i="5"/>
  <c r="AD360" i="5"/>
  <c r="AC553" i="5"/>
  <c r="BE354" i="5"/>
  <c r="BF354" i="5" s="1"/>
  <c r="BK354" i="5" s="1"/>
  <c r="AD338" i="5"/>
  <c r="AC231" i="5"/>
  <c r="AC158" i="5"/>
  <c r="BE403" i="5"/>
  <c r="BG403" i="5" s="1"/>
  <c r="BL403" i="5" s="1"/>
  <c r="AD305" i="5"/>
  <c r="BE128" i="5"/>
  <c r="BG128" i="5" s="1"/>
  <c r="BL128" i="5" s="1"/>
  <c r="AD238" i="5"/>
  <c r="BE431" i="5"/>
  <c r="BF431" i="5" s="1"/>
  <c r="BK431" i="5" s="1"/>
  <c r="BE276" i="5"/>
  <c r="BG276" i="5" s="1"/>
  <c r="BL276" i="5" s="1"/>
  <c r="BE299" i="5"/>
  <c r="BG299" i="5" s="1"/>
  <c r="BL299" i="5" s="1"/>
  <c r="AD513" i="5"/>
  <c r="AD431" i="5"/>
  <c r="AD517" i="5"/>
  <c r="AD276" i="5"/>
  <c r="BE435" i="5"/>
  <c r="BF435" i="5" s="1"/>
  <c r="BK435" i="5" s="1"/>
  <c r="BE556" i="5"/>
  <c r="BF556" i="5" s="1"/>
  <c r="BK556" i="5" s="1"/>
  <c r="AD22" i="5"/>
  <c r="AC299" i="5"/>
  <c r="AC60" i="5"/>
  <c r="BE513" i="5"/>
  <c r="BF513" i="5" s="1"/>
  <c r="BK513" i="5" s="1"/>
  <c r="BE228" i="5"/>
  <c r="BG228" i="5" s="1"/>
  <c r="BL228" i="5" s="1"/>
  <c r="AD49" i="5"/>
  <c r="BE558" i="5"/>
  <c r="BF558" i="5" s="1"/>
  <c r="BK558" i="5" s="1"/>
  <c r="BE517" i="5"/>
  <c r="BG517" i="5" s="1"/>
  <c r="BL517" i="5" s="1"/>
  <c r="AC435" i="5"/>
  <c r="AC556" i="5"/>
  <c r="BE22" i="5"/>
  <c r="BF22" i="5" s="1"/>
  <c r="BK22" i="5" s="1"/>
  <c r="AD279" i="5"/>
  <c r="BE324" i="5"/>
  <c r="BG324" i="5" s="1"/>
  <c r="BL324" i="5" s="1"/>
  <c r="AC492" i="5"/>
  <c r="AC228" i="5"/>
  <c r="BE49" i="5"/>
  <c r="BG49" i="5" s="1"/>
  <c r="BL49" i="5" s="1"/>
  <c r="AC558" i="5"/>
  <c r="BE279" i="5"/>
  <c r="BG279" i="5" s="1"/>
  <c r="BL279" i="5" s="1"/>
  <c r="AC324" i="5"/>
  <c r="AC23" i="5"/>
  <c r="BE463" i="5"/>
  <c r="BF463" i="5" s="1"/>
  <c r="BK463" i="5" s="1"/>
  <c r="BE180" i="5"/>
  <c r="BF180" i="5" s="1"/>
  <c r="BK180" i="5" s="1"/>
  <c r="AD525" i="5"/>
  <c r="AD53" i="5"/>
  <c r="AC397" i="5"/>
  <c r="AD476" i="5"/>
  <c r="BE214" i="5"/>
  <c r="BF214" i="5" s="1"/>
  <c r="BK214" i="5" s="1"/>
  <c r="AD180" i="5"/>
  <c r="BE525" i="5"/>
  <c r="BG525" i="5" s="1"/>
  <c r="BL525" i="5" s="1"/>
  <c r="BE397" i="5"/>
  <c r="BF397" i="5" s="1"/>
  <c r="BK397" i="5" s="1"/>
  <c r="AD420" i="5"/>
  <c r="AC214" i="5"/>
  <c r="BE173" i="5"/>
  <c r="BG173" i="5" s="1"/>
  <c r="BL173" i="5" s="1"/>
  <c r="AC420" i="5"/>
  <c r="BE290" i="5"/>
  <c r="BG290" i="5" s="1"/>
  <c r="BL290" i="5" s="1"/>
  <c r="AC337" i="5"/>
  <c r="AD348" i="5"/>
  <c r="BE140" i="5"/>
  <c r="BG140" i="5" s="1"/>
  <c r="BL140" i="5" s="1"/>
  <c r="BE543" i="5"/>
  <c r="BG543" i="5" s="1"/>
  <c r="BL543" i="5" s="1"/>
  <c r="AD173" i="5"/>
  <c r="BE308" i="5"/>
  <c r="BF308" i="5" s="1"/>
  <c r="BK308" i="5" s="1"/>
  <c r="AC348" i="5"/>
  <c r="AD140" i="5"/>
  <c r="AC543" i="5"/>
  <c r="BE387" i="5"/>
  <c r="BG387" i="5" s="1"/>
  <c r="BL387" i="5" s="1"/>
  <c r="AC148" i="5"/>
  <c r="AD541" i="5"/>
  <c r="AD292" i="5"/>
  <c r="AC251" i="5"/>
  <c r="AD467" i="5"/>
  <c r="BE251" i="5"/>
  <c r="BF251" i="5" s="1"/>
  <c r="BK251" i="5" s="1"/>
  <c r="AD113" i="5"/>
  <c r="AC357" i="5"/>
  <c r="AD291" i="5"/>
  <c r="AC150" i="5"/>
  <c r="BE535" i="5"/>
  <c r="BG535" i="5" s="1"/>
  <c r="BL535" i="5" s="1"/>
  <c r="BE415" i="5"/>
  <c r="BG415" i="5" s="1"/>
  <c r="BL415" i="5" s="1"/>
  <c r="BE411" i="5"/>
  <c r="BF411" i="5" s="1"/>
  <c r="BK411" i="5" s="1"/>
  <c r="AD469" i="5"/>
  <c r="AC405" i="5"/>
  <c r="BE422" i="5"/>
  <c r="BF422" i="5" s="1"/>
  <c r="BK422" i="5" s="1"/>
  <c r="AC291" i="5"/>
  <c r="BE393" i="5"/>
  <c r="BF393" i="5" s="1"/>
  <c r="BK393" i="5" s="1"/>
  <c r="BE530" i="5"/>
  <c r="BG530" i="5" s="1"/>
  <c r="BL530" i="5" s="1"/>
  <c r="BE242" i="5"/>
  <c r="BG242" i="5" s="1"/>
  <c r="BL242" i="5" s="1"/>
  <c r="AD512" i="5"/>
  <c r="AC313" i="5"/>
  <c r="BE467" i="5"/>
  <c r="BG467" i="5" s="1"/>
  <c r="BL467" i="5" s="1"/>
  <c r="AC67" i="5"/>
  <c r="BE405" i="5"/>
  <c r="BF405" i="5" s="1"/>
  <c r="BK405" i="5" s="1"/>
  <c r="BE155" i="5"/>
  <c r="BF155" i="5" s="1"/>
  <c r="BK155" i="5" s="1"/>
  <c r="AC240" i="5"/>
  <c r="BE195" i="5"/>
  <c r="BF195" i="5" s="1"/>
  <c r="BK195" i="5" s="1"/>
  <c r="AD67" i="5"/>
  <c r="BE357" i="5"/>
  <c r="BG357" i="5" s="1"/>
  <c r="BL357" i="5" s="1"/>
  <c r="AD150" i="5"/>
  <c r="AD195" i="5"/>
  <c r="AD535" i="5"/>
  <c r="BE469" i="5"/>
  <c r="BF469" i="5" s="1"/>
  <c r="BK469" i="5" s="1"/>
  <c r="AC375" i="5"/>
  <c r="AD151" i="5"/>
  <c r="BE66" i="5"/>
  <c r="BG66" i="5" s="1"/>
  <c r="BL66" i="5" s="1"/>
  <c r="BE267" i="5"/>
  <c r="BF267" i="5" s="1"/>
  <c r="BK267" i="5" s="1"/>
  <c r="AC271" i="5"/>
  <c r="AD375" i="5"/>
  <c r="AC174" i="5"/>
  <c r="AD439" i="5"/>
  <c r="BE480" i="5"/>
  <c r="BF480" i="5" s="1"/>
  <c r="BK480" i="5" s="1"/>
  <c r="AD60" i="5"/>
  <c r="AD436" i="5"/>
  <c r="BE439" i="5"/>
  <c r="BG439" i="5" s="1"/>
  <c r="BL439" i="5" s="1"/>
  <c r="AD480" i="5"/>
  <c r="BE151" i="5"/>
  <c r="BG151" i="5" s="1"/>
  <c r="BL151" i="5" s="1"/>
  <c r="AC223" i="5"/>
  <c r="BE315" i="5"/>
  <c r="BG315" i="5" s="1"/>
  <c r="BL315" i="5" s="1"/>
  <c r="AC130" i="5"/>
  <c r="BE223" i="5"/>
  <c r="BF223" i="5" s="1"/>
  <c r="BK223" i="5" s="1"/>
  <c r="BE43" i="5"/>
  <c r="BG43" i="5" s="1"/>
  <c r="BL43" i="5" s="1"/>
  <c r="BE115" i="5"/>
  <c r="BF115" i="5" s="1"/>
  <c r="BK115" i="5" s="1"/>
  <c r="BE26" i="5"/>
  <c r="BF26" i="5" s="1"/>
  <c r="BK26" i="5" s="1"/>
  <c r="AC494" i="5"/>
  <c r="BE237" i="5"/>
  <c r="BF237" i="5" s="1"/>
  <c r="BK237" i="5" s="1"/>
  <c r="AC115" i="5"/>
  <c r="AC137" i="5"/>
  <c r="AC26" i="5"/>
  <c r="BE68" i="5"/>
  <c r="BG68" i="5" s="1"/>
  <c r="BL68" i="5" s="1"/>
  <c r="AD237" i="5"/>
  <c r="BE95" i="5"/>
  <c r="BG95" i="5" s="1"/>
  <c r="BL95" i="5" s="1"/>
  <c r="BE158" i="5"/>
  <c r="BG158" i="5" s="1"/>
  <c r="BL158" i="5" s="1"/>
  <c r="AC437" i="5"/>
  <c r="BE542" i="5"/>
  <c r="BF542" i="5" s="1"/>
  <c r="BK542" i="5" s="1"/>
  <c r="AC289" i="5"/>
  <c r="AC539" i="5"/>
  <c r="AC542" i="5"/>
  <c r="BE48" i="5"/>
  <c r="BG48" i="5" s="1"/>
  <c r="BL48" i="5" s="1"/>
  <c r="BE271" i="5"/>
  <c r="BF271" i="5" s="1"/>
  <c r="BK271" i="5" s="1"/>
  <c r="BE73" i="5"/>
  <c r="BF73" i="5" s="1"/>
  <c r="BK73" i="5" s="1"/>
  <c r="AC211" i="5"/>
  <c r="AD66" i="5"/>
  <c r="AC267" i="5"/>
  <c r="AC73" i="5"/>
  <c r="AC143" i="5"/>
  <c r="BE409" i="5"/>
  <c r="BG409" i="5" s="1"/>
  <c r="BL409" i="5" s="1"/>
  <c r="AD471" i="5"/>
  <c r="BE366" i="5"/>
  <c r="BF366" i="5" s="1"/>
  <c r="BK366" i="5" s="1"/>
  <c r="AD210" i="5"/>
  <c r="AD483" i="5"/>
  <c r="BE211" i="5"/>
  <c r="BG211" i="5" s="1"/>
  <c r="BL211" i="5" s="1"/>
  <c r="AC409" i="5"/>
  <c r="AC366" i="5"/>
  <c r="BE210" i="5"/>
  <c r="BF210" i="5" s="1"/>
  <c r="BK210" i="5" s="1"/>
  <c r="BE483" i="5"/>
  <c r="BF483" i="5" s="1"/>
  <c r="BK483" i="5" s="1"/>
  <c r="AD429" i="5"/>
  <c r="AC246" i="5"/>
  <c r="BE64" i="5"/>
  <c r="BG64" i="5" s="1"/>
  <c r="BL64" i="5" s="1"/>
  <c r="AC436" i="5"/>
  <c r="BE429" i="5"/>
  <c r="BG429" i="5" s="1"/>
  <c r="BL429" i="5" s="1"/>
  <c r="AD246" i="5"/>
  <c r="AC296" i="5"/>
  <c r="BE399" i="5"/>
  <c r="BF399" i="5" s="1"/>
  <c r="BK399" i="5" s="1"/>
  <c r="AD296" i="5"/>
  <c r="AC399" i="5"/>
  <c r="AD47" i="5"/>
  <c r="BE349" i="5"/>
  <c r="BG349" i="5" s="1"/>
  <c r="BL349" i="5" s="1"/>
  <c r="AD105" i="5"/>
  <c r="BE169" i="5"/>
  <c r="BF169" i="5" s="1"/>
  <c r="BK169" i="5" s="1"/>
  <c r="AC165" i="5"/>
  <c r="BE281" i="5"/>
  <c r="BF281" i="5" s="1"/>
  <c r="BK281" i="5" s="1"/>
  <c r="AC56" i="5"/>
  <c r="AD406" i="5"/>
  <c r="AC183" i="5"/>
  <c r="AC372" i="5"/>
  <c r="AC307" i="5"/>
  <c r="AC432" i="5"/>
  <c r="AC359" i="5"/>
  <c r="AD71" i="5"/>
  <c r="BE455" i="5"/>
  <c r="BF455" i="5" s="1"/>
  <c r="BK455" i="5" s="1"/>
  <c r="AD432" i="5"/>
  <c r="BE71" i="5"/>
  <c r="BG71" i="5" s="1"/>
  <c r="BL71" i="5" s="1"/>
  <c r="AC455" i="5"/>
  <c r="BE235" i="5"/>
  <c r="BF235" i="5" s="1"/>
  <c r="BK235" i="5" s="1"/>
  <c r="AD235" i="5"/>
  <c r="BE116" i="5"/>
  <c r="BG116" i="5" s="1"/>
  <c r="BL116" i="5" s="1"/>
  <c r="AD161" i="5"/>
  <c r="AC116" i="5"/>
  <c r="BE519" i="5"/>
  <c r="BF519" i="5" s="1"/>
  <c r="BK519" i="5" s="1"/>
  <c r="AD34" i="5"/>
  <c r="AC519" i="5"/>
  <c r="AD183" i="5"/>
  <c r="BE406" i="5"/>
  <c r="BF406" i="5" s="1"/>
  <c r="BK406" i="5" s="1"/>
  <c r="AD165" i="5"/>
  <c r="AD298" i="5"/>
  <c r="AD449" i="5"/>
  <c r="AD322" i="5"/>
  <c r="AD281" i="5"/>
  <c r="BE105" i="5"/>
  <c r="BG105" i="5" s="1"/>
  <c r="BL105" i="5" s="1"/>
  <c r="AC298" i="5"/>
  <c r="BE56" i="5"/>
  <c r="BG56" i="5" s="1"/>
  <c r="BL56" i="5" s="1"/>
  <c r="AC322" i="5"/>
  <c r="BE372" i="5"/>
  <c r="BG372" i="5" s="1"/>
  <c r="BL372" i="5" s="1"/>
  <c r="AC349" i="5"/>
  <c r="BE152" i="5"/>
  <c r="BG152" i="5" s="1"/>
  <c r="BL152" i="5" s="1"/>
  <c r="BE470" i="5"/>
  <c r="BF470" i="5" s="1"/>
  <c r="BK470" i="5" s="1"/>
  <c r="AC169" i="5"/>
  <c r="BE209" i="5"/>
  <c r="BF209" i="5" s="1"/>
  <c r="BK209" i="5" s="1"/>
  <c r="AC152" i="5"/>
  <c r="AD451" i="5"/>
  <c r="AC470" i="5"/>
  <c r="AD501" i="5"/>
  <c r="AD209" i="5"/>
  <c r="BE34" i="5"/>
  <c r="BF34" i="5" s="1"/>
  <c r="BK34" i="5" s="1"/>
  <c r="BE451" i="5"/>
  <c r="BG451" i="5" s="1"/>
  <c r="BL451" i="5" s="1"/>
  <c r="BE144" i="5"/>
  <c r="BF144" i="5" s="1"/>
  <c r="BK144" i="5" s="1"/>
  <c r="AC334" i="5"/>
  <c r="AC481" i="5"/>
  <c r="BE501" i="5"/>
  <c r="BF501" i="5" s="1"/>
  <c r="BK501" i="5" s="1"/>
  <c r="BE505" i="5"/>
  <c r="BF505" i="5" s="1"/>
  <c r="BK505" i="5" s="1"/>
  <c r="BE433" i="5"/>
  <c r="BG433" i="5" s="1"/>
  <c r="BL433" i="5" s="1"/>
  <c r="AC367" i="5"/>
  <c r="AC144" i="5"/>
  <c r="BE334" i="5"/>
  <c r="BF334" i="5" s="1"/>
  <c r="BK334" i="5" s="1"/>
  <c r="AC449" i="5"/>
  <c r="AD481" i="5"/>
  <c r="AC505" i="5"/>
  <c r="AC433" i="5"/>
  <c r="BE367" i="5"/>
  <c r="BF367" i="5" s="1"/>
  <c r="BK367" i="5" s="1"/>
  <c r="AC185" i="5"/>
  <c r="AC233" i="5"/>
  <c r="BE79" i="5"/>
  <c r="BF79" i="5" s="1"/>
  <c r="BK79" i="5" s="1"/>
  <c r="BE35" i="5"/>
  <c r="BG35" i="5" s="1"/>
  <c r="BL35" i="5" s="1"/>
  <c r="AD510" i="5"/>
  <c r="BE260" i="5"/>
  <c r="BG260" i="5" s="1"/>
  <c r="BL260" i="5" s="1"/>
  <c r="BE537" i="5"/>
  <c r="BF537" i="5" s="1"/>
  <c r="BK537" i="5" s="1"/>
  <c r="AC35" i="5"/>
  <c r="BE233" i="5"/>
  <c r="BG233" i="5" s="1"/>
  <c r="BL233" i="5" s="1"/>
  <c r="AC537" i="5"/>
  <c r="AC303" i="5"/>
  <c r="BE303" i="5"/>
  <c r="BF303" i="5" s="1"/>
  <c r="BK303" i="5" s="1"/>
  <c r="AD416" i="5"/>
  <c r="AD266" i="5"/>
  <c r="BE163" i="5"/>
  <c r="BF163" i="5" s="1"/>
  <c r="BK163" i="5" s="1"/>
  <c r="AC317" i="5"/>
  <c r="BE364" i="5"/>
  <c r="BF364" i="5" s="1"/>
  <c r="BK364" i="5" s="1"/>
  <c r="AD317" i="5"/>
  <c r="AC19" i="5"/>
  <c r="BE389" i="5"/>
  <c r="BG389" i="5" s="1"/>
  <c r="BL389" i="5" s="1"/>
  <c r="BE122" i="5"/>
  <c r="BG122" i="5" s="1"/>
  <c r="BL122" i="5" s="1"/>
  <c r="AD260" i="5"/>
  <c r="AC36" i="5"/>
  <c r="AC79" i="5"/>
  <c r="AC389" i="5"/>
  <c r="AC447" i="5"/>
  <c r="BE465" i="5"/>
  <c r="BF465" i="5" s="1"/>
  <c r="BK465" i="5" s="1"/>
  <c r="BE239" i="5"/>
  <c r="BF239" i="5" s="1"/>
  <c r="BK239" i="5" s="1"/>
  <c r="AD552" i="5"/>
  <c r="BE47" i="5"/>
  <c r="BG47" i="5" s="1"/>
  <c r="BL47" i="5" s="1"/>
  <c r="AC188" i="5"/>
  <c r="AD8" i="5"/>
  <c r="BE254" i="5"/>
  <c r="BG254" i="5" s="1"/>
  <c r="BL254" i="5" s="1"/>
  <c r="AD332" i="5"/>
  <c r="AD188" i="5"/>
  <c r="AC254" i="5"/>
  <c r="BE332" i="5"/>
  <c r="BG332" i="5" s="1"/>
  <c r="BL332" i="5" s="1"/>
  <c r="BE206" i="5"/>
  <c r="BF206" i="5" s="1"/>
  <c r="BK206" i="5" s="1"/>
  <c r="AC206" i="5"/>
  <c r="BE331" i="5"/>
  <c r="BF331" i="5" s="1"/>
  <c r="BK331" i="5" s="1"/>
  <c r="BE232" i="5"/>
  <c r="BG232" i="5" s="1"/>
  <c r="BL232" i="5" s="1"/>
  <c r="AD331" i="5"/>
  <c r="AC454" i="5"/>
  <c r="BE325" i="5"/>
  <c r="BF325" i="5" s="1"/>
  <c r="BK325" i="5" s="1"/>
  <c r="AC325" i="5"/>
  <c r="AC479" i="5"/>
  <c r="BE108" i="5"/>
  <c r="BG108" i="5" s="1"/>
  <c r="BL108" i="5" s="1"/>
  <c r="AC8" i="5"/>
  <c r="BE37" i="5"/>
  <c r="BF37" i="5" s="1"/>
  <c r="BK37" i="5" s="1"/>
  <c r="AD137" i="5"/>
  <c r="AC95" i="5"/>
  <c r="BE32" i="5"/>
  <c r="BF32" i="5" s="1"/>
  <c r="BK32" i="5" s="1"/>
  <c r="BE395" i="5"/>
  <c r="BF395" i="5" s="1"/>
  <c r="BK395" i="5" s="1"/>
  <c r="AC551" i="5"/>
  <c r="AD212" i="5"/>
  <c r="AC32" i="5"/>
  <c r="AD37" i="5"/>
  <c r="AC178" i="5"/>
  <c r="BE101" i="5"/>
  <c r="BG101" i="5" s="1"/>
  <c r="BL101" i="5" s="1"/>
  <c r="AC395" i="5"/>
  <c r="BE212" i="5"/>
  <c r="BG212" i="5" s="1"/>
  <c r="BL212" i="5" s="1"/>
  <c r="AD282" i="5"/>
  <c r="BE178" i="5"/>
  <c r="BF178" i="5" s="1"/>
  <c r="BK178" i="5" s="1"/>
  <c r="AC101" i="5"/>
  <c r="AD391" i="5"/>
  <c r="AC534" i="5"/>
  <c r="BE282" i="5"/>
  <c r="BF282" i="5" s="1"/>
  <c r="BK282" i="5" s="1"/>
  <c r="AC170" i="5"/>
  <c r="BE216" i="5"/>
  <c r="BF216" i="5" s="1"/>
  <c r="BK216" i="5" s="1"/>
  <c r="BE259" i="5"/>
  <c r="BF259" i="5" s="1"/>
  <c r="BK259" i="5" s="1"/>
  <c r="BE391" i="5"/>
  <c r="BG391" i="5" s="1"/>
  <c r="BL391" i="5" s="1"/>
  <c r="AD534" i="5"/>
  <c r="BE494" i="5"/>
  <c r="BF494" i="5" s="1"/>
  <c r="BK494" i="5" s="1"/>
  <c r="AD170" i="5"/>
  <c r="AD216" i="5"/>
  <c r="BE72" i="5"/>
  <c r="BG72" i="5" s="1"/>
  <c r="BL72" i="5" s="1"/>
  <c r="AC259" i="5"/>
  <c r="BE454" i="5"/>
  <c r="BG454" i="5" s="1"/>
  <c r="BL454" i="5" s="1"/>
  <c r="BE283" i="5"/>
  <c r="BG283" i="5" s="1"/>
  <c r="BL283" i="5" s="1"/>
  <c r="AD286" i="5"/>
  <c r="AD365" i="5"/>
  <c r="AC464" i="5"/>
  <c r="AD283" i="5"/>
  <c r="BE28" i="5"/>
  <c r="BG28" i="5" s="1"/>
  <c r="BL28" i="5" s="1"/>
  <c r="AD464" i="5"/>
  <c r="AD479" i="5"/>
  <c r="BE185" i="5"/>
  <c r="BF185" i="5" s="1"/>
  <c r="BK185" i="5" s="1"/>
  <c r="AC466" i="5"/>
  <c r="BE45" i="5"/>
  <c r="BF45" i="5" s="1"/>
  <c r="BK45" i="5" s="1"/>
  <c r="BE557" i="5"/>
  <c r="BG557" i="5" s="1"/>
  <c r="BL557" i="5" s="1"/>
  <c r="AD108" i="5"/>
  <c r="BE286" i="5"/>
  <c r="BF286" i="5" s="1"/>
  <c r="BK286" i="5" s="1"/>
  <c r="BE365" i="5"/>
  <c r="BF365" i="5" s="1"/>
  <c r="BK365" i="5" s="1"/>
  <c r="AC557" i="5"/>
  <c r="AD10" i="5"/>
  <c r="BE174" i="5"/>
  <c r="BF174" i="5" s="1"/>
  <c r="BK174" i="5" s="1"/>
  <c r="AD64" i="5"/>
  <c r="AD143" i="5"/>
  <c r="AC159" i="5"/>
  <c r="AC72" i="5"/>
  <c r="BE234" i="5"/>
  <c r="BF234" i="5" s="1"/>
  <c r="BK234" i="5" s="1"/>
  <c r="AC396" i="5"/>
  <c r="AD157" i="5"/>
  <c r="AC264" i="5"/>
  <c r="AD396" i="5"/>
  <c r="AC157" i="5"/>
  <c r="BE264" i="5"/>
  <c r="BG264" i="5" s="1"/>
  <c r="BL264" i="5" s="1"/>
  <c r="AC45" i="5"/>
  <c r="BE453" i="5"/>
  <c r="BF453" i="5" s="1"/>
  <c r="BK453" i="5" s="1"/>
  <c r="BE241" i="5"/>
  <c r="BG241" i="5" s="1"/>
  <c r="BL241" i="5" s="1"/>
  <c r="AC28" i="5"/>
  <c r="AD241" i="5"/>
  <c r="AD453" i="5"/>
  <c r="BE125" i="5"/>
  <c r="BG125" i="5" s="1"/>
  <c r="BL125" i="5" s="1"/>
  <c r="BE193" i="5"/>
  <c r="BF193" i="5" s="1"/>
  <c r="BK193" i="5" s="1"/>
  <c r="BE65" i="5"/>
  <c r="BF65" i="5" s="1"/>
  <c r="BK65" i="5" s="1"/>
  <c r="AD466" i="5"/>
  <c r="AC125" i="5"/>
  <c r="BE177" i="5"/>
  <c r="BF177" i="5" s="1"/>
  <c r="BK177" i="5" s="1"/>
  <c r="AC193" i="5"/>
  <c r="AD65" i="5"/>
  <c r="AC177" i="5"/>
  <c r="AD507" i="5"/>
  <c r="AD459" i="5"/>
  <c r="AC189" i="5"/>
  <c r="AC329" i="5"/>
  <c r="AD192" i="5"/>
  <c r="BE521" i="5"/>
  <c r="BF521" i="5" s="1"/>
  <c r="BK521" i="5" s="1"/>
  <c r="AC256" i="5"/>
  <c r="BE39" i="5"/>
  <c r="BG39" i="5" s="1"/>
  <c r="BL39" i="5" s="1"/>
  <c r="AC192" i="5"/>
  <c r="AC521" i="5"/>
  <c r="BE91" i="5"/>
  <c r="BF91" i="5" s="1"/>
  <c r="BK91" i="5" s="1"/>
  <c r="AD256" i="5"/>
  <c r="AC184" i="5"/>
  <c r="AC39" i="5"/>
  <c r="AC362" i="5"/>
  <c r="BE417" i="5"/>
  <c r="BF417" i="5" s="1"/>
  <c r="BK417" i="5" s="1"/>
  <c r="BE75" i="5"/>
  <c r="BF75" i="5" s="1"/>
  <c r="BK75" i="5" s="1"/>
  <c r="BE184" i="5"/>
  <c r="BF184" i="5" s="1"/>
  <c r="BK184" i="5" s="1"/>
  <c r="BE362" i="5"/>
  <c r="BF362" i="5" s="1"/>
  <c r="BK362" i="5" s="1"/>
  <c r="AD417" i="5"/>
  <c r="AD91" i="5"/>
  <c r="AC311" i="5"/>
  <c r="AD75" i="5"/>
  <c r="AC500" i="5"/>
  <c r="BE353" i="5"/>
  <c r="BG353" i="5" s="1"/>
  <c r="BL353" i="5" s="1"/>
  <c r="BE119" i="5"/>
  <c r="BF119" i="5" s="1"/>
  <c r="BK119" i="5" s="1"/>
  <c r="AC181" i="5"/>
  <c r="BE99" i="5"/>
  <c r="BG99" i="5" s="1"/>
  <c r="BL99" i="5" s="1"/>
  <c r="BE213" i="5"/>
  <c r="BG213" i="5" s="1"/>
  <c r="BL213" i="5" s="1"/>
  <c r="AD311" i="5"/>
  <c r="BE218" i="5"/>
  <c r="BF218" i="5" s="1"/>
  <c r="BK218" i="5" s="1"/>
  <c r="AC119" i="5"/>
  <c r="BE181" i="5"/>
  <c r="BG181" i="5" s="1"/>
  <c r="BL181" i="5" s="1"/>
  <c r="AC99" i="5"/>
  <c r="BE414" i="5"/>
  <c r="BF414" i="5" s="1"/>
  <c r="BK414" i="5" s="1"/>
  <c r="AD213" i="5"/>
  <c r="AD500" i="5"/>
  <c r="BE424" i="5"/>
  <c r="BF424" i="5" s="1"/>
  <c r="BK424" i="5" s="1"/>
  <c r="BE459" i="5"/>
  <c r="BG459" i="5" s="1"/>
  <c r="BL459" i="5" s="1"/>
  <c r="AC424" i="5"/>
  <c r="AD189" i="5"/>
  <c r="AD414" i="5"/>
  <c r="BE329" i="5"/>
  <c r="BF329" i="5" s="1"/>
  <c r="BK329" i="5" s="1"/>
  <c r="AC416" i="5"/>
  <c r="BE510" i="5"/>
  <c r="BG510" i="5" s="1"/>
  <c r="BL510" i="5" s="1"/>
  <c r="AD13" i="5"/>
  <c r="AC465" i="5"/>
  <c r="AD364" i="5"/>
  <c r="AD163" i="5"/>
  <c r="AC239" i="5"/>
  <c r="AD122" i="5"/>
  <c r="AD447" i="5"/>
  <c r="AC13" i="5"/>
  <c r="BE36" i="5"/>
  <c r="BG36" i="5" s="1"/>
  <c r="BL36" i="5" s="1"/>
  <c r="BE280" i="5"/>
  <c r="BF280" i="5" s="1"/>
  <c r="BK280" i="5" s="1"/>
  <c r="AD77" i="5"/>
  <c r="AC280" i="5"/>
  <c r="AC554" i="5"/>
  <c r="BE77" i="5"/>
  <c r="BF77" i="5" s="1"/>
  <c r="BK77" i="5" s="1"/>
  <c r="BE554" i="5"/>
  <c r="BG554" i="5" s="1"/>
  <c r="BL554" i="5" s="1"/>
  <c r="BE145" i="5"/>
  <c r="BG145" i="5" s="1"/>
  <c r="BL145" i="5" s="1"/>
  <c r="BE287" i="5"/>
  <c r="BF287" i="5" s="1"/>
  <c r="BK287" i="5" s="1"/>
  <c r="AC145" i="5"/>
  <c r="AC287" i="5"/>
  <c r="BE266" i="5"/>
  <c r="BG266" i="5" s="1"/>
  <c r="BL266" i="5" s="1"/>
  <c r="BE382" i="5"/>
  <c r="BG382" i="5" s="1"/>
  <c r="BL382" i="5" s="1"/>
  <c r="AC382" i="5"/>
  <c r="AC427" i="5"/>
  <c r="BE52" i="5"/>
  <c r="BG52" i="5" s="1"/>
  <c r="BL52" i="5" s="1"/>
  <c r="AD486" i="5"/>
  <c r="BE509" i="5"/>
  <c r="BG509" i="5" s="1"/>
  <c r="BL509" i="5" s="1"/>
  <c r="AC509" i="5"/>
  <c r="AC498" i="5"/>
  <c r="AD427" i="5"/>
  <c r="BE98" i="5"/>
  <c r="BF98" i="5" s="1"/>
  <c r="BK98" i="5" s="1"/>
  <c r="AC486" i="5"/>
  <c r="BE376" i="5"/>
  <c r="BG376" i="5" s="1"/>
  <c r="BL376" i="5" s="1"/>
  <c r="AC52" i="5"/>
  <c r="AD153" i="5"/>
  <c r="BE248" i="5"/>
  <c r="BF248" i="5" s="1"/>
  <c r="BK248" i="5" s="1"/>
  <c r="BE498" i="5"/>
  <c r="BG498" i="5" s="1"/>
  <c r="BL498" i="5" s="1"/>
  <c r="AD98" i="5"/>
  <c r="AC376" i="5"/>
  <c r="BE153" i="5"/>
  <c r="BF153" i="5" s="1"/>
  <c r="BK153" i="5" s="1"/>
  <c r="AD248" i="5"/>
  <c r="BE345" i="5"/>
  <c r="BG345" i="5" s="1"/>
  <c r="BL345" i="5" s="1"/>
  <c r="BE352" i="5"/>
  <c r="BG352" i="5" s="1"/>
  <c r="BL352" i="5" s="1"/>
  <c r="AC345" i="5"/>
  <c r="AC352" i="5"/>
  <c r="AC10" i="5"/>
  <c r="AD202" i="5"/>
  <c r="AC142" i="5"/>
  <c r="AC503" i="5"/>
  <c r="AD538" i="5"/>
  <c r="BE24" i="5"/>
  <c r="BG24" i="5" s="1"/>
  <c r="BL24" i="5" s="1"/>
  <c r="AD142" i="5"/>
  <c r="BE81" i="5"/>
  <c r="BF81" i="5" s="1"/>
  <c r="BK81" i="5" s="1"/>
  <c r="AD503" i="5"/>
  <c r="BE268" i="5"/>
  <c r="BF268" i="5" s="1"/>
  <c r="BK268" i="5" s="1"/>
  <c r="AC136" i="5"/>
  <c r="AC81" i="5"/>
  <c r="AC268" i="5"/>
  <c r="AD24" i="5"/>
  <c r="BE538" i="5"/>
  <c r="BF538" i="5" s="1"/>
  <c r="BK538" i="5" s="1"/>
  <c r="AD20" i="5"/>
  <c r="BE136" i="5"/>
  <c r="BG136" i="5" s="1"/>
  <c r="BL136" i="5" s="1"/>
  <c r="BE398" i="5"/>
  <c r="BG398" i="5" s="1"/>
  <c r="BL398" i="5" s="1"/>
  <c r="BE162" i="5"/>
  <c r="BF162" i="5" s="1"/>
  <c r="BK162" i="5" s="1"/>
  <c r="BE20" i="5"/>
  <c r="BG20" i="5" s="1"/>
  <c r="BL20" i="5" s="1"/>
  <c r="AC398" i="5"/>
  <c r="BE263" i="5"/>
  <c r="BG263" i="5" s="1"/>
  <c r="BL263" i="5" s="1"/>
  <c r="BE536" i="5"/>
  <c r="BF536" i="5" s="1"/>
  <c r="BK536" i="5" s="1"/>
  <c r="AD310" i="5"/>
  <c r="BE546" i="5"/>
  <c r="BG546" i="5" s="1"/>
  <c r="BL546" i="5" s="1"/>
  <c r="AC162" i="5"/>
  <c r="AD227" i="5"/>
  <c r="AC263" i="5"/>
  <c r="AC536" i="5"/>
  <c r="BE310" i="5"/>
  <c r="BG310" i="5" s="1"/>
  <c r="BL310" i="5" s="1"/>
  <c r="AC546" i="5"/>
  <c r="AC227" i="5"/>
  <c r="BE202" i="5"/>
  <c r="BG202" i="5" s="1"/>
  <c r="BL202" i="5" s="1"/>
  <c r="BE507" i="5"/>
  <c r="BG507" i="5" s="1"/>
  <c r="BL507" i="5" s="1"/>
  <c r="BE487" i="5"/>
  <c r="BF487" i="5" s="1"/>
  <c r="BK487" i="5" s="1"/>
  <c r="BE76" i="5"/>
  <c r="BG76" i="5" s="1"/>
  <c r="BL76" i="5" s="1"/>
  <c r="AC487" i="5"/>
  <c r="AC76" i="5"/>
  <c r="AC218" i="5"/>
  <c r="BE127" i="5"/>
  <c r="BG127" i="5" s="1"/>
  <c r="BL127" i="5" s="1"/>
  <c r="BE321" i="5"/>
  <c r="BG321" i="5" s="1"/>
  <c r="BL321" i="5" s="1"/>
  <c r="AC353" i="5"/>
  <c r="BE27" i="5"/>
  <c r="BG27" i="5" s="1"/>
  <c r="BL27" i="5" s="1"/>
  <c r="AC127" i="5"/>
  <c r="AC321" i="5"/>
  <c r="AC485" i="5"/>
  <c r="AD27" i="5"/>
  <c r="BE493" i="5"/>
  <c r="BF493" i="5" s="1"/>
  <c r="BK493" i="5" s="1"/>
  <c r="AD485" i="5"/>
  <c r="BE551" i="5"/>
  <c r="BF551" i="5" s="1"/>
  <c r="BK551" i="5" s="1"/>
  <c r="AC493" i="5"/>
  <c r="AD12" i="5"/>
  <c r="AC12" i="5"/>
  <c r="AC475" i="5"/>
  <c r="AC234" i="5"/>
  <c r="BE475" i="5"/>
  <c r="BG475" i="5" s="1"/>
  <c r="BL475" i="5" s="1"/>
  <c r="BE314" i="5"/>
  <c r="BF314" i="5" s="1"/>
  <c r="BK314" i="5" s="1"/>
  <c r="AD159" i="5"/>
  <c r="AC314" i="5"/>
  <c r="BE25" i="5"/>
  <c r="BG25" i="5" s="1"/>
  <c r="BL25" i="5" s="1"/>
  <c r="BE506" i="5"/>
  <c r="BG506" i="5" s="1"/>
  <c r="BL506" i="5" s="1"/>
  <c r="AD25" i="5"/>
  <c r="AC506" i="5"/>
  <c r="AD326" i="5"/>
  <c r="AC255" i="5"/>
  <c r="AD255" i="5"/>
  <c r="BE277" i="5"/>
  <c r="BF277" i="5" s="1"/>
  <c r="BK277" i="5" s="1"/>
  <c r="AD277" i="5"/>
  <c r="BE273" i="5"/>
  <c r="BF273" i="5" s="1"/>
  <c r="BK273" i="5" s="1"/>
  <c r="AD273" i="5"/>
  <c r="BE326" i="5"/>
  <c r="BF326" i="5" s="1"/>
  <c r="BK326" i="5" s="1"/>
  <c r="AO545" i="5"/>
  <c r="AP545" i="5" s="1"/>
  <c r="AO297" i="5"/>
  <c r="AQ297" i="5" s="1"/>
  <c r="AO280" i="5"/>
  <c r="AP280" i="5" s="1"/>
  <c r="AO307" i="5"/>
  <c r="BH307" i="5" s="1"/>
  <c r="AO61" i="5"/>
  <c r="AQ61" i="5" s="1"/>
  <c r="AO256" i="5"/>
  <c r="AP256" i="5" s="1"/>
  <c r="AO383" i="5"/>
  <c r="AQ383" i="5" s="1"/>
  <c r="AO167" i="5"/>
  <c r="AQ167" i="5" s="1"/>
  <c r="AO537" i="5"/>
  <c r="BH537" i="5" s="1"/>
  <c r="AO289" i="5"/>
  <c r="AP289" i="5" s="1"/>
  <c r="AO41" i="5"/>
  <c r="AQ41" i="5" s="1"/>
  <c r="AO74" i="5"/>
  <c r="AP74" i="5" s="1"/>
  <c r="AO402" i="5"/>
  <c r="AP402" i="5" s="1"/>
  <c r="AO165" i="5"/>
  <c r="BH165" i="5" s="1"/>
  <c r="AO507" i="5"/>
  <c r="AP507" i="5" s="1"/>
  <c r="AO214" i="5"/>
  <c r="BH214" i="5" s="1"/>
  <c r="AO208" i="5"/>
  <c r="BH208" i="5" s="1"/>
  <c r="AO499" i="5"/>
  <c r="BH499" i="5" s="1"/>
  <c r="AB9" i="5"/>
  <c r="AD9" i="5" s="1"/>
  <c r="AO250" i="5"/>
  <c r="BH250" i="5" s="1"/>
  <c r="AO555" i="5"/>
  <c r="AQ555" i="5" s="1"/>
  <c r="AO59" i="5"/>
  <c r="AQ59" i="5" s="1"/>
  <c r="AO282" i="5"/>
  <c r="AQ282" i="5" s="1"/>
  <c r="AO262" i="5"/>
  <c r="AP262" i="5" s="1"/>
  <c r="AO557" i="5"/>
  <c r="AP557" i="5" s="1"/>
  <c r="AO504" i="5"/>
  <c r="AQ504" i="5" s="1"/>
  <c r="AO391" i="5"/>
  <c r="BH391" i="5" s="1"/>
  <c r="AO336" i="5"/>
  <c r="AQ336" i="5" s="1"/>
  <c r="AO24" i="5"/>
  <c r="AQ24" i="5" s="1"/>
  <c r="AO35" i="5"/>
  <c r="BH35" i="5" s="1"/>
  <c r="AO322" i="5"/>
  <c r="BH322" i="5" s="1"/>
  <c r="AO369" i="5"/>
  <c r="BH369" i="5" s="1"/>
  <c r="AO57" i="5"/>
  <c r="AQ57" i="5" s="1"/>
  <c r="AO68" i="5"/>
  <c r="AP68" i="5" s="1"/>
  <c r="AO363" i="5"/>
  <c r="BH363" i="5" s="1"/>
  <c r="AO115" i="5"/>
  <c r="AP115" i="5" s="1"/>
  <c r="AO90" i="5"/>
  <c r="AQ90" i="5" s="1"/>
  <c r="AO101" i="5"/>
  <c r="BH101" i="5" s="1"/>
  <c r="AO396" i="5"/>
  <c r="AP396" i="5" s="1"/>
  <c r="AO148" i="5"/>
  <c r="BH148" i="5" s="1"/>
  <c r="AO443" i="5"/>
  <c r="BH443" i="5" s="1"/>
  <c r="AO484" i="5"/>
  <c r="BH484" i="5" s="1"/>
  <c r="AO321" i="5"/>
  <c r="AP321" i="5" s="1"/>
  <c r="AO219" i="5"/>
  <c r="AQ219" i="5" s="1"/>
  <c r="AO131" i="5"/>
  <c r="AQ131" i="5" s="1"/>
  <c r="AO354" i="5"/>
  <c r="AQ354" i="5" s="1"/>
  <c r="AO42" i="5"/>
  <c r="AP42" i="5" s="1"/>
  <c r="AO164" i="5"/>
  <c r="AP164" i="5" s="1"/>
  <c r="AO395" i="5"/>
  <c r="BH395" i="5" s="1"/>
  <c r="AO83" i="5"/>
  <c r="BH83" i="5" s="1"/>
  <c r="AO197" i="5"/>
  <c r="BH197" i="5" s="1"/>
  <c r="AO428" i="5"/>
  <c r="AQ428" i="5" s="1"/>
  <c r="AO116" i="5"/>
  <c r="BH116" i="5" s="1"/>
  <c r="AO349" i="5"/>
  <c r="BH349" i="5" s="1"/>
  <c r="AO230" i="5"/>
  <c r="AQ230" i="5" s="1"/>
  <c r="AO149" i="5"/>
  <c r="AQ149" i="5" s="1"/>
  <c r="AO413" i="5"/>
  <c r="BH413" i="5" s="1"/>
  <c r="AO351" i="5"/>
  <c r="AP351" i="5" s="1"/>
  <c r="AO494" i="5"/>
  <c r="AQ494" i="5" s="1"/>
  <c r="AO182" i="5"/>
  <c r="AQ182" i="5" s="1"/>
  <c r="AO477" i="5"/>
  <c r="AP477" i="5" s="1"/>
  <c r="AO127" i="5"/>
  <c r="AQ127" i="5" s="1"/>
  <c r="AO535" i="5"/>
  <c r="AP535" i="5" s="1"/>
  <c r="AO541" i="5"/>
  <c r="BH541" i="5" s="1"/>
  <c r="AO457" i="5"/>
  <c r="BH457" i="5" s="1"/>
  <c r="AO337" i="5"/>
  <c r="AQ337" i="5" s="1"/>
  <c r="AO124" i="5"/>
  <c r="AQ124" i="5" s="1"/>
  <c r="BG511" i="5"/>
  <c r="BL511" i="5" s="1"/>
  <c r="BF511" i="5"/>
  <c r="BK511" i="5" s="1"/>
  <c r="BF67" i="5"/>
  <c r="BK67" i="5" s="1"/>
  <c r="BG67" i="5"/>
  <c r="BL67" i="5" s="1"/>
  <c r="AM465" i="5"/>
  <c r="AN465" i="5"/>
  <c r="AN517" i="5"/>
  <c r="AM517" i="5"/>
  <c r="AN288" i="5"/>
  <c r="AM288" i="5"/>
  <c r="AM225" i="5"/>
  <c r="AN225" i="5"/>
  <c r="AM528" i="5"/>
  <c r="AN528" i="5"/>
  <c r="AN283" i="5"/>
  <c r="AM283" i="5"/>
  <c r="AN552" i="5"/>
  <c r="AM552" i="5"/>
  <c r="AN301" i="5"/>
  <c r="AM301" i="5"/>
  <c r="AM358" i="5"/>
  <c r="AN358" i="5"/>
  <c r="AM23" i="5"/>
  <c r="AN23" i="5"/>
  <c r="AN247" i="5"/>
  <c r="AM247" i="5"/>
  <c r="AN241" i="5"/>
  <c r="AM241" i="5"/>
  <c r="AN316" i="5"/>
  <c r="AM316" i="5"/>
  <c r="AM438" i="5"/>
  <c r="AN438" i="5"/>
  <c r="AN281" i="5"/>
  <c r="AM281" i="5"/>
  <c r="AM376" i="5"/>
  <c r="AN376" i="5"/>
  <c r="AN445" i="5"/>
  <c r="AM445" i="5"/>
  <c r="AN313" i="5"/>
  <c r="AM313" i="5"/>
  <c r="AM224" i="5"/>
  <c r="AN224" i="5"/>
  <c r="AM243" i="5"/>
  <c r="AN243" i="5"/>
  <c r="AM377" i="5"/>
  <c r="AN377" i="5"/>
  <c r="AO49" i="5"/>
  <c r="AO260" i="5"/>
  <c r="AO309" i="5"/>
  <c r="AO552" i="5"/>
  <c r="AM209" i="5"/>
  <c r="AN209" i="5"/>
  <c r="AM128" i="5"/>
  <c r="AN128" i="5"/>
  <c r="AM476" i="5"/>
  <c r="AN476" i="5"/>
  <c r="AN560" i="5"/>
  <c r="AM560" i="5"/>
  <c r="AM461" i="5"/>
  <c r="AN461" i="5"/>
  <c r="AM538" i="5"/>
  <c r="AN538" i="5"/>
  <c r="BG307" i="5"/>
  <c r="BL307" i="5" s="1"/>
  <c r="BF307" i="5"/>
  <c r="BK307" i="5" s="1"/>
  <c r="BF161" i="5"/>
  <c r="BK161" i="5" s="1"/>
  <c r="BG161" i="5"/>
  <c r="BL161" i="5" s="1"/>
  <c r="AM9" i="5"/>
  <c r="AN9" i="5"/>
  <c r="BF447" i="5"/>
  <c r="BK447" i="5" s="1"/>
  <c r="BG447" i="5"/>
  <c r="BL447" i="5" s="1"/>
  <c r="BG430" i="5"/>
  <c r="BL430" i="5" s="1"/>
  <c r="BF430" i="5"/>
  <c r="BK430" i="5" s="1"/>
  <c r="BF553" i="5"/>
  <c r="BK553" i="5" s="1"/>
  <c r="BG553" i="5"/>
  <c r="BL553" i="5" s="1"/>
  <c r="BG305" i="5"/>
  <c r="BL305" i="5" s="1"/>
  <c r="BF305" i="5"/>
  <c r="BK305" i="5" s="1"/>
  <c r="AN342" i="5"/>
  <c r="AM342" i="5"/>
  <c r="AN276" i="5"/>
  <c r="AM276" i="5"/>
  <c r="AN257" i="5"/>
  <c r="AM257" i="5"/>
  <c r="AM49" i="5"/>
  <c r="AN49" i="5"/>
  <c r="AN56" i="5"/>
  <c r="AM56" i="5"/>
  <c r="AM299" i="5"/>
  <c r="AN299" i="5"/>
  <c r="AN246" i="5"/>
  <c r="AM246" i="5"/>
  <c r="BF30" i="5"/>
  <c r="BK30" i="5" s="1"/>
  <c r="BG30" i="5"/>
  <c r="BL30" i="5" s="1"/>
  <c r="BF258" i="5"/>
  <c r="BK258" i="5" s="1"/>
  <c r="BG258" i="5"/>
  <c r="BL258" i="5" s="1"/>
  <c r="BG278" i="5"/>
  <c r="BL278" i="5" s="1"/>
  <c r="BF278" i="5"/>
  <c r="BK278" i="5" s="1"/>
  <c r="BG404" i="5"/>
  <c r="BL404" i="5" s="1"/>
  <c r="BF404" i="5"/>
  <c r="BK404" i="5" s="1"/>
  <c r="AM462" i="5"/>
  <c r="AN462" i="5"/>
  <c r="AM239" i="5"/>
  <c r="AN239" i="5"/>
  <c r="AN180" i="5"/>
  <c r="AM180" i="5"/>
  <c r="AN160" i="5"/>
  <c r="AM160" i="5"/>
  <c r="AM330" i="5"/>
  <c r="AN330" i="5"/>
  <c r="AM417" i="5"/>
  <c r="AN417" i="5"/>
  <c r="AN367" i="5"/>
  <c r="AM367" i="5"/>
  <c r="BG448" i="5"/>
  <c r="BL448" i="5" s="1"/>
  <c r="BF448" i="5"/>
  <c r="BK448" i="5" s="1"/>
  <c r="BF541" i="5"/>
  <c r="BK541" i="5" s="1"/>
  <c r="BG541" i="5"/>
  <c r="BL541" i="5" s="1"/>
  <c r="BG133" i="5"/>
  <c r="BL133" i="5" s="1"/>
  <c r="BF133" i="5"/>
  <c r="BK133" i="5" s="1"/>
  <c r="AM324" i="5"/>
  <c r="AN324" i="5"/>
  <c r="AN25" i="5"/>
  <c r="AM25" i="5"/>
  <c r="AM267" i="5"/>
  <c r="AN267" i="5"/>
  <c r="AN319" i="5"/>
  <c r="AM319" i="5"/>
  <c r="AN22" i="5"/>
  <c r="AM22" i="5"/>
  <c r="AM30" i="5"/>
  <c r="AN30" i="5"/>
  <c r="AM357" i="5"/>
  <c r="AN357" i="5"/>
  <c r="AM122" i="5"/>
  <c r="AN122" i="5"/>
  <c r="BF478" i="5"/>
  <c r="BK478" i="5" s="1"/>
  <c r="BG478" i="5"/>
  <c r="BL478" i="5" s="1"/>
  <c r="BG272" i="5"/>
  <c r="BL272" i="5" s="1"/>
  <c r="BF272" i="5"/>
  <c r="BK272" i="5" s="1"/>
  <c r="AN260" i="5"/>
  <c r="AM260" i="5"/>
  <c r="AN333" i="5"/>
  <c r="AM333" i="5"/>
  <c r="AN309" i="5"/>
  <c r="AM309" i="5"/>
  <c r="AN421" i="5"/>
  <c r="AM421" i="5"/>
  <c r="AM203" i="5"/>
  <c r="AN203" i="5"/>
  <c r="AN184" i="5"/>
  <c r="AM184" i="5"/>
  <c r="BF522" i="5"/>
  <c r="BK522" i="5" s="1"/>
  <c r="BG522" i="5"/>
  <c r="BL522" i="5" s="1"/>
  <c r="BG221" i="5"/>
  <c r="BL221" i="5" s="1"/>
  <c r="BF221" i="5"/>
  <c r="BK221" i="5" s="1"/>
  <c r="AM439" i="5"/>
  <c r="AN439" i="5"/>
  <c r="AN378" i="5"/>
  <c r="AM378" i="5"/>
  <c r="AN459" i="5"/>
  <c r="AM459" i="5"/>
  <c r="AN72" i="5"/>
  <c r="AM72" i="5"/>
  <c r="AN175" i="5"/>
  <c r="AM175" i="5"/>
  <c r="AN320" i="5"/>
  <c r="AM320" i="5"/>
  <c r="AM554" i="5"/>
  <c r="AN554" i="5"/>
  <c r="BF231" i="5"/>
  <c r="BK231" i="5" s="1"/>
  <c r="BG231" i="5"/>
  <c r="BL231" i="5" s="1"/>
  <c r="BF434" i="5"/>
  <c r="BK434" i="5" s="1"/>
  <c r="BG434" i="5"/>
  <c r="BL434" i="5" s="1"/>
  <c r="BG488" i="5"/>
  <c r="BL488" i="5" s="1"/>
  <c r="BF488" i="5"/>
  <c r="BK488" i="5" s="1"/>
  <c r="BF107" i="5"/>
  <c r="BK107" i="5" s="1"/>
  <c r="BG107" i="5"/>
  <c r="BL107" i="5" s="1"/>
  <c r="AN473" i="5"/>
  <c r="AM473" i="5"/>
  <c r="AM455" i="5"/>
  <c r="AN455" i="5"/>
  <c r="AM480" i="5"/>
  <c r="AN480" i="5"/>
  <c r="AM434" i="5"/>
  <c r="AN434" i="5"/>
  <c r="AM120" i="5"/>
  <c r="AN120" i="5"/>
  <c r="AM162" i="5"/>
  <c r="AN162" i="5"/>
  <c r="BG252" i="5"/>
  <c r="BL252" i="5" s="1"/>
  <c r="BF252" i="5"/>
  <c r="BK252" i="5" s="1"/>
  <c r="BF63" i="5"/>
  <c r="BK63" i="5" s="1"/>
  <c r="BG63" i="5"/>
  <c r="BL63" i="5" s="1"/>
  <c r="AO283" i="5"/>
  <c r="AO316" i="5"/>
  <c r="AO461" i="5"/>
  <c r="AO224" i="5"/>
  <c r="BG492" i="5"/>
  <c r="BL492" i="5" s="1"/>
  <c r="BF492" i="5"/>
  <c r="BK492" i="5" s="1"/>
  <c r="BG97" i="5"/>
  <c r="BL97" i="5" s="1"/>
  <c r="BF97" i="5"/>
  <c r="BK97" i="5" s="1"/>
  <c r="BG420" i="5"/>
  <c r="BL420" i="5" s="1"/>
  <c r="BF420" i="5"/>
  <c r="BK420" i="5" s="1"/>
  <c r="BF83" i="5"/>
  <c r="BK83" i="5" s="1"/>
  <c r="BG83" i="5"/>
  <c r="BL83" i="5" s="1"/>
  <c r="BF199" i="5"/>
  <c r="BK199" i="5" s="1"/>
  <c r="BG199" i="5"/>
  <c r="BL199" i="5" s="1"/>
  <c r="BG157" i="5"/>
  <c r="BL157" i="5" s="1"/>
  <c r="BF157" i="5"/>
  <c r="BK157" i="5" s="1"/>
  <c r="BG165" i="5"/>
  <c r="BL165" i="5" s="1"/>
  <c r="BF165" i="5"/>
  <c r="BK165" i="5" s="1"/>
  <c r="BG164" i="5"/>
  <c r="BL164" i="5" s="1"/>
  <c r="BF164" i="5"/>
  <c r="BK164" i="5" s="1"/>
  <c r="BF386" i="5"/>
  <c r="BK386" i="5" s="1"/>
  <c r="BG386" i="5"/>
  <c r="BL386" i="5" s="1"/>
  <c r="BF320" i="5"/>
  <c r="BK320" i="5" s="1"/>
  <c r="BG320" i="5"/>
  <c r="BL320" i="5" s="1"/>
  <c r="BF204" i="5"/>
  <c r="BK204" i="5" s="1"/>
  <c r="BG204" i="5"/>
  <c r="BL204" i="5" s="1"/>
  <c r="BG219" i="5"/>
  <c r="BL219" i="5" s="1"/>
  <c r="BF219" i="5"/>
  <c r="BK219" i="5" s="1"/>
  <c r="BG150" i="5"/>
  <c r="BL150" i="5" s="1"/>
  <c r="BF150" i="5"/>
  <c r="BK150" i="5" s="1"/>
  <c r="BG170" i="5"/>
  <c r="BL170" i="5" s="1"/>
  <c r="BF170" i="5"/>
  <c r="BK170" i="5" s="1"/>
  <c r="BG126" i="5"/>
  <c r="BL126" i="5" s="1"/>
  <c r="BF126" i="5"/>
  <c r="BK126" i="5" s="1"/>
  <c r="BG29" i="5"/>
  <c r="BL29" i="5" s="1"/>
  <c r="BF29" i="5"/>
  <c r="BK29" i="5" s="1"/>
  <c r="BG167" i="5"/>
  <c r="BL167" i="5" s="1"/>
  <c r="BF167" i="5"/>
  <c r="BK167" i="5" s="1"/>
  <c r="BF62" i="5"/>
  <c r="BK62" i="5" s="1"/>
  <c r="BG62" i="5"/>
  <c r="BL62" i="5" s="1"/>
  <c r="BG121" i="5"/>
  <c r="BL121" i="5" s="1"/>
  <c r="BF121" i="5"/>
  <c r="BK121" i="5" s="1"/>
  <c r="AC482" i="5"/>
  <c r="AD482" i="5"/>
  <c r="BE482" i="5"/>
  <c r="AX9" i="5"/>
  <c r="AW9" i="5"/>
  <c r="BF60" i="5"/>
  <c r="BK60" i="5" s="1"/>
  <c r="BG60" i="5"/>
  <c r="BL60" i="5" s="1"/>
  <c r="BG531" i="5"/>
  <c r="BL531" i="5" s="1"/>
  <c r="BF531" i="5"/>
  <c r="BK531" i="5" s="1"/>
  <c r="BF401" i="5"/>
  <c r="BK401" i="5" s="1"/>
  <c r="BG401" i="5"/>
  <c r="BL401" i="5" s="1"/>
  <c r="BF93" i="5"/>
  <c r="BK93" i="5" s="1"/>
  <c r="BG93" i="5"/>
  <c r="BL93" i="5" s="1"/>
  <c r="BF450" i="5"/>
  <c r="BK450" i="5" s="1"/>
  <c r="BG450" i="5"/>
  <c r="BL450" i="5" s="1"/>
  <c r="AN11" i="5"/>
  <c r="AM11" i="5"/>
  <c r="AN291" i="5"/>
  <c r="AM291" i="5"/>
  <c r="AM500" i="5"/>
  <c r="AN500" i="5"/>
  <c r="AM379" i="5"/>
  <c r="AN379" i="5"/>
  <c r="AN419" i="5"/>
  <c r="AM419" i="5"/>
  <c r="AN543" i="5"/>
  <c r="AM543" i="5"/>
  <c r="AM336" i="5"/>
  <c r="AN336" i="5"/>
  <c r="AM551" i="5"/>
  <c r="AN551" i="5"/>
  <c r="AN539" i="5"/>
  <c r="AM539" i="5"/>
  <c r="AM112" i="5"/>
  <c r="AN112" i="5"/>
  <c r="AN430" i="5"/>
  <c r="AM430" i="5"/>
  <c r="AM86" i="5"/>
  <c r="AN86" i="5"/>
  <c r="AN510" i="5"/>
  <c r="AM510" i="5"/>
  <c r="AN436" i="5"/>
  <c r="AM436" i="5"/>
  <c r="AN429" i="5"/>
  <c r="AM429" i="5"/>
  <c r="AN228" i="5"/>
  <c r="AM228" i="5"/>
  <c r="AN146" i="5"/>
  <c r="AM146" i="5"/>
  <c r="AN535" i="5"/>
  <c r="AM535" i="5"/>
  <c r="AN136" i="5"/>
  <c r="AM136" i="5"/>
  <c r="AN134" i="5"/>
  <c r="AM134" i="5"/>
  <c r="AM149" i="5"/>
  <c r="AN149" i="5"/>
  <c r="AN403" i="5"/>
  <c r="AM403" i="5"/>
  <c r="AN519" i="5"/>
  <c r="AM519" i="5"/>
  <c r="AM374" i="5"/>
  <c r="AN374" i="5"/>
  <c r="AN487" i="5"/>
  <c r="AM487" i="5"/>
  <c r="AM107" i="5"/>
  <c r="AN107" i="5"/>
  <c r="AM306" i="5"/>
  <c r="AN306" i="5"/>
  <c r="AN226" i="5"/>
  <c r="AM226" i="5"/>
  <c r="AM261" i="5"/>
  <c r="AN261" i="5"/>
  <c r="AN311" i="5"/>
  <c r="AM311" i="5"/>
  <c r="AM10" i="5"/>
  <c r="AN10" i="5"/>
  <c r="AN118" i="5"/>
  <c r="AM118" i="5"/>
  <c r="AN345" i="5"/>
  <c r="AM345" i="5"/>
  <c r="AN67" i="5"/>
  <c r="AM67" i="5"/>
  <c r="AM450" i="5"/>
  <c r="AN450" i="5"/>
  <c r="AN204" i="5"/>
  <c r="AM204" i="5"/>
  <c r="AN518" i="5"/>
  <c r="AM518" i="5"/>
  <c r="AN431" i="5"/>
  <c r="AM431" i="5"/>
  <c r="AN304" i="5"/>
  <c r="AM304" i="5"/>
  <c r="AN170" i="5"/>
  <c r="AM170" i="5"/>
  <c r="AN244" i="5"/>
  <c r="AM244" i="5"/>
  <c r="AN533" i="5"/>
  <c r="AM533" i="5"/>
  <c r="AN168" i="5"/>
  <c r="AM168" i="5"/>
  <c r="AN104" i="5"/>
  <c r="AM104" i="5"/>
  <c r="AN307" i="5"/>
  <c r="AM307" i="5"/>
  <c r="AM547" i="5"/>
  <c r="AN547" i="5"/>
  <c r="AM399" i="5"/>
  <c r="AN399" i="5"/>
  <c r="AN206" i="5"/>
  <c r="AM206" i="5"/>
  <c r="AM556" i="5"/>
  <c r="AN556" i="5"/>
  <c r="AM163" i="5"/>
  <c r="AN163" i="5"/>
  <c r="AM61" i="5"/>
  <c r="AN61" i="5"/>
  <c r="AN132" i="5"/>
  <c r="AM132" i="5"/>
  <c r="AM454" i="5"/>
  <c r="AN454" i="5"/>
  <c r="AM407" i="5"/>
  <c r="AN407" i="5"/>
  <c r="AN503" i="5"/>
  <c r="AM503" i="5"/>
  <c r="AM335" i="5"/>
  <c r="AN335" i="5"/>
  <c r="AM156" i="5"/>
  <c r="AN156" i="5"/>
  <c r="AN82" i="5"/>
  <c r="AM82" i="5"/>
  <c r="AN157" i="5"/>
  <c r="AM157" i="5"/>
  <c r="AN92" i="5"/>
  <c r="AM92" i="5"/>
  <c r="AM91" i="5"/>
  <c r="AN91" i="5"/>
  <c r="AM362" i="5"/>
  <c r="AN362" i="5"/>
  <c r="AN269" i="5"/>
  <c r="AM269" i="5"/>
  <c r="AM186" i="5"/>
  <c r="AN186" i="5"/>
  <c r="AM76" i="5"/>
  <c r="AN76" i="5"/>
  <c r="AM181" i="5"/>
  <c r="AN181" i="5"/>
  <c r="AN108" i="5"/>
  <c r="AM108" i="5"/>
  <c r="AM137" i="5"/>
  <c r="AN137" i="5"/>
  <c r="AM392" i="5"/>
  <c r="AN392" i="5"/>
  <c r="AO227" i="5"/>
  <c r="AO514" i="5"/>
  <c r="AO266" i="5"/>
  <c r="AO19" i="5"/>
  <c r="AO249" i="5"/>
  <c r="AO229" i="5"/>
  <c r="AO524" i="5"/>
  <c r="AO276" i="5"/>
  <c r="AO28" i="5"/>
  <c r="AO422" i="5"/>
  <c r="AO95" i="5"/>
  <c r="AO526" i="5"/>
  <c r="AO278" i="5"/>
  <c r="AO30" i="5"/>
  <c r="AO473" i="5"/>
  <c r="AO225" i="5"/>
  <c r="AO520" i="5"/>
  <c r="AO272" i="5"/>
  <c r="AO12" i="5"/>
  <c r="AO506" i="5"/>
  <c r="AO258" i="5"/>
  <c r="AO553" i="5"/>
  <c r="AO305" i="5"/>
  <c r="AO536" i="5"/>
  <c r="AO547" i="5"/>
  <c r="AO299" i="5"/>
  <c r="AO51" i="5"/>
  <c r="AO338" i="5"/>
  <c r="AO26" i="5"/>
  <c r="AO37" i="5"/>
  <c r="AO332" i="5"/>
  <c r="AO84" i="5"/>
  <c r="AO379" i="5"/>
  <c r="AO515" i="5"/>
  <c r="AO70" i="5"/>
  <c r="AO365" i="5"/>
  <c r="AO117" i="5"/>
  <c r="AO412" i="5"/>
  <c r="AO67" i="5"/>
  <c r="AO290" i="5"/>
  <c r="AO521" i="5"/>
  <c r="AO306" i="5"/>
  <c r="AO100" i="5"/>
  <c r="AO331" i="5"/>
  <c r="AO554" i="5"/>
  <c r="AO347" i="5"/>
  <c r="AO133" i="5"/>
  <c r="AO364" i="5"/>
  <c r="AO52" i="5"/>
  <c r="AO380" i="5"/>
  <c r="AO166" i="5"/>
  <c r="AO397" i="5"/>
  <c r="AO85" i="5"/>
  <c r="AO444" i="5"/>
  <c r="AO407" i="5"/>
  <c r="AO430" i="5"/>
  <c r="AO118" i="5"/>
  <c r="AO508" i="5"/>
  <c r="AO160" i="5"/>
  <c r="AO247" i="5"/>
  <c r="AO23" i="5"/>
  <c r="AO29" i="5"/>
  <c r="AO193" i="5"/>
  <c r="AO424" i="5"/>
  <c r="AO273" i="5"/>
  <c r="AO178" i="5"/>
  <c r="AO426" i="5"/>
  <c r="AO401" i="5"/>
  <c r="AO155" i="5"/>
  <c r="BG402" i="5"/>
  <c r="BL402" i="5" s="1"/>
  <c r="BF402" i="5"/>
  <c r="BK402" i="5" s="1"/>
  <c r="BG344" i="5"/>
  <c r="BL344" i="5" s="1"/>
  <c r="BF344" i="5"/>
  <c r="BK344" i="5" s="1"/>
  <c r="BG336" i="5"/>
  <c r="BL336" i="5" s="1"/>
  <c r="BF336" i="5"/>
  <c r="BK336" i="5" s="1"/>
  <c r="BF183" i="5"/>
  <c r="BK183" i="5" s="1"/>
  <c r="BG183" i="5"/>
  <c r="BL183" i="5" s="1"/>
  <c r="BG217" i="5"/>
  <c r="BL217" i="5" s="1"/>
  <c r="BF217" i="5"/>
  <c r="BK217" i="5" s="1"/>
  <c r="BG40" i="5"/>
  <c r="BL40" i="5" s="1"/>
  <c r="BF40" i="5"/>
  <c r="BK40" i="5" s="1"/>
  <c r="BF166" i="5"/>
  <c r="BK166" i="5" s="1"/>
  <c r="BG166" i="5"/>
  <c r="BL166" i="5" s="1"/>
  <c r="BF547" i="5"/>
  <c r="BK547" i="5" s="1"/>
  <c r="BG547" i="5"/>
  <c r="BL547" i="5" s="1"/>
  <c r="BF236" i="5"/>
  <c r="BK236" i="5" s="1"/>
  <c r="BG236" i="5"/>
  <c r="BL236" i="5" s="1"/>
  <c r="BG255" i="5"/>
  <c r="BL255" i="5" s="1"/>
  <c r="BF255" i="5"/>
  <c r="BK255" i="5" s="1"/>
  <c r="BF197" i="5"/>
  <c r="BK197" i="5" s="1"/>
  <c r="BG197" i="5"/>
  <c r="BL197" i="5" s="1"/>
  <c r="BF143" i="5"/>
  <c r="BK143" i="5" s="1"/>
  <c r="BG143" i="5"/>
  <c r="BL143" i="5" s="1"/>
  <c r="BG192" i="5"/>
  <c r="BL192" i="5" s="1"/>
  <c r="BF192" i="5"/>
  <c r="BK192" i="5" s="1"/>
  <c r="BF137" i="5"/>
  <c r="BK137" i="5" s="1"/>
  <c r="BG137" i="5"/>
  <c r="BL137" i="5" s="1"/>
  <c r="AU9" i="5"/>
  <c r="AT9" i="5"/>
  <c r="BF106" i="5"/>
  <c r="BK106" i="5" s="1"/>
  <c r="BG106" i="5"/>
  <c r="BL106" i="5" s="1"/>
  <c r="BF300" i="5"/>
  <c r="BK300" i="5" s="1"/>
  <c r="BG300" i="5"/>
  <c r="BL300" i="5" s="1"/>
  <c r="BG512" i="5"/>
  <c r="BL512" i="5" s="1"/>
  <c r="BF512" i="5"/>
  <c r="BK512" i="5" s="1"/>
  <c r="AN7" i="5"/>
  <c r="AM7" i="5"/>
  <c r="AN453" i="5"/>
  <c r="AM453" i="5"/>
  <c r="AM534" i="5"/>
  <c r="AN534" i="5"/>
  <c r="AN344" i="5"/>
  <c r="AM344" i="5"/>
  <c r="AM315" i="5"/>
  <c r="AN315" i="5"/>
  <c r="AM478" i="5"/>
  <c r="AN478" i="5"/>
  <c r="AM369" i="5"/>
  <c r="AN369" i="5"/>
  <c r="AM219" i="5"/>
  <c r="AN219" i="5"/>
  <c r="AN293" i="5"/>
  <c r="AM293" i="5"/>
  <c r="AN51" i="5"/>
  <c r="AM51" i="5"/>
  <c r="AM329" i="5"/>
  <c r="AN329" i="5"/>
  <c r="AN471" i="5"/>
  <c r="AM471" i="5"/>
  <c r="AN435" i="5"/>
  <c r="AM435" i="5"/>
  <c r="AN513" i="5"/>
  <c r="AM513" i="5"/>
  <c r="AM485" i="5"/>
  <c r="AN485" i="5"/>
  <c r="AM248" i="5"/>
  <c r="AN248" i="5"/>
  <c r="AM183" i="5"/>
  <c r="AN183" i="5"/>
  <c r="AN398" i="5"/>
  <c r="AM398" i="5"/>
  <c r="AM43" i="5"/>
  <c r="AN43" i="5"/>
  <c r="AM101" i="5"/>
  <c r="AN101" i="5"/>
  <c r="AM347" i="5"/>
  <c r="AN347" i="5"/>
  <c r="AM385" i="5"/>
  <c r="AN385" i="5"/>
  <c r="AM386" i="5"/>
  <c r="AN386" i="5"/>
  <c r="AM154" i="5"/>
  <c r="AN154" i="5"/>
  <c r="AN37" i="5"/>
  <c r="AM37" i="5"/>
  <c r="AN536" i="5"/>
  <c r="AM536" i="5"/>
  <c r="AM95" i="5"/>
  <c r="AN95" i="5"/>
  <c r="AM93" i="5"/>
  <c r="AN93" i="5"/>
  <c r="AN142" i="5"/>
  <c r="AM142" i="5"/>
  <c r="AM418" i="5"/>
  <c r="AN418" i="5"/>
  <c r="AM382" i="5"/>
  <c r="AN382" i="5"/>
  <c r="AN199" i="5"/>
  <c r="AM199" i="5"/>
  <c r="AN189" i="5"/>
  <c r="AM189" i="5"/>
  <c r="AM322" i="5"/>
  <c r="AN322" i="5"/>
  <c r="AM194" i="5"/>
  <c r="AN194" i="5"/>
  <c r="AM233" i="5"/>
  <c r="AN233" i="5"/>
  <c r="AN544" i="5"/>
  <c r="AM544" i="5"/>
  <c r="AN514" i="5"/>
  <c r="AM514" i="5"/>
  <c r="AN354" i="5"/>
  <c r="AM354" i="5"/>
  <c r="AN188" i="5"/>
  <c r="AM188" i="5"/>
  <c r="AM27" i="5"/>
  <c r="AN27" i="5"/>
  <c r="AM42" i="5"/>
  <c r="AN42" i="5"/>
  <c r="AN161" i="5"/>
  <c r="AM161" i="5"/>
  <c r="AN77" i="5"/>
  <c r="AM77" i="5"/>
  <c r="AM348" i="5"/>
  <c r="AN348" i="5"/>
  <c r="AN523" i="5"/>
  <c r="AM523" i="5"/>
  <c r="AN256" i="5"/>
  <c r="AM256" i="5"/>
  <c r="AN21" i="5"/>
  <c r="AM21" i="5"/>
  <c r="AM361" i="5"/>
  <c r="AN361" i="5"/>
  <c r="AM176" i="5"/>
  <c r="AN176" i="5"/>
  <c r="AN302" i="5"/>
  <c r="AM302" i="5"/>
  <c r="AN268" i="5"/>
  <c r="AM268" i="5"/>
  <c r="AN363" i="5"/>
  <c r="AM363" i="5"/>
  <c r="AM482" i="5"/>
  <c r="AN482" i="5"/>
  <c r="AM346" i="5"/>
  <c r="AN346" i="5"/>
  <c r="AM314" i="5"/>
  <c r="AN314" i="5"/>
  <c r="AN303" i="5"/>
  <c r="AM303" i="5"/>
  <c r="AM350" i="5"/>
  <c r="AN350" i="5"/>
  <c r="AM173" i="5"/>
  <c r="AN173" i="5"/>
  <c r="AN532" i="5"/>
  <c r="AM532" i="5"/>
  <c r="AM251" i="5"/>
  <c r="AN251" i="5"/>
  <c r="AN466" i="5"/>
  <c r="AM466" i="5"/>
  <c r="AN284" i="5"/>
  <c r="AM284" i="5"/>
  <c r="AM196" i="5"/>
  <c r="AN196" i="5"/>
  <c r="AN475" i="5"/>
  <c r="AM475" i="5"/>
  <c r="AN36" i="5"/>
  <c r="AM36" i="5"/>
  <c r="AN215" i="5"/>
  <c r="AM215" i="5"/>
  <c r="AM273" i="5"/>
  <c r="AN273" i="5"/>
  <c r="AN373" i="5"/>
  <c r="AM373" i="5"/>
  <c r="AO196" i="5"/>
  <c r="AO491" i="5"/>
  <c r="AO243" i="5"/>
  <c r="AO530" i="5"/>
  <c r="AO218" i="5"/>
  <c r="AO198" i="5"/>
  <c r="AO493" i="5"/>
  <c r="AO245" i="5"/>
  <c r="AO540" i="5"/>
  <c r="AO440" i="5"/>
  <c r="AO192" i="5"/>
  <c r="AO503" i="5"/>
  <c r="AO223" i="5"/>
  <c r="AO542" i="5"/>
  <c r="AO442" i="5"/>
  <c r="AO194" i="5"/>
  <c r="AO489" i="5"/>
  <c r="AO241" i="5"/>
  <c r="AO472" i="5"/>
  <c r="AO483" i="5"/>
  <c r="AO235" i="5"/>
  <c r="AO522" i="5"/>
  <c r="AO274" i="5"/>
  <c r="AO505" i="5"/>
  <c r="AO516" i="5"/>
  <c r="AO268" i="5"/>
  <c r="AO20" i="5"/>
  <c r="AO315" i="5"/>
  <c r="AO538" i="5"/>
  <c r="AO549" i="5"/>
  <c r="AO301" i="5"/>
  <c r="AO53" i="5"/>
  <c r="AO348" i="5"/>
  <c r="AO203" i="5"/>
  <c r="AO199" i="5"/>
  <c r="AO334" i="5"/>
  <c r="AO86" i="5"/>
  <c r="AO381" i="5"/>
  <c r="AO36" i="5"/>
  <c r="AO267" i="5"/>
  <c r="AO490" i="5"/>
  <c r="AO370" i="5"/>
  <c r="AO69" i="5"/>
  <c r="AO300" i="5"/>
  <c r="AO531" i="5"/>
  <c r="AO411" i="5"/>
  <c r="AO102" i="5"/>
  <c r="AO333" i="5"/>
  <c r="AO21" i="5"/>
  <c r="AO475" i="5"/>
  <c r="AO463" i="5"/>
  <c r="AO366" i="5"/>
  <c r="AO54" i="5"/>
  <c r="AO539" i="5"/>
  <c r="AO96" i="5"/>
  <c r="AO303" i="5"/>
  <c r="AO79" i="5"/>
  <c r="AO60" i="5"/>
  <c r="AO129" i="5"/>
  <c r="AO360" i="5"/>
  <c r="AO304" i="5"/>
  <c r="AO319" i="5"/>
  <c r="AO162" i="5"/>
  <c r="AO393" i="5"/>
  <c r="AO368" i="5"/>
  <c r="AO172" i="5"/>
  <c r="AO403" i="5"/>
  <c r="AO465" i="5"/>
  <c r="AO7" i="5"/>
  <c r="BH7" i="5" s="1"/>
  <c r="BF416" i="5"/>
  <c r="BK416" i="5" s="1"/>
  <c r="BG416" i="5"/>
  <c r="BL416" i="5" s="1"/>
  <c r="BG142" i="5"/>
  <c r="BL142" i="5" s="1"/>
  <c r="BF142" i="5"/>
  <c r="BK142" i="5" s="1"/>
  <c r="BG246" i="5"/>
  <c r="BL246" i="5" s="1"/>
  <c r="BF246" i="5"/>
  <c r="BK246" i="5" s="1"/>
  <c r="BG207" i="5"/>
  <c r="BL207" i="5" s="1"/>
  <c r="BF207" i="5"/>
  <c r="BK207" i="5" s="1"/>
  <c r="BF256" i="5"/>
  <c r="BK256" i="5" s="1"/>
  <c r="BG256" i="5"/>
  <c r="BL256" i="5" s="1"/>
  <c r="AD265" i="5"/>
  <c r="AC265" i="5"/>
  <c r="BE265" i="5"/>
  <c r="BG78" i="5"/>
  <c r="BL78" i="5" s="1"/>
  <c r="BF78" i="5"/>
  <c r="BK78" i="5" s="1"/>
  <c r="BG523" i="5"/>
  <c r="BL523" i="5" s="1"/>
  <c r="BF523" i="5"/>
  <c r="BK523" i="5" s="1"/>
  <c r="BF51" i="5"/>
  <c r="BK51" i="5" s="1"/>
  <c r="BG51" i="5"/>
  <c r="BL51" i="5" s="1"/>
  <c r="BF552" i="5"/>
  <c r="BK552" i="5" s="1"/>
  <c r="BG552" i="5"/>
  <c r="BL552" i="5" s="1"/>
  <c r="BF291" i="5"/>
  <c r="BK291" i="5" s="1"/>
  <c r="BG291" i="5"/>
  <c r="BL291" i="5" s="1"/>
  <c r="BG449" i="5"/>
  <c r="BL449" i="5" s="1"/>
  <c r="BF449" i="5"/>
  <c r="BK449" i="5" s="1"/>
  <c r="BG461" i="5"/>
  <c r="BL461" i="5" s="1"/>
  <c r="BF461" i="5"/>
  <c r="BK461" i="5" s="1"/>
  <c r="BF375" i="5"/>
  <c r="BK375" i="5" s="1"/>
  <c r="BG375" i="5"/>
  <c r="BL375" i="5" s="1"/>
  <c r="BF55" i="5"/>
  <c r="BK55" i="5" s="1"/>
  <c r="BG55" i="5"/>
  <c r="BL55" i="5" s="1"/>
  <c r="BG503" i="5"/>
  <c r="BL503" i="5" s="1"/>
  <c r="BF503" i="5"/>
  <c r="BK503" i="5" s="1"/>
  <c r="BG230" i="5"/>
  <c r="BL230" i="5" s="1"/>
  <c r="BF230" i="5"/>
  <c r="BK230" i="5" s="1"/>
  <c r="BG31" i="5"/>
  <c r="BL31" i="5" s="1"/>
  <c r="BF31" i="5"/>
  <c r="BK31" i="5" s="1"/>
  <c r="BG238" i="5"/>
  <c r="BL238" i="5" s="1"/>
  <c r="BF238" i="5"/>
  <c r="BK238" i="5" s="1"/>
  <c r="BG545" i="5"/>
  <c r="BL545" i="5" s="1"/>
  <c r="BF545" i="5"/>
  <c r="BK545" i="5" s="1"/>
  <c r="AA9" i="5"/>
  <c r="Z9" i="5"/>
  <c r="AM530" i="5"/>
  <c r="AN530" i="5"/>
  <c r="AM130" i="5"/>
  <c r="AN130" i="5"/>
  <c r="AN506" i="5"/>
  <c r="AM506" i="5"/>
  <c r="AN477" i="5"/>
  <c r="AM477" i="5"/>
  <c r="AM271" i="5"/>
  <c r="AN271" i="5"/>
  <c r="AN351" i="5"/>
  <c r="AM351" i="5"/>
  <c r="AM234" i="5"/>
  <c r="AN234" i="5"/>
  <c r="AM40" i="5"/>
  <c r="AN40" i="5"/>
  <c r="AM119" i="5"/>
  <c r="AN119" i="5"/>
  <c r="AM409" i="5"/>
  <c r="AN409" i="5"/>
  <c r="AN66" i="5"/>
  <c r="AM66" i="5"/>
  <c r="AM220" i="5"/>
  <c r="AN220" i="5"/>
  <c r="AN463" i="5"/>
  <c r="AM463" i="5"/>
  <c r="AN19" i="5"/>
  <c r="AM19" i="5"/>
  <c r="AN326" i="5"/>
  <c r="AM326" i="5"/>
  <c r="AM216" i="5"/>
  <c r="AN216" i="5"/>
  <c r="AN406" i="5"/>
  <c r="AM406" i="5"/>
  <c r="AM262" i="5"/>
  <c r="AN262" i="5"/>
  <c r="AM498" i="5"/>
  <c r="AN498" i="5"/>
  <c r="AN99" i="5"/>
  <c r="AM99" i="5"/>
  <c r="AN511" i="5"/>
  <c r="AM511" i="5"/>
  <c r="AN440" i="5"/>
  <c r="AM440" i="5"/>
  <c r="AM393" i="5"/>
  <c r="AN393" i="5"/>
  <c r="AM255" i="5"/>
  <c r="AN255" i="5"/>
  <c r="AM182" i="5"/>
  <c r="AN182" i="5"/>
  <c r="AN73" i="5"/>
  <c r="AM73" i="5"/>
  <c r="AN54" i="5"/>
  <c r="AM54" i="5"/>
  <c r="AN295" i="5"/>
  <c r="AM295" i="5"/>
  <c r="AN158" i="5"/>
  <c r="AM158" i="5"/>
  <c r="AN502" i="5"/>
  <c r="AM502" i="5"/>
  <c r="AN105" i="5"/>
  <c r="AM105" i="5"/>
  <c r="AM94" i="5"/>
  <c r="AN94" i="5"/>
  <c r="AN341" i="5"/>
  <c r="AM341" i="5"/>
  <c r="AM81" i="5"/>
  <c r="AN81" i="5"/>
  <c r="AM100" i="5"/>
  <c r="AN100" i="5"/>
  <c r="AN153" i="5"/>
  <c r="AM153" i="5"/>
  <c r="AN512" i="5"/>
  <c r="AM512" i="5"/>
  <c r="AN410" i="5"/>
  <c r="AM410" i="5"/>
  <c r="AM396" i="5"/>
  <c r="AN396" i="5"/>
  <c r="AM46" i="5"/>
  <c r="AN46" i="5"/>
  <c r="AM365" i="5"/>
  <c r="AN365" i="5"/>
  <c r="AN89" i="5"/>
  <c r="AM89" i="5"/>
  <c r="AN96" i="5"/>
  <c r="AM96" i="5"/>
  <c r="AN198" i="5"/>
  <c r="AM198" i="5"/>
  <c r="AN449" i="5"/>
  <c r="AM449" i="5"/>
  <c r="AN460" i="5"/>
  <c r="AM460" i="5"/>
  <c r="AN290" i="5"/>
  <c r="AM290" i="5"/>
  <c r="AM124" i="5"/>
  <c r="AN124" i="5"/>
  <c r="AM509" i="5"/>
  <c r="AN509" i="5"/>
  <c r="AM550" i="5"/>
  <c r="AN550" i="5"/>
  <c r="AN230" i="5"/>
  <c r="AM230" i="5"/>
  <c r="AN113" i="5"/>
  <c r="AM113" i="5"/>
  <c r="AM334" i="5"/>
  <c r="AN334" i="5"/>
  <c r="AM559" i="5"/>
  <c r="AN559" i="5"/>
  <c r="AM481" i="5"/>
  <c r="AN481" i="5"/>
  <c r="AM339" i="5"/>
  <c r="AN339" i="5"/>
  <c r="AM38" i="5"/>
  <c r="AN38" i="5"/>
  <c r="AM127" i="5"/>
  <c r="AN127" i="5"/>
  <c r="AN529" i="5"/>
  <c r="AM529" i="5"/>
  <c r="AM270" i="5"/>
  <c r="AN270" i="5"/>
  <c r="AM212" i="5"/>
  <c r="AN212" i="5"/>
  <c r="AM349" i="5"/>
  <c r="AN349" i="5"/>
  <c r="AM52" i="5"/>
  <c r="AN52" i="5"/>
  <c r="AN152" i="5"/>
  <c r="AM152" i="5"/>
  <c r="AN197" i="5"/>
  <c r="AM197" i="5"/>
  <c r="AN537" i="5"/>
  <c r="AM537" i="5"/>
  <c r="AN53" i="5"/>
  <c r="AM53" i="5"/>
  <c r="AN505" i="5"/>
  <c r="AM505" i="5"/>
  <c r="AN433" i="5"/>
  <c r="AM433" i="5"/>
  <c r="AO460" i="5"/>
  <c r="AO212" i="5"/>
  <c r="AO453" i="5"/>
  <c r="AO151" i="5"/>
  <c r="AO462" i="5"/>
  <c r="AO509" i="5"/>
  <c r="AO409" i="5"/>
  <c r="AO161" i="5"/>
  <c r="AO456" i="5"/>
  <c r="AO511" i="5"/>
  <c r="AO419" i="5"/>
  <c r="AO171" i="5"/>
  <c r="AO458" i="5"/>
  <c r="AO210" i="5"/>
  <c r="AO441" i="5"/>
  <c r="AO452" i="5"/>
  <c r="AO204" i="5"/>
  <c r="AO251" i="5"/>
  <c r="AO474" i="5"/>
  <c r="AO485" i="5"/>
  <c r="AO237" i="5"/>
  <c r="AO532" i="5"/>
  <c r="AO284" i="5"/>
  <c r="AO226" i="5"/>
  <c r="AO518" i="5"/>
  <c r="AO270" i="5"/>
  <c r="AO22" i="5"/>
  <c r="AO317" i="5"/>
  <c r="AO248" i="5"/>
  <c r="AO255" i="5"/>
  <c r="AO103" i="5"/>
  <c r="AO327" i="5"/>
  <c r="AO350" i="5"/>
  <c r="AO548" i="5"/>
  <c r="AO236" i="5"/>
  <c r="AO467" i="5"/>
  <c r="AO434" i="5"/>
  <c r="AO38" i="5"/>
  <c r="AO269" i="5"/>
  <c r="AO500" i="5"/>
  <c r="AO498" i="5"/>
  <c r="AO455" i="5"/>
  <c r="AO302" i="5"/>
  <c r="AO533" i="5"/>
  <c r="AO27" i="5"/>
  <c r="AO32" i="5"/>
  <c r="AO359" i="5"/>
  <c r="AO71" i="5"/>
  <c r="AO91" i="5"/>
  <c r="AO65" i="5"/>
  <c r="AO296" i="5"/>
  <c r="AO9" i="5"/>
  <c r="AO240" i="5"/>
  <c r="AO98" i="5"/>
  <c r="AO329" i="5"/>
  <c r="AO13" i="5"/>
  <c r="AO451" i="5"/>
  <c r="AO139" i="5"/>
  <c r="AO362" i="5"/>
  <c r="AO432" i="5"/>
  <c r="AO141" i="5"/>
  <c r="AO372" i="5"/>
  <c r="AO560" i="5"/>
  <c r="BG502" i="5"/>
  <c r="BL502" i="5" s="1"/>
  <c r="BF502" i="5"/>
  <c r="BK502" i="5" s="1"/>
  <c r="BF191" i="5"/>
  <c r="BK191" i="5" s="1"/>
  <c r="BG191" i="5"/>
  <c r="BL191" i="5" s="1"/>
  <c r="BG436" i="5"/>
  <c r="BL436" i="5" s="1"/>
  <c r="BF436" i="5"/>
  <c r="BK436" i="5" s="1"/>
  <c r="BG342" i="5"/>
  <c r="BL342" i="5" s="1"/>
  <c r="BF342" i="5"/>
  <c r="BK342" i="5" s="1"/>
  <c r="BG527" i="5"/>
  <c r="BL527" i="5" s="1"/>
  <c r="BF527" i="5"/>
  <c r="BK527" i="5" s="1"/>
  <c r="BF370" i="5"/>
  <c r="BK370" i="5" s="1"/>
  <c r="BG370" i="5"/>
  <c r="BL370" i="5" s="1"/>
  <c r="BG443" i="5"/>
  <c r="BL443" i="5" s="1"/>
  <c r="BF443" i="5"/>
  <c r="BK443" i="5" s="1"/>
  <c r="BF296" i="5"/>
  <c r="BK296" i="5" s="1"/>
  <c r="BG296" i="5"/>
  <c r="BL296" i="5" s="1"/>
  <c r="BF147" i="5"/>
  <c r="BK147" i="5" s="1"/>
  <c r="BG147" i="5"/>
  <c r="BL147" i="5" s="1"/>
  <c r="BF220" i="5"/>
  <c r="BK220" i="5" s="1"/>
  <c r="BG220" i="5"/>
  <c r="BL220" i="5" s="1"/>
  <c r="BF486" i="5"/>
  <c r="BK486" i="5" s="1"/>
  <c r="BG486" i="5"/>
  <c r="BL486" i="5" s="1"/>
  <c r="BF413" i="5"/>
  <c r="BK413" i="5" s="1"/>
  <c r="BG413" i="5"/>
  <c r="BL413" i="5" s="1"/>
  <c r="BG295" i="5"/>
  <c r="BL295" i="5" s="1"/>
  <c r="BF295" i="5"/>
  <c r="BK295" i="5" s="1"/>
  <c r="BF464" i="5"/>
  <c r="BK464" i="5" s="1"/>
  <c r="BG464" i="5"/>
  <c r="BL464" i="5" s="1"/>
  <c r="BG84" i="5"/>
  <c r="BL84" i="5" s="1"/>
  <c r="BF84" i="5"/>
  <c r="BK84" i="5" s="1"/>
  <c r="BG175" i="5"/>
  <c r="BL175" i="5" s="1"/>
  <c r="BF175" i="5"/>
  <c r="BK175" i="5" s="1"/>
  <c r="BF257" i="5"/>
  <c r="BK257" i="5" s="1"/>
  <c r="BG257" i="5"/>
  <c r="BL257" i="5" s="1"/>
  <c r="BF327" i="5"/>
  <c r="BK327" i="5" s="1"/>
  <c r="BG327" i="5"/>
  <c r="BL327" i="5" s="1"/>
  <c r="BF446" i="5"/>
  <c r="BK446" i="5" s="1"/>
  <c r="BG446" i="5"/>
  <c r="BL446" i="5" s="1"/>
  <c r="R9" i="5"/>
  <c r="Q9" i="5"/>
  <c r="X9" i="5"/>
  <c r="W9" i="5"/>
  <c r="BF476" i="5"/>
  <c r="BK476" i="5" s="1"/>
  <c r="BG476" i="5"/>
  <c r="BL476" i="5" s="1"/>
  <c r="BF188" i="5"/>
  <c r="BK188" i="5" s="1"/>
  <c r="BG188" i="5"/>
  <c r="BL188" i="5" s="1"/>
  <c r="BF148" i="5"/>
  <c r="BK148" i="5" s="1"/>
  <c r="BG148" i="5"/>
  <c r="BL148" i="5" s="1"/>
  <c r="BF539" i="5"/>
  <c r="BK539" i="5" s="1"/>
  <c r="BG539" i="5"/>
  <c r="BL539" i="5" s="1"/>
  <c r="AN489" i="5"/>
  <c r="AM489" i="5"/>
  <c r="AN553" i="5"/>
  <c r="AM553" i="5"/>
  <c r="AM308" i="5"/>
  <c r="AN308" i="5"/>
  <c r="AN457" i="5"/>
  <c r="AM457" i="5"/>
  <c r="AN8" i="5"/>
  <c r="AM8" i="5"/>
  <c r="AN495" i="5"/>
  <c r="AM495" i="5"/>
  <c r="AN274" i="5"/>
  <c r="AM274" i="5"/>
  <c r="AM143" i="5"/>
  <c r="AN143" i="5"/>
  <c r="AM555" i="5"/>
  <c r="AN555" i="5"/>
  <c r="AN139" i="5"/>
  <c r="AM139" i="5"/>
  <c r="AN62" i="5"/>
  <c r="AM62" i="5"/>
  <c r="AM117" i="5"/>
  <c r="AN117" i="5"/>
  <c r="AN372" i="5"/>
  <c r="AM372" i="5"/>
  <c r="AN557" i="5"/>
  <c r="AM557" i="5"/>
  <c r="AN352" i="5"/>
  <c r="AM352" i="5"/>
  <c r="AN50" i="5"/>
  <c r="AM50" i="5"/>
  <c r="AM213" i="5"/>
  <c r="AN213" i="5"/>
  <c r="AN102" i="5"/>
  <c r="AM102" i="5"/>
  <c r="AN420" i="5"/>
  <c r="AM420" i="5"/>
  <c r="AN171" i="5"/>
  <c r="AM171" i="5"/>
  <c r="AN474" i="5"/>
  <c r="AM474" i="5"/>
  <c r="AN527" i="5"/>
  <c r="AM527" i="5"/>
  <c r="AM441" i="5"/>
  <c r="AN441" i="5"/>
  <c r="AN264" i="5"/>
  <c r="AM264" i="5"/>
  <c r="AN190" i="5"/>
  <c r="AM190" i="5"/>
  <c r="AN106" i="5"/>
  <c r="AM106" i="5"/>
  <c r="AN428" i="5"/>
  <c r="AM428" i="5"/>
  <c r="AN368" i="5"/>
  <c r="AM368" i="5"/>
  <c r="AM140" i="5"/>
  <c r="AN140" i="5"/>
  <c r="AN491" i="5"/>
  <c r="AM491" i="5"/>
  <c r="AM110" i="5"/>
  <c r="AN110" i="5"/>
  <c r="AM166" i="5"/>
  <c r="AN166" i="5"/>
  <c r="AN205" i="5"/>
  <c r="AM205" i="5"/>
  <c r="AN35" i="5"/>
  <c r="AM35" i="5"/>
  <c r="AN159" i="5"/>
  <c r="AM159" i="5"/>
  <c r="AN408" i="5"/>
  <c r="AM408" i="5"/>
  <c r="AM404" i="5"/>
  <c r="AN404" i="5"/>
  <c r="AM508" i="5"/>
  <c r="AN508" i="5"/>
  <c r="AN231" i="5"/>
  <c r="AM231" i="5"/>
  <c r="AN75" i="5"/>
  <c r="AM75" i="5"/>
  <c r="AM165" i="5"/>
  <c r="AN165" i="5"/>
  <c r="AN48" i="5"/>
  <c r="AM48" i="5"/>
  <c r="AM317" i="5"/>
  <c r="AN317" i="5"/>
  <c r="AN208" i="5"/>
  <c r="AM208" i="5"/>
  <c r="AM300" i="5"/>
  <c r="AN300" i="5"/>
  <c r="AN507" i="5"/>
  <c r="AM507" i="5"/>
  <c r="AM340" i="5"/>
  <c r="AN340" i="5"/>
  <c r="AN172" i="5"/>
  <c r="AM172" i="5"/>
  <c r="AN57" i="5"/>
  <c r="AM57" i="5"/>
  <c r="AN254" i="5"/>
  <c r="AM254" i="5"/>
  <c r="AN58" i="5"/>
  <c r="AM58" i="5"/>
  <c r="AN84" i="5"/>
  <c r="AM84" i="5"/>
  <c r="AN356" i="5"/>
  <c r="AM356" i="5"/>
  <c r="AN13" i="5"/>
  <c r="AM13" i="5"/>
  <c r="AM312" i="5"/>
  <c r="AN312" i="5"/>
  <c r="AN298" i="5"/>
  <c r="AM298" i="5"/>
  <c r="AN155" i="5"/>
  <c r="AM155" i="5"/>
  <c r="AM41" i="5"/>
  <c r="AN41" i="5"/>
  <c r="AM337" i="5"/>
  <c r="AN337" i="5"/>
  <c r="AN74" i="5"/>
  <c r="AM74" i="5"/>
  <c r="AM97" i="5"/>
  <c r="AN97" i="5"/>
  <c r="AM318" i="5"/>
  <c r="AN318" i="5"/>
  <c r="AM546" i="5"/>
  <c r="AN546" i="5"/>
  <c r="AN442" i="5"/>
  <c r="AM442" i="5"/>
  <c r="AM20" i="5"/>
  <c r="AN20" i="5"/>
  <c r="AN286" i="5"/>
  <c r="AM286" i="5"/>
  <c r="AM402" i="5"/>
  <c r="AN402" i="5"/>
  <c r="AN412" i="5"/>
  <c r="AM412" i="5"/>
  <c r="AN499" i="5"/>
  <c r="AM499" i="5"/>
  <c r="AO134" i="5"/>
  <c r="AO429" i="5"/>
  <c r="AO181" i="5"/>
  <c r="AO476" i="5"/>
  <c r="AO376" i="5"/>
  <c r="AO128" i="5"/>
  <c r="AO559" i="5"/>
  <c r="AO279" i="5"/>
  <c r="AO478" i="5"/>
  <c r="AO378" i="5"/>
  <c r="AO130" i="5"/>
  <c r="AO425" i="5"/>
  <c r="AO177" i="5"/>
  <c r="AO408" i="5"/>
  <c r="AO388" i="5"/>
  <c r="AO140" i="5"/>
  <c r="AO435" i="5"/>
  <c r="AO187" i="5"/>
  <c r="AO410" i="5"/>
  <c r="AO421" i="5"/>
  <c r="AO173" i="5"/>
  <c r="AO468" i="5"/>
  <c r="AO220" i="5"/>
  <c r="AO257" i="5"/>
  <c r="AO454" i="5"/>
  <c r="AO206" i="5"/>
  <c r="AO501" i="5"/>
  <c r="AO253" i="5"/>
  <c r="AO184" i="5"/>
  <c r="AO439" i="5"/>
  <c r="AO159" i="5"/>
  <c r="AO534" i="5"/>
  <c r="AO286" i="5"/>
  <c r="AO217" i="5"/>
  <c r="AO512" i="5"/>
  <c r="AO264" i="5"/>
  <c r="AO8" i="5"/>
  <c r="AO231" i="5"/>
  <c r="AO517" i="5"/>
  <c r="AO205" i="5"/>
  <c r="AO436" i="5"/>
  <c r="AO529" i="5"/>
  <c r="AO550" i="5"/>
  <c r="AO238" i="5"/>
  <c r="AO469" i="5"/>
  <c r="AO50" i="5"/>
  <c r="AO11" i="5"/>
  <c r="AO415" i="5"/>
  <c r="AO502" i="5"/>
  <c r="AO114" i="5"/>
  <c r="AO544" i="5"/>
  <c r="AO232" i="5"/>
  <c r="AO191" i="5"/>
  <c r="AO135" i="5"/>
  <c r="AO34" i="5"/>
  <c r="AO265" i="5"/>
  <c r="AO143" i="5"/>
  <c r="AO387" i="5"/>
  <c r="AO75" i="5"/>
  <c r="AO298" i="5"/>
  <c r="AO87" i="5"/>
  <c r="AO420" i="5"/>
  <c r="AO108" i="5"/>
  <c r="AO339" i="5"/>
  <c r="AO496" i="5"/>
  <c r="AO110" i="5"/>
  <c r="AO341" i="5"/>
  <c r="AO112" i="5"/>
  <c r="BF138" i="5"/>
  <c r="BK138" i="5" s="1"/>
  <c r="BG138" i="5"/>
  <c r="BL138" i="5" s="1"/>
  <c r="BG427" i="5"/>
  <c r="BL427" i="5" s="1"/>
  <c r="BF427" i="5"/>
  <c r="BK427" i="5" s="1"/>
  <c r="BF524" i="5"/>
  <c r="BK524" i="5" s="1"/>
  <c r="BG524" i="5"/>
  <c r="BL524" i="5" s="1"/>
  <c r="BG490" i="5"/>
  <c r="BL490" i="5" s="1"/>
  <c r="BF490" i="5"/>
  <c r="BK490" i="5" s="1"/>
  <c r="BF500" i="5"/>
  <c r="BK500" i="5" s="1"/>
  <c r="BG500" i="5"/>
  <c r="BL500" i="5" s="1"/>
  <c r="BG74" i="5"/>
  <c r="BL74" i="5" s="1"/>
  <c r="BF74" i="5"/>
  <c r="BK74" i="5" s="1"/>
  <c r="BG38" i="5"/>
  <c r="BL38" i="5" s="1"/>
  <c r="BF38" i="5"/>
  <c r="BK38" i="5" s="1"/>
  <c r="BF61" i="5"/>
  <c r="BK61" i="5" s="1"/>
  <c r="BG61" i="5"/>
  <c r="BL61" i="5" s="1"/>
  <c r="BF491" i="5"/>
  <c r="BK491" i="5" s="1"/>
  <c r="BG491" i="5"/>
  <c r="BL491" i="5" s="1"/>
  <c r="BG520" i="5"/>
  <c r="BL520" i="5" s="1"/>
  <c r="BF520" i="5"/>
  <c r="BK520" i="5" s="1"/>
  <c r="BG313" i="5"/>
  <c r="BL313" i="5" s="1"/>
  <c r="BF313" i="5"/>
  <c r="BK313" i="5" s="1"/>
  <c r="BF227" i="5"/>
  <c r="BK227" i="5" s="1"/>
  <c r="BG227" i="5"/>
  <c r="BL227" i="5" s="1"/>
  <c r="BF322" i="5"/>
  <c r="BK322" i="5" s="1"/>
  <c r="BG322" i="5"/>
  <c r="BL322" i="5" s="1"/>
  <c r="BG189" i="5"/>
  <c r="BL189" i="5" s="1"/>
  <c r="BF189" i="5"/>
  <c r="BK189" i="5" s="1"/>
  <c r="BF154" i="5"/>
  <c r="BK154" i="5" s="1"/>
  <c r="BG154" i="5"/>
  <c r="BL154" i="5" s="1"/>
  <c r="BG118" i="5"/>
  <c r="BL118" i="5" s="1"/>
  <c r="BF118" i="5"/>
  <c r="BK118" i="5" s="1"/>
  <c r="AH9" i="5"/>
  <c r="AG9" i="5"/>
  <c r="U9" i="5"/>
  <c r="T9" i="5"/>
  <c r="BF87" i="5"/>
  <c r="BK87" i="5" s="1"/>
  <c r="BG87" i="5"/>
  <c r="BL87" i="5" s="1"/>
  <c r="BF479" i="5"/>
  <c r="BK479" i="5" s="1"/>
  <c r="BG479" i="5"/>
  <c r="BL479" i="5" s="1"/>
  <c r="AN488" i="5"/>
  <c r="AM488" i="5"/>
  <c r="AN521" i="5"/>
  <c r="AM521" i="5"/>
  <c r="AN232" i="5"/>
  <c r="AM232" i="5"/>
  <c r="AN401" i="5"/>
  <c r="AM401" i="5"/>
  <c r="AN504" i="5"/>
  <c r="AM504" i="5"/>
  <c r="AN249" i="5"/>
  <c r="AM249" i="5"/>
  <c r="AN359" i="5"/>
  <c r="AM359" i="5"/>
  <c r="AM135" i="5"/>
  <c r="AN135" i="5"/>
  <c r="AM366" i="5"/>
  <c r="AN366" i="5"/>
  <c r="AM47" i="5"/>
  <c r="AN47" i="5"/>
  <c r="AM321" i="5"/>
  <c r="AN321" i="5"/>
  <c r="AN83" i="5"/>
  <c r="AM83" i="5"/>
  <c r="AM493" i="5"/>
  <c r="AN493" i="5"/>
  <c r="AM520" i="5"/>
  <c r="AN520" i="5"/>
  <c r="AN126" i="5"/>
  <c r="AM126" i="5"/>
  <c r="AN416" i="5"/>
  <c r="AM416" i="5"/>
  <c r="AM26" i="5"/>
  <c r="AN26" i="5"/>
  <c r="AM458" i="5"/>
  <c r="AN458" i="5"/>
  <c r="AM235" i="5"/>
  <c r="AN235" i="5"/>
  <c r="AN236" i="5"/>
  <c r="AM236" i="5"/>
  <c r="AN515" i="5"/>
  <c r="AM515" i="5"/>
  <c r="AM285" i="5"/>
  <c r="AN285" i="5"/>
  <c r="AN33" i="5"/>
  <c r="AM33" i="5"/>
  <c r="AM141" i="5"/>
  <c r="AN141" i="5"/>
  <c r="AN540" i="5"/>
  <c r="AM540" i="5"/>
  <c r="AM39" i="5"/>
  <c r="AN39" i="5"/>
  <c r="AM98" i="5"/>
  <c r="AN98" i="5"/>
  <c r="AN151" i="5"/>
  <c r="AM151" i="5"/>
  <c r="AM469" i="5"/>
  <c r="AN469" i="5"/>
  <c r="AM193" i="5"/>
  <c r="AN193" i="5"/>
  <c r="AN294" i="5"/>
  <c r="AM294" i="5"/>
  <c r="AN178" i="5"/>
  <c r="AM178" i="5"/>
  <c r="AM353" i="5"/>
  <c r="AN353" i="5"/>
  <c r="AN138" i="5"/>
  <c r="AM138" i="5"/>
  <c r="AN282" i="5"/>
  <c r="AM282" i="5"/>
  <c r="AN456" i="5"/>
  <c r="AM456" i="5"/>
  <c r="AM447" i="5"/>
  <c r="AN447" i="5"/>
  <c r="AN343" i="5"/>
  <c r="AM343" i="5"/>
  <c r="AM207" i="5"/>
  <c r="AN207" i="5"/>
  <c r="AM44" i="5"/>
  <c r="AN44" i="5"/>
  <c r="AN483" i="5"/>
  <c r="AM483" i="5"/>
  <c r="AM55" i="5"/>
  <c r="AN55" i="5"/>
  <c r="AN80" i="5"/>
  <c r="AM80" i="5"/>
  <c r="AM277" i="5"/>
  <c r="AN277" i="5"/>
  <c r="AM380" i="5"/>
  <c r="AN380" i="5"/>
  <c r="AN310" i="5"/>
  <c r="AM310" i="5"/>
  <c r="AM45" i="5"/>
  <c r="AN45" i="5"/>
  <c r="AN468" i="5"/>
  <c r="AM468" i="5"/>
  <c r="AM360" i="5"/>
  <c r="AN360" i="5"/>
  <c r="AM524" i="5"/>
  <c r="AN524" i="5"/>
  <c r="AN217" i="5"/>
  <c r="AM217" i="5"/>
  <c r="AM451" i="5"/>
  <c r="AN451" i="5"/>
  <c r="AM531" i="5"/>
  <c r="AN531" i="5"/>
  <c r="AM516" i="5"/>
  <c r="AN516" i="5"/>
  <c r="AM280" i="5"/>
  <c r="AN280" i="5"/>
  <c r="AN214" i="5"/>
  <c r="AM214" i="5"/>
  <c r="AM437" i="5"/>
  <c r="AN437" i="5"/>
  <c r="AM103" i="5"/>
  <c r="AN103" i="5"/>
  <c r="AM90" i="5"/>
  <c r="AN90" i="5"/>
  <c r="AM448" i="5"/>
  <c r="AN448" i="5"/>
  <c r="AM331" i="5"/>
  <c r="AN331" i="5"/>
  <c r="AN78" i="5"/>
  <c r="AM78" i="5"/>
  <c r="AM167" i="5"/>
  <c r="AN167" i="5"/>
  <c r="AN338" i="5"/>
  <c r="AM338" i="5"/>
  <c r="AM131" i="5"/>
  <c r="AN131" i="5"/>
  <c r="AN174" i="5"/>
  <c r="AM174" i="5"/>
  <c r="AM383" i="5"/>
  <c r="AN383" i="5"/>
  <c r="AN545" i="5"/>
  <c r="AM545" i="5"/>
  <c r="AO207" i="5"/>
  <c r="AO398" i="5"/>
  <c r="AO150" i="5"/>
  <c r="AO445" i="5"/>
  <c r="AO345" i="5"/>
  <c r="AO97" i="5"/>
  <c r="AO392" i="5"/>
  <c r="AO144" i="5"/>
  <c r="AO119" i="5"/>
  <c r="AO355" i="5"/>
  <c r="AO107" i="5"/>
  <c r="AO394" i="5"/>
  <c r="AO146" i="5"/>
  <c r="AO377" i="5"/>
  <c r="AO357" i="5"/>
  <c r="AO109" i="5"/>
  <c r="AO404" i="5"/>
  <c r="AO156" i="5"/>
  <c r="AO288" i="5"/>
  <c r="AO390" i="5"/>
  <c r="AO142" i="5"/>
  <c r="AO437" i="5"/>
  <c r="AO189" i="5"/>
  <c r="AO120" i="5"/>
  <c r="AO495" i="5"/>
  <c r="AO215" i="5"/>
  <c r="AO470" i="5"/>
  <c r="AO222" i="5"/>
  <c r="AO153" i="5"/>
  <c r="AO448" i="5"/>
  <c r="AO200" i="5"/>
  <c r="AO447" i="5"/>
  <c r="AO287" i="5"/>
  <c r="AO186" i="5"/>
  <c r="AO481" i="5"/>
  <c r="AO233" i="5"/>
  <c r="AO528" i="5"/>
  <c r="AO216" i="5"/>
  <c r="AO486" i="5"/>
  <c r="AO174" i="5"/>
  <c r="AO405" i="5"/>
  <c r="AO81" i="5"/>
  <c r="AO63" i="5"/>
  <c r="AO471" i="5"/>
  <c r="AO438" i="5"/>
  <c r="AO145" i="5"/>
  <c r="AO480" i="5"/>
  <c r="AO168" i="5"/>
  <c r="AO311" i="5"/>
  <c r="AO62" i="5"/>
  <c r="AO513" i="5"/>
  <c r="AO201" i="5"/>
  <c r="AO126" i="5"/>
  <c r="AO323" i="5"/>
  <c r="AO546" i="5"/>
  <c r="AO234" i="5"/>
  <c r="AO190" i="5"/>
  <c r="AO356" i="5"/>
  <c r="AO44" i="5"/>
  <c r="AO275" i="5"/>
  <c r="AO31" i="5"/>
  <c r="AO389" i="5"/>
  <c r="AO77" i="5"/>
  <c r="AO308" i="5"/>
  <c r="AO48" i="5"/>
  <c r="AO519" i="5"/>
  <c r="AO310" i="5"/>
  <c r="AO431" i="5"/>
  <c r="BG8" i="5"/>
  <c r="BL8" i="5" s="1"/>
  <c r="BF8" i="5"/>
  <c r="BK8" i="5" s="1"/>
  <c r="BF10" i="5"/>
  <c r="BK10" i="5" s="1"/>
  <c r="BG10" i="5"/>
  <c r="BL10" i="5" s="1"/>
  <c r="BG304" i="5"/>
  <c r="BL304" i="5" s="1"/>
  <c r="BF304" i="5"/>
  <c r="BK304" i="5" s="1"/>
  <c r="BG13" i="5"/>
  <c r="BL13" i="5" s="1"/>
  <c r="BF13" i="5"/>
  <c r="BK13" i="5" s="1"/>
  <c r="BF284" i="5"/>
  <c r="BK284" i="5" s="1"/>
  <c r="BG284" i="5"/>
  <c r="BL284" i="5" s="1"/>
  <c r="BG407" i="5"/>
  <c r="BL407" i="5" s="1"/>
  <c r="BF407" i="5"/>
  <c r="BK407" i="5" s="1"/>
  <c r="BG89" i="5"/>
  <c r="BL89" i="5" s="1"/>
  <c r="BF89" i="5"/>
  <c r="BK89" i="5" s="1"/>
  <c r="BF311" i="5"/>
  <c r="BK311" i="5" s="1"/>
  <c r="BG311" i="5"/>
  <c r="BL311" i="5" s="1"/>
  <c r="BG396" i="5"/>
  <c r="BL396" i="5" s="1"/>
  <c r="BF396" i="5"/>
  <c r="BK396" i="5" s="1"/>
  <c r="BF369" i="5"/>
  <c r="BK369" i="5" s="1"/>
  <c r="BG369" i="5"/>
  <c r="BL369" i="5" s="1"/>
  <c r="BG432" i="5"/>
  <c r="BL432" i="5" s="1"/>
  <c r="BF432" i="5"/>
  <c r="BK432" i="5" s="1"/>
  <c r="BF477" i="5"/>
  <c r="BK477" i="5" s="1"/>
  <c r="BG477" i="5"/>
  <c r="BL477" i="5" s="1"/>
  <c r="BF474" i="5"/>
  <c r="BK474" i="5" s="1"/>
  <c r="BG474" i="5"/>
  <c r="BL474" i="5" s="1"/>
  <c r="BG544" i="5"/>
  <c r="BL544" i="5" s="1"/>
  <c r="BF544" i="5"/>
  <c r="BK544" i="5" s="1"/>
  <c r="BF298" i="5"/>
  <c r="BK298" i="5" s="1"/>
  <c r="BG298" i="5"/>
  <c r="BL298" i="5" s="1"/>
  <c r="BF418" i="5"/>
  <c r="BK418" i="5" s="1"/>
  <c r="BG418" i="5"/>
  <c r="BL418" i="5" s="1"/>
  <c r="BF159" i="5"/>
  <c r="BK159" i="5" s="1"/>
  <c r="BG159" i="5"/>
  <c r="BL159" i="5" s="1"/>
  <c r="BF90" i="5"/>
  <c r="BK90" i="5" s="1"/>
  <c r="BG90" i="5"/>
  <c r="BL90" i="5" s="1"/>
  <c r="BG445" i="5"/>
  <c r="BL445" i="5" s="1"/>
  <c r="BF445" i="5"/>
  <c r="BK445" i="5" s="1"/>
  <c r="BG104" i="5"/>
  <c r="BL104" i="5" s="1"/>
  <c r="BF104" i="5"/>
  <c r="BK104" i="5" s="1"/>
  <c r="AK9" i="5"/>
  <c r="AJ9" i="5"/>
  <c r="BF312" i="5"/>
  <c r="BK312" i="5" s="1"/>
  <c r="BG312" i="5"/>
  <c r="BL312" i="5" s="1"/>
  <c r="AM328" i="5"/>
  <c r="AN328" i="5"/>
  <c r="AM355" i="5"/>
  <c r="AN355" i="5"/>
  <c r="AN484" i="5"/>
  <c r="AM484" i="5"/>
  <c r="AN296" i="5"/>
  <c r="AM296" i="5"/>
  <c r="AM522" i="5"/>
  <c r="AN522" i="5"/>
  <c r="AN443" i="5"/>
  <c r="AM443" i="5"/>
  <c r="AM364" i="5"/>
  <c r="AN364" i="5"/>
  <c r="AM115" i="5"/>
  <c r="AN115" i="5"/>
  <c r="AM202" i="5"/>
  <c r="AN202" i="5"/>
  <c r="AN413" i="5"/>
  <c r="AM413" i="5"/>
  <c r="AM63" i="5"/>
  <c r="AN63" i="5"/>
  <c r="AM245" i="5"/>
  <c r="AN245" i="5"/>
  <c r="AN389" i="5"/>
  <c r="AM389" i="5"/>
  <c r="AM470" i="5"/>
  <c r="AN470" i="5"/>
  <c r="AM242" i="5"/>
  <c r="AN242" i="5"/>
  <c r="AM121" i="5"/>
  <c r="AN121" i="5"/>
  <c r="AM548" i="5"/>
  <c r="AN548" i="5"/>
  <c r="AM191" i="5"/>
  <c r="AN191" i="5"/>
  <c r="AM29" i="5"/>
  <c r="AN29" i="5"/>
  <c r="AM125" i="5"/>
  <c r="AN125" i="5"/>
  <c r="AM387" i="5"/>
  <c r="AN387" i="5"/>
  <c r="AN549" i="5"/>
  <c r="AM549" i="5"/>
  <c r="AM490" i="5"/>
  <c r="AN490" i="5"/>
  <c r="AN222" i="5"/>
  <c r="AM222" i="5"/>
  <c r="AN164" i="5"/>
  <c r="AM164" i="5"/>
  <c r="AN238" i="5"/>
  <c r="AM238" i="5"/>
  <c r="AN65" i="5"/>
  <c r="AM65" i="5"/>
  <c r="AN133" i="5"/>
  <c r="AM133" i="5"/>
  <c r="AN375" i="5"/>
  <c r="AM375" i="5"/>
  <c r="AN394" i="5"/>
  <c r="AM394" i="5"/>
  <c r="AN201" i="5"/>
  <c r="AM201" i="5"/>
  <c r="AN111" i="5"/>
  <c r="AM111" i="5"/>
  <c r="AM69" i="5"/>
  <c r="AN69" i="5"/>
  <c r="AN227" i="5"/>
  <c r="AM227" i="5"/>
  <c r="AN87" i="5"/>
  <c r="AM87" i="5"/>
  <c r="AM275" i="5"/>
  <c r="AN275" i="5"/>
  <c r="AN541" i="5"/>
  <c r="AM541" i="5"/>
  <c r="AN415" i="5"/>
  <c r="AM415" i="5"/>
  <c r="AN391" i="5"/>
  <c r="AM391" i="5"/>
  <c r="AM558" i="5"/>
  <c r="AN558" i="5"/>
  <c r="AM425" i="5"/>
  <c r="AN425" i="5"/>
  <c r="AN34" i="5"/>
  <c r="AM34" i="5"/>
  <c r="AN542" i="5"/>
  <c r="AM542" i="5"/>
  <c r="AN192" i="5"/>
  <c r="AM192" i="5"/>
  <c r="AM292" i="5"/>
  <c r="AN292" i="5"/>
  <c r="AM467" i="5"/>
  <c r="AN467" i="5"/>
  <c r="AN195" i="5"/>
  <c r="AM195" i="5"/>
  <c r="AN28" i="5"/>
  <c r="AM28" i="5"/>
  <c r="AN240" i="5"/>
  <c r="AM240" i="5"/>
  <c r="AN32" i="5"/>
  <c r="AM32" i="5"/>
  <c r="AN221" i="5"/>
  <c r="AM221" i="5"/>
  <c r="AM211" i="5"/>
  <c r="AN211" i="5"/>
  <c r="AN327" i="5"/>
  <c r="AM327" i="5"/>
  <c r="AM492" i="5"/>
  <c r="AN492" i="5"/>
  <c r="AM395" i="5"/>
  <c r="AN395" i="5"/>
  <c r="AN150" i="5"/>
  <c r="AM150" i="5"/>
  <c r="AM218" i="5"/>
  <c r="AN218" i="5"/>
  <c r="AN144" i="5"/>
  <c r="AM144" i="5"/>
  <c r="AN525" i="5"/>
  <c r="AM525" i="5"/>
  <c r="AM259" i="5"/>
  <c r="AN259" i="5"/>
  <c r="AN496" i="5"/>
  <c r="AM496" i="5"/>
  <c r="AN432" i="5"/>
  <c r="AM432" i="5"/>
  <c r="AN147" i="5"/>
  <c r="AM147" i="5"/>
  <c r="AM64" i="5"/>
  <c r="AN64" i="5"/>
  <c r="AN266" i="5"/>
  <c r="AM266" i="5"/>
  <c r="AM70" i="5"/>
  <c r="AN70" i="5"/>
  <c r="AN116" i="5"/>
  <c r="AM116" i="5"/>
  <c r="AM370" i="5"/>
  <c r="AN370" i="5"/>
  <c r="AO312" i="5"/>
  <c r="AO64" i="5"/>
  <c r="AO47" i="5"/>
  <c r="AO335" i="5"/>
  <c r="AO414" i="5"/>
  <c r="AO314" i="5"/>
  <c r="AO66" i="5"/>
  <c r="AO361" i="5"/>
  <c r="AO113" i="5"/>
  <c r="AO344" i="5"/>
  <c r="AO324" i="5"/>
  <c r="AO76" i="5"/>
  <c r="AO371" i="5"/>
  <c r="AO123" i="5"/>
  <c r="AO346" i="5"/>
  <c r="AO326" i="5"/>
  <c r="AO78" i="5"/>
  <c r="AO373" i="5"/>
  <c r="AO125" i="5"/>
  <c r="AO56" i="5"/>
  <c r="AO551" i="5"/>
  <c r="AO271" i="5"/>
  <c r="AO406" i="5"/>
  <c r="AO158" i="5"/>
  <c r="AO89" i="5"/>
  <c r="AO384" i="5"/>
  <c r="AO136" i="5"/>
  <c r="AO55" i="5"/>
  <c r="AO343" i="5"/>
  <c r="AO122" i="5"/>
  <c r="AO417" i="5"/>
  <c r="AO169" i="5"/>
  <c r="AO464" i="5"/>
  <c r="AO152" i="5"/>
  <c r="AO163" i="5"/>
  <c r="AO450" i="5"/>
  <c r="AO202" i="5"/>
  <c r="AO497" i="5"/>
  <c r="AO185" i="5"/>
  <c r="AO183" i="5"/>
  <c r="AO527" i="5"/>
  <c r="AO374" i="5"/>
  <c r="AO176" i="5"/>
  <c r="AO416" i="5"/>
  <c r="AO104" i="5"/>
  <c r="AO367" i="5"/>
  <c r="AO93" i="5"/>
  <c r="AO449" i="5"/>
  <c r="AO137" i="5"/>
  <c r="AO157" i="5"/>
  <c r="AO259" i="5"/>
  <c r="AO482" i="5"/>
  <c r="AO170" i="5"/>
  <c r="AO221" i="5"/>
  <c r="AO292" i="5"/>
  <c r="AO523" i="5"/>
  <c r="AO211" i="5"/>
  <c r="AO254" i="5"/>
  <c r="AO325" i="5"/>
  <c r="AO556" i="5"/>
  <c r="AO244" i="5"/>
  <c r="AO543" i="5"/>
  <c r="AO358" i="5"/>
  <c r="AO46" i="5"/>
  <c r="AO277" i="5"/>
  <c r="AO487" i="5"/>
  <c r="AO10" i="5"/>
  <c r="AO479" i="5"/>
  <c r="AO510" i="5"/>
  <c r="BG421" i="5"/>
  <c r="BL421" i="5" s="1"/>
  <c r="BF421" i="5"/>
  <c r="BK421" i="5" s="1"/>
  <c r="BF46" i="5"/>
  <c r="BK46" i="5" s="1"/>
  <c r="BG46" i="5"/>
  <c r="BL46" i="5" s="1"/>
  <c r="BG347" i="5"/>
  <c r="BL347" i="5" s="1"/>
  <c r="BF347" i="5"/>
  <c r="BK347" i="5" s="1"/>
  <c r="BF466" i="5"/>
  <c r="BK466" i="5" s="1"/>
  <c r="BG466" i="5"/>
  <c r="BL466" i="5" s="1"/>
  <c r="BG533" i="5"/>
  <c r="BL533" i="5" s="1"/>
  <c r="BF533" i="5"/>
  <c r="BK533" i="5" s="1"/>
  <c r="BF384" i="5"/>
  <c r="BK384" i="5" s="1"/>
  <c r="BG384" i="5"/>
  <c r="BL384" i="5" s="1"/>
  <c r="BF348" i="5"/>
  <c r="BK348" i="5" s="1"/>
  <c r="BG348" i="5"/>
  <c r="BL348" i="5" s="1"/>
  <c r="BG117" i="5"/>
  <c r="BL117" i="5" s="1"/>
  <c r="BF117" i="5"/>
  <c r="BK117" i="5" s="1"/>
  <c r="BF338" i="5"/>
  <c r="BK338" i="5" s="1"/>
  <c r="BG338" i="5"/>
  <c r="BL338" i="5" s="1"/>
  <c r="BG285" i="5"/>
  <c r="BL285" i="5" s="1"/>
  <c r="BF285" i="5"/>
  <c r="BK285" i="5" s="1"/>
  <c r="BF481" i="5"/>
  <c r="BK481" i="5" s="1"/>
  <c r="BG481" i="5"/>
  <c r="BL481" i="5" s="1"/>
  <c r="BF306" i="5"/>
  <c r="BK306" i="5" s="1"/>
  <c r="BG306" i="5"/>
  <c r="BL306" i="5" s="1"/>
  <c r="BG360" i="5"/>
  <c r="BL360" i="5" s="1"/>
  <c r="BF360" i="5"/>
  <c r="BK360" i="5" s="1"/>
  <c r="BG485" i="5"/>
  <c r="BL485" i="5" s="1"/>
  <c r="BF485" i="5"/>
  <c r="BK485" i="5" s="1"/>
  <c r="BF361" i="5"/>
  <c r="BK361" i="5" s="1"/>
  <c r="BG361" i="5"/>
  <c r="BL361" i="5" s="1"/>
  <c r="BF452" i="5"/>
  <c r="BK452" i="5" s="1"/>
  <c r="BG452" i="5"/>
  <c r="BL452" i="5" s="1"/>
  <c r="BG317" i="5"/>
  <c r="BL317" i="5" s="1"/>
  <c r="BF317" i="5"/>
  <c r="BK317" i="5" s="1"/>
  <c r="BA9" i="5"/>
  <c r="AZ9" i="5"/>
  <c r="BF201" i="5"/>
  <c r="BK201" i="5" s="1"/>
  <c r="BG201" i="5"/>
  <c r="BL201" i="5" s="1"/>
  <c r="BG460" i="5"/>
  <c r="BL460" i="5" s="1"/>
  <c r="BF460" i="5"/>
  <c r="BK460" i="5" s="1"/>
  <c r="BF363" i="5"/>
  <c r="BK363" i="5" s="1"/>
  <c r="BG363" i="5"/>
  <c r="BL363" i="5" s="1"/>
  <c r="BG186" i="5"/>
  <c r="BL186" i="5" s="1"/>
  <c r="BF186" i="5"/>
  <c r="BK186" i="5" s="1"/>
  <c r="BG534" i="5"/>
  <c r="BL534" i="5" s="1"/>
  <c r="BF534" i="5"/>
  <c r="BK534" i="5" s="1"/>
  <c r="BF275" i="5"/>
  <c r="BK275" i="5" s="1"/>
  <c r="BG275" i="5"/>
  <c r="BL275" i="5" s="1"/>
  <c r="AN472" i="5"/>
  <c r="AM472" i="5"/>
  <c r="AM371" i="5"/>
  <c r="AN371" i="5"/>
  <c r="AN501" i="5"/>
  <c r="AM501" i="5"/>
  <c r="AN12" i="5"/>
  <c r="AM12" i="5"/>
  <c r="AM426" i="5"/>
  <c r="AN426" i="5"/>
  <c r="AN424" i="5"/>
  <c r="AM424" i="5"/>
  <c r="AN253" i="5"/>
  <c r="AM253" i="5"/>
  <c r="AM148" i="5"/>
  <c r="AN148" i="5"/>
  <c r="AM59" i="5"/>
  <c r="AN59" i="5"/>
  <c r="AN250" i="5"/>
  <c r="AM250" i="5"/>
  <c r="AM252" i="5"/>
  <c r="AN252" i="5"/>
  <c r="AM145" i="5"/>
  <c r="AN145" i="5"/>
  <c r="AM397" i="5"/>
  <c r="AN397" i="5"/>
  <c r="AM446" i="5"/>
  <c r="AN446" i="5"/>
  <c r="AN265" i="5"/>
  <c r="AM265" i="5"/>
  <c r="AN179" i="5"/>
  <c r="AM179" i="5"/>
  <c r="AM210" i="5"/>
  <c r="AN210" i="5"/>
  <c r="AN60" i="5"/>
  <c r="AM60" i="5"/>
  <c r="AN384" i="5"/>
  <c r="AM384" i="5"/>
  <c r="AM85" i="5"/>
  <c r="AN85" i="5"/>
  <c r="AN497" i="5"/>
  <c r="AM497" i="5"/>
  <c r="AN464" i="5"/>
  <c r="AM464" i="5"/>
  <c r="AM272" i="5"/>
  <c r="AN272" i="5"/>
  <c r="AM185" i="5"/>
  <c r="AN185" i="5"/>
  <c r="AN444" i="5"/>
  <c r="AM444" i="5"/>
  <c r="AN123" i="5"/>
  <c r="AM123" i="5"/>
  <c r="AN325" i="5"/>
  <c r="AM325" i="5"/>
  <c r="AN114" i="5"/>
  <c r="AM114" i="5"/>
  <c r="AN279" i="5"/>
  <c r="AM279" i="5"/>
  <c r="AN452" i="5"/>
  <c r="AM452" i="5"/>
  <c r="AN223" i="5"/>
  <c r="AM223" i="5"/>
  <c r="AN68" i="5"/>
  <c r="AM68" i="5"/>
  <c r="AN390" i="5"/>
  <c r="AM390" i="5"/>
  <c r="AN169" i="5"/>
  <c r="AM169" i="5"/>
  <c r="AN71" i="5"/>
  <c r="AM71" i="5"/>
  <c r="AM323" i="5"/>
  <c r="AN323" i="5"/>
  <c r="AN427" i="5"/>
  <c r="AM427" i="5"/>
  <c r="AM411" i="5"/>
  <c r="AN411" i="5"/>
  <c r="AN31" i="5"/>
  <c r="AM31" i="5"/>
  <c r="AM187" i="5"/>
  <c r="AN187" i="5"/>
  <c r="AN263" i="5"/>
  <c r="AM263" i="5"/>
  <c r="AN79" i="5"/>
  <c r="AM79" i="5"/>
  <c r="AM237" i="5"/>
  <c r="AN237" i="5"/>
  <c r="AN423" i="5"/>
  <c r="AM423" i="5"/>
  <c r="AM405" i="5"/>
  <c r="AN405" i="5"/>
  <c r="AM388" i="5"/>
  <c r="AN388" i="5"/>
  <c r="AM332" i="5"/>
  <c r="AN332" i="5"/>
  <c r="AN200" i="5"/>
  <c r="AM200" i="5"/>
  <c r="AM24" i="5"/>
  <c r="AN24" i="5"/>
  <c r="AM305" i="5"/>
  <c r="AN305" i="5"/>
  <c r="AN258" i="5"/>
  <c r="AM258" i="5"/>
  <c r="AN88" i="5"/>
  <c r="AM88" i="5"/>
  <c r="AN297" i="5"/>
  <c r="AM297" i="5"/>
  <c r="AM526" i="5"/>
  <c r="AN526" i="5"/>
  <c r="AM287" i="5"/>
  <c r="AN287" i="5"/>
  <c r="AM109" i="5"/>
  <c r="AN109" i="5"/>
  <c r="AM278" i="5"/>
  <c r="AN278" i="5"/>
  <c r="AM177" i="5"/>
  <c r="AN177" i="5"/>
  <c r="AN479" i="5"/>
  <c r="AM479" i="5"/>
  <c r="AM289" i="5"/>
  <c r="AN289" i="5"/>
  <c r="AM381" i="5"/>
  <c r="AN381" i="5"/>
  <c r="AM494" i="5"/>
  <c r="AN494" i="5"/>
  <c r="AM229" i="5"/>
  <c r="AN229" i="5"/>
  <c r="AM414" i="5"/>
  <c r="AN414" i="5"/>
  <c r="AN129" i="5"/>
  <c r="AM129" i="5"/>
  <c r="AN422" i="5"/>
  <c r="AM422" i="5"/>
  <c r="AN400" i="5"/>
  <c r="AM400" i="5"/>
  <c r="AN486" i="5"/>
  <c r="AM486" i="5"/>
  <c r="AO281" i="5"/>
  <c r="AO33" i="5"/>
  <c r="AO328" i="5"/>
  <c r="AO80" i="5"/>
  <c r="AO175" i="5"/>
  <c r="AO291" i="5"/>
  <c r="AO43" i="5"/>
  <c r="AO330" i="5"/>
  <c r="AO82" i="5"/>
  <c r="AO313" i="5"/>
  <c r="AO293" i="5"/>
  <c r="AO45" i="5"/>
  <c r="AO340" i="5"/>
  <c r="AO92" i="5"/>
  <c r="AO239" i="5"/>
  <c r="AO39" i="5"/>
  <c r="AO263" i="5"/>
  <c r="AO342" i="5"/>
  <c r="AO94" i="5"/>
  <c r="AO25" i="5"/>
  <c r="AO320" i="5"/>
  <c r="AO72" i="5"/>
  <c r="AO111" i="5"/>
  <c r="AO399" i="5"/>
  <c r="AO58" i="5"/>
  <c r="AO353" i="5"/>
  <c r="AO105" i="5"/>
  <c r="AO400" i="5"/>
  <c r="AO88" i="5"/>
  <c r="AO99" i="5"/>
  <c r="AO386" i="5"/>
  <c r="AO138" i="5"/>
  <c r="AO433" i="5"/>
  <c r="AO121" i="5"/>
  <c r="AO132" i="5"/>
  <c r="AO427" i="5"/>
  <c r="AO179" i="5"/>
  <c r="AO466" i="5"/>
  <c r="AO154" i="5"/>
  <c r="AO352" i="5"/>
  <c r="AO40" i="5"/>
  <c r="AO423" i="5"/>
  <c r="AO375" i="5"/>
  <c r="AO385" i="5"/>
  <c r="AO73" i="5"/>
  <c r="AO188" i="5"/>
  <c r="AO195" i="5"/>
  <c r="AO418" i="5"/>
  <c r="AO106" i="5"/>
  <c r="AO252" i="5"/>
  <c r="AO228" i="5"/>
  <c r="AO459" i="5"/>
  <c r="AO147" i="5"/>
  <c r="AO285" i="5"/>
  <c r="AO261" i="5"/>
  <c r="AO492" i="5"/>
  <c r="AO180" i="5"/>
  <c r="AO318" i="5"/>
  <c r="AO294" i="5"/>
  <c r="AO525" i="5"/>
  <c r="AO213" i="5"/>
  <c r="AO382" i="5"/>
  <c r="AO295" i="5"/>
  <c r="AO558" i="5"/>
  <c r="AO246" i="5"/>
  <c r="AO446" i="5"/>
  <c r="AO488" i="5"/>
  <c r="AO242" i="5"/>
  <c r="AO209" i="5"/>
  <c r="BF12" i="5"/>
  <c r="BK12" i="5" s="1"/>
  <c r="BG12" i="5"/>
  <c r="BL12" i="5" s="1"/>
  <c r="O7" i="5"/>
  <c r="R7" i="5"/>
  <c r="BF400" i="5" l="1"/>
  <c r="BK400" i="5" s="1"/>
  <c r="BG120" i="5"/>
  <c r="BL120" i="5" s="1"/>
  <c r="BG249" i="5"/>
  <c r="BL249" i="5" s="1"/>
  <c r="BG497" i="5"/>
  <c r="BL497" i="5" s="1"/>
  <c r="BF57" i="5"/>
  <c r="BK57" i="5" s="1"/>
  <c r="BN57" i="5" s="1"/>
  <c r="BO57" i="5" s="1"/>
  <c r="BG339" i="5"/>
  <c r="BL339" i="5" s="1"/>
  <c r="BF215" i="5"/>
  <c r="BK215" i="5" s="1"/>
  <c r="BN214" i="5" s="1"/>
  <c r="BG440" i="5"/>
  <c r="BL440" i="5" s="1"/>
  <c r="BG245" i="5"/>
  <c r="BL245" i="5" s="1"/>
  <c r="BG559" i="5"/>
  <c r="BL559" i="5" s="1"/>
  <c r="BF549" i="5"/>
  <c r="BK549" i="5" s="1"/>
  <c r="BN548" i="5" s="1"/>
  <c r="BO548" i="5" s="1"/>
  <c r="BG373" i="5"/>
  <c r="BL373" i="5" s="1"/>
  <c r="BG374" i="5"/>
  <c r="BL374" i="5" s="1"/>
  <c r="BG319" i="5"/>
  <c r="BL319" i="5" s="1"/>
  <c r="BG323" i="5"/>
  <c r="BL323" i="5" s="1"/>
  <c r="BG293" i="5"/>
  <c r="BL293" i="5" s="1"/>
  <c r="BG160" i="5"/>
  <c r="BL160" i="5" s="1"/>
  <c r="BG388" i="5"/>
  <c r="BL388" i="5" s="1"/>
  <c r="BF371" i="5"/>
  <c r="BK371" i="5" s="1"/>
  <c r="BN370" i="5" s="1"/>
  <c r="BO370" i="5" s="1"/>
  <c r="BG468" i="5"/>
  <c r="BL468" i="5" s="1"/>
  <c r="BG456" i="5"/>
  <c r="BL456" i="5" s="1"/>
  <c r="BG244" i="5"/>
  <c r="BL244" i="5" s="1"/>
  <c r="BE9" i="5"/>
  <c r="BG9" i="5" s="1"/>
  <c r="BL9" i="5" s="1"/>
  <c r="BG59" i="5"/>
  <c r="BL59" i="5" s="1"/>
  <c r="BG110" i="5"/>
  <c r="BL110" i="5" s="1"/>
  <c r="BF516" i="5"/>
  <c r="BK516" i="5" s="1"/>
  <c r="BG176" i="5"/>
  <c r="BL176" i="5" s="1"/>
  <c r="BG44" i="5"/>
  <c r="BL44" i="5" s="1"/>
  <c r="BF518" i="5"/>
  <c r="BK518" i="5" s="1"/>
  <c r="BN518" i="5" s="1"/>
  <c r="BO518" i="5" s="1"/>
  <c r="BF358" i="5"/>
  <c r="BK358" i="5" s="1"/>
  <c r="BN358" i="5" s="1"/>
  <c r="BO358" i="5" s="1"/>
  <c r="BF441" i="5"/>
  <c r="BK441" i="5" s="1"/>
  <c r="BN441" i="5" s="1"/>
  <c r="BO441" i="5" s="1"/>
  <c r="BG146" i="5"/>
  <c r="BL146" i="5" s="1"/>
  <c r="BF297" i="5"/>
  <c r="BK297" i="5" s="1"/>
  <c r="BN297" i="5" s="1"/>
  <c r="BO297" i="5" s="1"/>
  <c r="BF383" i="5"/>
  <c r="BK383" i="5" s="1"/>
  <c r="BN383" i="5" s="1"/>
  <c r="BO383" i="5" s="1"/>
  <c r="BF316" i="5"/>
  <c r="BK316" i="5" s="1"/>
  <c r="BN316" i="5" s="1"/>
  <c r="BO316" i="5" s="1"/>
  <c r="BG269" i="5"/>
  <c r="BL269" i="5" s="1"/>
  <c r="BG225" i="5"/>
  <c r="BL225" i="5" s="1"/>
  <c r="BF19" i="5"/>
  <c r="BK19" i="5" s="1"/>
  <c r="BG222" i="5"/>
  <c r="BL222" i="5" s="1"/>
  <c r="BG555" i="5"/>
  <c r="BL555" i="5" s="1"/>
  <c r="BG41" i="5"/>
  <c r="BL41" i="5" s="1"/>
  <c r="BG378" i="5"/>
  <c r="BL378" i="5" s="1"/>
  <c r="BG333" i="5"/>
  <c r="BL333" i="5" s="1"/>
  <c r="BF194" i="5"/>
  <c r="BK194" i="5" s="1"/>
  <c r="BN193" i="5" s="1"/>
  <c r="BG200" i="5"/>
  <c r="BL200" i="5" s="1"/>
  <c r="BF438" i="5"/>
  <c r="BK438" i="5" s="1"/>
  <c r="BF69" i="5"/>
  <c r="BK69" i="5" s="1"/>
  <c r="BN69" i="5" s="1"/>
  <c r="BO69" i="5" s="1"/>
  <c r="BF226" i="5"/>
  <c r="BK226" i="5" s="1"/>
  <c r="BN225" i="5" s="1"/>
  <c r="BF515" i="5"/>
  <c r="BK515" i="5" s="1"/>
  <c r="BG540" i="5"/>
  <c r="BL540" i="5" s="1"/>
  <c r="BG100" i="5"/>
  <c r="BL100" i="5" s="1"/>
  <c r="BF135" i="5"/>
  <c r="BK135" i="5" s="1"/>
  <c r="BN134" i="5" s="1"/>
  <c r="BF350" i="5"/>
  <c r="BK350" i="5" s="1"/>
  <c r="BN350" i="5" s="1"/>
  <c r="BO350" i="5" s="1"/>
  <c r="BG385" i="5"/>
  <c r="BL385" i="5" s="1"/>
  <c r="BG85" i="5"/>
  <c r="BL85" i="5" s="1"/>
  <c r="BG419" i="5"/>
  <c r="BL419" i="5" s="1"/>
  <c r="BG337" i="5"/>
  <c r="BL337" i="5" s="1"/>
  <c r="BG309" i="5"/>
  <c r="BL309" i="5" s="1"/>
  <c r="BG261" i="5"/>
  <c r="BL261" i="5" s="1"/>
  <c r="BF114" i="5"/>
  <c r="BK114" i="5" s="1"/>
  <c r="BF318" i="5"/>
  <c r="BK318" i="5" s="1"/>
  <c r="BN318" i="5" s="1"/>
  <c r="BO318" i="5" s="1"/>
  <c r="BF132" i="5"/>
  <c r="BK132" i="5" s="1"/>
  <c r="BN131" i="5" s="1"/>
  <c r="BO131" i="5" s="1"/>
  <c r="BG473" i="5"/>
  <c r="BL473" i="5" s="1"/>
  <c r="BF380" i="5"/>
  <c r="BK380" i="5" s="1"/>
  <c r="BN379" i="5" s="1"/>
  <c r="BO379" i="5" s="1"/>
  <c r="BG171" i="5"/>
  <c r="BL171" i="5" s="1"/>
  <c r="BF42" i="5"/>
  <c r="BK42" i="5" s="1"/>
  <c r="BN41" i="5" s="1"/>
  <c r="BO41" i="5" s="1"/>
  <c r="BF437" i="5"/>
  <c r="BK437" i="5" s="1"/>
  <c r="BG444" i="5"/>
  <c r="BL444" i="5" s="1"/>
  <c r="BF392" i="5"/>
  <c r="BK392" i="5" s="1"/>
  <c r="BN392" i="5" s="1"/>
  <c r="BO392" i="5" s="1"/>
  <c r="BG144" i="5"/>
  <c r="BL144" i="5" s="1"/>
  <c r="AQ256" i="5"/>
  <c r="BG471" i="5"/>
  <c r="BL471" i="5" s="1"/>
  <c r="BF335" i="5"/>
  <c r="BK335" i="5" s="1"/>
  <c r="BN334" i="5" s="1"/>
  <c r="BO334" i="5" s="1"/>
  <c r="BG134" i="5"/>
  <c r="BL134" i="5" s="1"/>
  <c r="BG203" i="5"/>
  <c r="BL203" i="5" s="1"/>
  <c r="BF23" i="5"/>
  <c r="BK23" i="5" s="1"/>
  <c r="BN22" i="5" s="1"/>
  <c r="BO22" i="5" s="1"/>
  <c r="BF560" i="5"/>
  <c r="BK560" i="5" s="1"/>
  <c r="BN559" i="5" s="1"/>
  <c r="BO559" i="5" s="1"/>
  <c r="BG53" i="5"/>
  <c r="BL53" i="5" s="1"/>
  <c r="BG508" i="5"/>
  <c r="BL508" i="5" s="1"/>
  <c r="BF242" i="5"/>
  <c r="BK242" i="5" s="1"/>
  <c r="BN242" i="5" s="1"/>
  <c r="BO242" i="5" s="1"/>
  <c r="BH280" i="5"/>
  <c r="BI280" i="5" s="1"/>
  <c r="BG359" i="5"/>
  <c r="BL359" i="5" s="1"/>
  <c r="BG190" i="5"/>
  <c r="BL190" i="5" s="1"/>
  <c r="BG343" i="5"/>
  <c r="BL343" i="5" s="1"/>
  <c r="BG102" i="5"/>
  <c r="BL102" i="5" s="1"/>
  <c r="BG394" i="5"/>
  <c r="BL394" i="5" s="1"/>
  <c r="BG528" i="5"/>
  <c r="BL528" i="5" s="1"/>
  <c r="BG431" i="5"/>
  <c r="BL431" i="5" s="1"/>
  <c r="BF21" i="5"/>
  <c r="BK21" i="5" s="1"/>
  <c r="BN21" i="5" s="1"/>
  <c r="BO21" i="5" s="1"/>
  <c r="BG301" i="5"/>
  <c r="BL301" i="5" s="1"/>
  <c r="BG354" i="5"/>
  <c r="BL354" i="5" s="1"/>
  <c r="BG180" i="5"/>
  <c r="BL180" i="5" s="1"/>
  <c r="BF458" i="5"/>
  <c r="BK458" i="5" s="1"/>
  <c r="BN457" i="5" s="1"/>
  <c r="BO457" i="5" s="1"/>
  <c r="BF356" i="5"/>
  <c r="BK356" i="5" s="1"/>
  <c r="BN355" i="5" s="1"/>
  <c r="BO355" i="5" s="1"/>
  <c r="BG289" i="5"/>
  <c r="BL289" i="5" s="1"/>
  <c r="BG346" i="5"/>
  <c r="BL346" i="5" s="1"/>
  <c r="BF140" i="5"/>
  <c r="BK140" i="5" s="1"/>
  <c r="BF198" i="5"/>
  <c r="BK198" i="5" s="1"/>
  <c r="BN197" i="5" s="1"/>
  <c r="BO197" i="5" s="1"/>
  <c r="BG397" i="5"/>
  <c r="BL397" i="5" s="1"/>
  <c r="BG330" i="5"/>
  <c r="BL330" i="5" s="1"/>
  <c r="BF96" i="5"/>
  <c r="BK96" i="5" s="1"/>
  <c r="BN96" i="5" s="1"/>
  <c r="BO96" i="5" s="1"/>
  <c r="BG270" i="5"/>
  <c r="BL270" i="5" s="1"/>
  <c r="BG208" i="5"/>
  <c r="BL208" i="5" s="1"/>
  <c r="BG379" i="5"/>
  <c r="BL379" i="5" s="1"/>
  <c r="BF86" i="5"/>
  <c r="BK86" i="5" s="1"/>
  <c r="BN86" i="5" s="1"/>
  <c r="BO86" i="5" s="1"/>
  <c r="BG526" i="5"/>
  <c r="BL526" i="5" s="1"/>
  <c r="BG139" i="5"/>
  <c r="BL139" i="5" s="1"/>
  <c r="BG111" i="5"/>
  <c r="BL111" i="5" s="1"/>
  <c r="BF80" i="5"/>
  <c r="BK80" i="5" s="1"/>
  <c r="BN80" i="5" s="1"/>
  <c r="BO80" i="5" s="1"/>
  <c r="BG129" i="5"/>
  <c r="BL129" i="5" s="1"/>
  <c r="BF489" i="5"/>
  <c r="BK489" i="5" s="1"/>
  <c r="BN488" i="5" s="1"/>
  <c r="BO488" i="5" s="1"/>
  <c r="BF229" i="5"/>
  <c r="BK229" i="5" s="1"/>
  <c r="BN229" i="5" s="1"/>
  <c r="BO229" i="5" s="1"/>
  <c r="BG328" i="5"/>
  <c r="BL328" i="5" s="1"/>
  <c r="BG288" i="5"/>
  <c r="BL288" i="5" s="1"/>
  <c r="BG26" i="5"/>
  <c r="BL26" i="5" s="1"/>
  <c r="BG292" i="5"/>
  <c r="BL292" i="5" s="1"/>
  <c r="BG514" i="5"/>
  <c r="BL514" i="5" s="1"/>
  <c r="BG253" i="5"/>
  <c r="BL253" i="5" s="1"/>
  <c r="BG513" i="5"/>
  <c r="BL513" i="5" s="1"/>
  <c r="BF467" i="5"/>
  <c r="BK467" i="5" s="1"/>
  <c r="BN467" i="5" s="1"/>
  <c r="BO467" i="5" s="1"/>
  <c r="BG50" i="5"/>
  <c r="BL50" i="5" s="1"/>
  <c r="AO143" i="6"/>
  <c r="AU143" i="6" s="1"/>
  <c r="AW143" i="6" s="1"/>
  <c r="BG274" i="5"/>
  <c r="BL274" i="5" s="1"/>
  <c r="AO141" i="6"/>
  <c r="AU141" i="6" s="1"/>
  <c r="AW141" i="6" s="1"/>
  <c r="AO48" i="6"/>
  <c r="AU48" i="6" s="1"/>
  <c r="AW48" i="6" s="1"/>
  <c r="BG341" i="5"/>
  <c r="BL341" i="5" s="1"/>
  <c r="BG131" i="5"/>
  <c r="BL131" i="5" s="1"/>
  <c r="BF495" i="5"/>
  <c r="BK495" i="5" s="1"/>
  <c r="BN494" i="5" s="1"/>
  <c r="BO494" i="5" s="1"/>
  <c r="BG480" i="5"/>
  <c r="BL480" i="5" s="1"/>
  <c r="BG556" i="5"/>
  <c r="BL556" i="5" s="1"/>
  <c r="BF499" i="5"/>
  <c r="BK499" i="5" s="1"/>
  <c r="BN499" i="5" s="1"/>
  <c r="BO499" i="5" s="1"/>
  <c r="BG70" i="5"/>
  <c r="BL70" i="5" s="1"/>
  <c r="BF187" i="5"/>
  <c r="BK187" i="5" s="1"/>
  <c r="BN187" i="5" s="1"/>
  <c r="BO187" i="5" s="1"/>
  <c r="BG472" i="5"/>
  <c r="BL472" i="5" s="1"/>
  <c r="BF279" i="5"/>
  <c r="BK279" i="5" s="1"/>
  <c r="BN278" i="5" s="1"/>
  <c r="BO278" i="5" s="1"/>
  <c r="BF182" i="5"/>
  <c r="BK182" i="5" s="1"/>
  <c r="BN182" i="5" s="1"/>
  <c r="BO182" i="5" s="1"/>
  <c r="BF88" i="5"/>
  <c r="BK88" i="5" s="1"/>
  <c r="BN88" i="5" s="1"/>
  <c r="BO88" i="5" s="1"/>
  <c r="BF113" i="5"/>
  <c r="BK113" i="5" s="1"/>
  <c r="BN112" i="5" s="1"/>
  <c r="BG250" i="5"/>
  <c r="BL250" i="5" s="1"/>
  <c r="BG205" i="5"/>
  <c r="BL205" i="5" s="1"/>
  <c r="BF530" i="5"/>
  <c r="BK530" i="5" s="1"/>
  <c r="BN530" i="5" s="1"/>
  <c r="BO530" i="5" s="1"/>
  <c r="BF233" i="5"/>
  <c r="BK233" i="5" s="1"/>
  <c r="BN233" i="5" s="1"/>
  <c r="BO233" i="5" s="1"/>
  <c r="BG351" i="5"/>
  <c r="BL351" i="5" s="1"/>
  <c r="BF103" i="5"/>
  <c r="BK103" i="5" s="1"/>
  <c r="BN103" i="5" s="1"/>
  <c r="BO103" i="5" s="1"/>
  <c r="BF49" i="5"/>
  <c r="BK49" i="5" s="1"/>
  <c r="BN49" i="5" s="1"/>
  <c r="BO49" i="5" s="1"/>
  <c r="BF517" i="5"/>
  <c r="BK517" i="5" s="1"/>
  <c r="BN516" i="5" s="1"/>
  <c r="BO516" i="5" s="1"/>
  <c r="BF82" i="5"/>
  <c r="BK82" i="5" s="1"/>
  <c r="BN81" i="5" s="1"/>
  <c r="BO81" i="5" s="1"/>
  <c r="BG54" i="5"/>
  <c r="BL54" i="5" s="1"/>
  <c r="BF535" i="5"/>
  <c r="BK535" i="5" s="1"/>
  <c r="BN534" i="5" s="1"/>
  <c r="BO534" i="5" s="1"/>
  <c r="BG331" i="5"/>
  <c r="BL331" i="5" s="1"/>
  <c r="BF302" i="5"/>
  <c r="BK302" i="5" s="1"/>
  <c r="BN302" i="5" s="1"/>
  <c r="BO302" i="5" s="1"/>
  <c r="AO44" i="6"/>
  <c r="AU44" i="6" s="1"/>
  <c r="AW44" i="6" s="1"/>
  <c r="AO135" i="6"/>
  <c r="AU135" i="6" s="1"/>
  <c r="AW135" i="6" s="1"/>
  <c r="AO82" i="6"/>
  <c r="AU82" i="6" s="1"/>
  <c r="AW82" i="6" s="1"/>
  <c r="AU47" i="6"/>
  <c r="AW47" i="6" s="1"/>
  <c r="AO89" i="6"/>
  <c r="AU89" i="6" s="1"/>
  <c r="AW89" i="6" s="1"/>
  <c r="AO132" i="6"/>
  <c r="AU132" i="6" s="1"/>
  <c r="AW132" i="6" s="1"/>
  <c r="BF357" i="5"/>
  <c r="BK357" i="5" s="1"/>
  <c r="BF228" i="5"/>
  <c r="BK228" i="5" s="1"/>
  <c r="BN227" i="5" s="1"/>
  <c r="BO227" i="5" s="1"/>
  <c r="BF387" i="5"/>
  <c r="BK387" i="5" s="1"/>
  <c r="BN386" i="5" s="1"/>
  <c r="BO386" i="5" s="1"/>
  <c r="BG94" i="5"/>
  <c r="BL94" i="5" s="1"/>
  <c r="BG463" i="5"/>
  <c r="BL463" i="5" s="1"/>
  <c r="BG262" i="5"/>
  <c r="BL262" i="5" s="1"/>
  <c r="BF141" i="5"/>
  <c r="BK141" i="5" s="1"/>
  <c r="BN141" i="5" s="1"/>
  <c r="BO141" i="5" s="1"/>
  <c r="BG109" i="5"/>
  <c r="BL109" i="5" s="1"/>
  <c r="BG243" i="5"/>
  <c r="BL243" i="5" s="1"/>
  <c r="BG156" i="5"/>
  <c r="BL156" i="5" s="1"/>
  <c r="BF168" i="5"/>
  <c r="BK168" i="5" s="1"/>
  <c r="BN167" i="5" s="1"/>
  <c r="BO167" i="5" s="1"/>
  <c r="BG442" i="5"/>
  <c r="BL442" i="5" s="1"/>
  <c r="BG124" i="5"/>
  <c r="BL124" i="5" s="1"/>
  <c r="BG149" i="5"/>
  <c r="BL149" i="5" s="1"/>
  <c r="BG112" i="5"/>
  <c r="BL112" i="5" s="1"/>
  <c r="BG115" i="5"/>
  <c r="BL115" i="5" s="1"/>
  <c r="BG22" i="5"/>
  <c r="BL22" i="5" s="1"/>
  <c r="BG214" i="5"/>
  <c r="BL214" i="5" s="1"/>
  <c r="BF428" i="5"/>
  <c r="BK428" i="5" s="1"/>
  <c r="BN427" i="5" s="1"/>
  <c r="BO427" i="5" s="1"/>
  <c r="BG532" i="5"/>
  <c r="BL532" i="5" s="1"/>
  <c r="BF423" i="5"/>
  <c r="BK423" i="5" s="1"/>
  <c r="BN422" i="5" s="1"/>
  <c r="BO422" i="5" s="1"/>
  <c r="BG425" i="5"/>
  <c r="BL425" i="5" s="1"/>
  <c r="BG240" i="5"/>
  <c r="BL240" i="5" s="1"/>
  <c r="BF128" i="5"/>
  <c r="BK128" i="5" s="1"/>
  <c r="BN128" i="5" s="1"/>
  <c r="BO128" i="5" s="1"/>
  <c r="BF294" i="5"/>
  <c r="BK294" i="5" s="1"/>
  <c r="BN293" i="5" s="1"/>
  <c r="BO293" i="5" s="1"/>
  <c r="BG130" i="5"/>
  <c r="BL130" i="5" s="1"/>
  <c r="BF368" i="5"/>
  <c r="BK368" i="5" s="1"/>
  <c r="BN368" i="5" s="1"/>
  <c r="BO368" i="5" s="1"/>
  <c r="BF550" i="5"/>
  <c r="BK550" i="5" s="1"/>
  <c r="BN550" i="5" s="1"/>
  <c r="BO550" i="5" s="1"/>
  <c r="BF412" i="5"/>
  <c r="BK412" i="5" s="1"/>
  <c r="BN412" i="5" s="1"/>
  <c r="BO412" i="5" s="1"/>
  <c r="BF462" i="5"/>
  <c r="BK462" i="5" s="1"/>
  <c r="BN462" i="5" s="1"/>
  <c r="BO462" i="5" s="1"/>
  <c r="BF377" i="5"/>
  <c r="BK377" i="5" s="1"/>
  <c r="BN377" i="5" s="1"/>
  <c r="BO377" i="5" s="1"/>
  <c r="BG247" i="5"/>
  <c r="BL247" i="5" s="1"/>
  <c r="BG457" i="5"/>
  <c r="BL457" i="5" s="1"/>
  <c r="BG390" i="5"/>
  <c r="BL390" i="5" s="1"/>
  <c r="BF340" i="5"/>
  <c r="BK340" i="5" s="1"/>
  <c r="BN339" i="5" s="1"/>
  <c r="BO339" i="5" s="1"/>
  <c r="BG548" i="5"/>
  <c r="BL548" i="5" s="1"/>
  <c r="BF299" i="5"/>
  <c r="BK299" i="5" s="1"/>
  <c r="BN298" i="5" s="1"/>
  <c r="BO298" i="5" s="1"/>
  <c r="BF381" i="5"/>
  <c r="BK381" i="5" s="1"/>
  <c r="BF224" i="5"/>
  <c r="BK224" i="5" s="1"/>
  <c r="BN224" i="5" s="1"/>
  <c r="BO224" i="5" s="1"/>
  <c r="BG411" i="5"/>
  <c r="BL411" i="5" s="1"/>
  <c r="BF43" i="5"/>
  <c r="BK43" i="5" s="1"/>
  <c r="BN43" i="5" s="1"/>
  <c r="BO43" i="5" s="1"/>
  <c r="BG172" i="5"/>
  <c r="BL172" i="5" s="1"/>
  <c r="BG496" i="5"/>
  <c r="BL496" i="5" s="1"/>
  <c r="BF92" i="5"/>
  <c r="BK92" i="5" s="1"/>
  <c r="BN91" i="5" s="1"/>
  <c r="BO91" i="5" s="1"/>
  <c r="BG399" i="5"/>
  <c r="BL399" i="5" s="1"/>
  <c r="BG33" i="5"/>
  <c r="BL33" i="5" s="1"/>
  <c r="BF95" i="5"/>
  <c r="BK95" i="5" s="1"/>
  <c r="BN94" i="5" s="1"/>
  <c r="BO94" i="5" s="1"/>
  <c r="BF403" i="5"/>
  <c r="BK403" i="5" s="1"/>
  <c r="BN403" i="5" s="1"/>
  <c r="BO403" i="5" s="1"/>
  <c r="BF372" i="5"/>
  <c r="BK372" i="5" s="1"/>
  <c r="BN372" i="5" s="1"/>
  <c r="BO372" i="5" s="1"/>
  <c r="BG271" i="5"/>
  <c r="BL271" i="5" s="1"/>
  <c r="BG355" i="5"/>
  <c r="BL355" i="5" s="1"/>
  <c r="BG58" i="5"/>
  <c r="BL58" i="5" s="1"/>
  <c r="BF484" i="5"/>
  <c r="BK484" i="5" s="1"/>
  <c r="BN484" i="5" s="1"/>
  <c r="BO484" i="5" s="1"/>
  <c r="BF196" i="5"/>
  <c r="BK196" i="5" s="1"/>
  <c r="BN196" i="5" s="1"/>
  <c r="BO196" i="5" s="1"/>
  <c r="BG426" i="5"/>
  <c r="BL426" i="5" s="1"/>
  <c r="BF173" i="5"/>
  <c r="BK173" i="5" s="1"/>
  <c r="BN172" i="5" s="1"/>
  <c r="BG280" i="5"/>
  <c r="BL280" i="5" s="1"/>
  <c r="BG195" i="5"/>
  <c r="BL195" i="5" s="1"/>
  <c r="BF123" i="5"/>
  <c r="BK123" i="5" s="1"/>
  <c r="BN123" i="5" s="1"/>
  <c r="BO123" i="5" s="1"/>
  <c r="BG235" i="5"/>
  <c r="BL235" i="5" s="1"/>
  <c r="BG529" i="5"/>
  <c r="BL529" i="5" s="1"/>
  <c r="BG223" i="5"/>
  <c r="BL223" i="5" s="1"/>
  <c r="BF504" i="5"/>
  <c r="BK504" i="5" s="1"/>
  <c r="BN503" i="5" s="1"/>
  <c r="BO503" i="5" s="1"/>
  <c r="BF179" i="5"/>
  <c r="BK179" i="5" s="1"/>
  <c r="BN179" i="5" s="1"/>
  <c r="BO179" i="5" s="1"/>
  <c r="BF429" i="5"/>
  <c r="BK429" i="5" s="1"/>
  <c r="BF415" i="5"/>
  <c r="BK415" i="5" s="1"/>
  <c r="BN414" i="5" s="1"/>
  <c r="BO414" i="5" s="1"/>
  <c r="BF232" i="5"/>
  <c r="BK232" i="5" s="1"/>
  <c r="BN231" i="5" s="1"/>
  <c r="BO231" i="5" s="1"/>
  <c r="BG308" i="5"/>
  <c r="BL308" i="5" s="1"/>
  <c r="BG408" i="5"/>
  <c r="BL408" i="5" s="1"/>
  <c r="BG469" i="5"/>
  <c r="BL469" i="5" s="1"/>
  <c r="BG155" i="5"/>
  <c r="BL155" i="5" s="1"/>
  <c r="BF543" i="5"/>
  <c r="BK543" i="5" s="1"/>
  <c r="BN542" i="5" s="1"/>
  <c r="BO542" i="5" s="1"/>
  <c r="BG393" i="5"/>
  <c r="BL393" i="5" s="1"/>
  <c r="BG558" i="5"/>
  <c r="BL558" i="5" s="1"/>
  <c r="BG435" i="5"/>
  <c r="BL435" i="5" s="1"/>
  <c r="BF410" i="5"/>
  <c r="BK410" i="5" s="1"/>
  <c r="BN410" i="5" s="1"/>
  <c r="BO410" i="5" s="1"/>
  <c r="BF315" i="5"/>
  <c r="BK315" i="5" s="1"/>
  <c r="BF254" i="5"/>
  <c r="BK254" i="5" s="1"/>
  <c r="BN254" i="5" s="1"/>
  <c r="BO254" i="5" s="1"/>
  <c r="BG79" i="5"/>
  <c r="BL79" i="5" s="1"/>
  <c r="BF525" i="5"/>
  <c r="BK525" i="5" s="1"/>
  <c r="BN524" i="5" s="1"/>
  <c r="BO524" i="5" s="1"/>
  <c r="BF151" i="5"/>
  <c r="BK151" i="5" s="1"/>
  <c r="BN150" i="5" s="1"/>
  <c r="BO150" i="5" s="1"/>
  <c r="BF324" i="5"/>
  <c r="BK324" i="5" s="1"/>
  <c r="BN324" i="5" s="1"/>
  <c r="BO324" i="5" s="1"/>
  <c r="BG422" i="5"/>
  <c r="BL422" i="5" s="1"/>
  <c r="BG209" i="5"/>
  <c r="BL209" i="5" s="1"/>
  <c r="BG334" i="5"/>
  <c r="BL334" i="5" s="1"/>
  <c r="BF276" i="5"/>
  <c r="BK276" i="5" s="1"/>
  <c r="BN276" i="5" s="1"/>
  <c r="BO276" i="5" s="1"/>
  <c r="BG267" i="5"/>
  <c r="BL267" i="5" s="1"/>
  <c r="BF439" i="5"/>
  <c r="BK439" i="5" s="1"/>
  <c r="BF290" i="5"/>
  <c r="BK290" i="5" s="1"/>
  <c r="BN289" i="5" s="1"/>
  <c r="BO289" i="5" s="1"/>
  <c r="BG251" i="5"/>
  <c r="BL251" i="5" s="1"/>
  <c r="BG303" i="5"/>
  <c r="BL303" i="5" s="1"/>
  <c r="BG210" i="5"/>
  <c r="BL210" i="5" s="1"/>
  <c r="BG237" i="5"/>
  <c r="BL237" i="5" s="1"/>
  <c r="BG405" i="5"/>
  <c r="BL405" i="5" s="1"/>
  <c r="BF68" i="5"/>
  <c r="BK68" i="5" s="1"/>
  <c r="BN67" i="5" s="1"/>
  <c r="BO67" i="5" s="1"/>
  <c r="BF66" i="5"/>
  <c r="BK66" i="5" s="1"/>
  <c r="BN65" i="5" s="1"/>
  <c r="BO65" i="5" s="1"/>
  <c r="BF64" i="5"/>
  <c r="BK64" i="5" s="1"/>
  <c r="BN63" i="5" s="1"/>
  <c r="BO63" i="5" s="1"/>
  <c r="BG542" i="5"/>
  <c r="BL542" i="5" s="1"/>
  <c r="BF101" i="5"/>
  <c r="BK101" i="5" s="1"/>
  <c r="BN101" i="5" s="1"/>
  <c r="BO101" i="5" s="1"/>
  <c r="BF409" i="5"/>
  <c r="BK409" i="5" s="1"/>
  <c r="BN408" i="5" s="1"/>
  <c r="BO408" i="5" s="1"/>
  <c r="BF116" i="5"/>
  <c r="BK116" i="5" s="1"/>
  <c r="BN116" i="5" s="1"/>
  <c r="BO116" i="5" s="1"/>
  <c r="BG282" i="5"/>
  <c r="BL282" i="5" s="1"/>
  <c r="BF389" i="5"/>
  <c r="BK389" i="5" s="1"/>
  <c r="BN389" i="5" s="1"/>
  <c r="BO389" i="5" s="1"/>
  <c r="BG465" i="5"/>
  <c r="BL465" i="5" s="1"/>
  <c r="BF48" i="5"/>
  <c r="BK48" i="5" s="1"/>
  <c r="BF158" i="5"/>
  <c r="BK158" i="5" s="1"/>
  <c r="BN157" i="5" s="1"/>
  <c r="BO157" i="5" s="1"/>
  <c r="BG73" i="5"/>
  <c r="BL73" i="5" s="1"/>
  <c r="BG366" i="5"/>
  <c r="BL366" i="5" s="1"/>
  <c r="BG483" i="5"/>
  <c r="BL483" i="5" s="1"/>
  <c r="BF349" i="5"/>
  <c r="BK349" i="5" s="1"/>
  <c r="BN348" i="5" s="1"/>
  <c r="BO348" i="5" s="1"/>
  <c r="BF451" i="5"/>
  <c r="BK451" i="5" s="1"/>
  <c r="BN450" i="5" s="1"/>
  <c r="BO450" i="5" s="1"/>
  <c r="AP165" i="5"/>
  <c r="BG364" i="5"/>
  <c r="BL364" i="5" s="1"/>
  <c r="BF105" i="5"/>
  <c r="BK105" i="5" s="1"/>
  <c r="BN105" i="5" s="1"/>
  <c r="BO105" i="5" s="1"/>
  <c r="BF506" i="5"/>
  <c r="BK506" i="5" s="1"/>
  <c r="BN505" i="5" s="1"/>
  <c r="BO505" i="5" s="1"/>
  <c r="BF56" i="5"/>
  <c r="BK56" i="5" s="1"/>
  <c r="BN55" i="5" s="1"/>
  <c r="BO55" i="5" s="1"/>
  <c r="BF211" i="5"/>
  <c r="BK211" i="5" s="1"/>
  <c r="BN210" i="5" s="1"/>
  <c r="AQ165" i="5"/>
  <c r="BG406" i="5"/>
  <c r="BL406" i="5" s="1"/>
  <c r="BG169" i="5"/>
  <c r="BL169" i="5" s="1"/>
  <c r="BF35" i="5"/>
  <c r="BK35" i="5" s="1"/>
  <c r="BN34" i="5" s="1"/>
  <c r="BO34" i="5" s="1"/>
  <c r="BG248" i="5"/>
  <c r="BL248" i="5" s="1"/>
  <c r="BF433" i="5"/>
  <c r="BK433" i="5" s="1"/>
  <c r="BN432" i="5" s="1"/>
  <c r="BO432" i="5" s="1"/>
  <c r="BG501" i="5"/>
  <c r="BL501" i="5" s="1"/>
  <c r="BG281" i="5"/>
  <c r="BL281" i="5" s="1"/>
  <c r="BF260" i="5"/>
  <c r="BK260" i="5" s="1"/>
  <c r="BN259" i="5" s="1"/>
  <c r="BF28" i="5"/>
  <c r="BK28" i="5" s="1"/>
  <c r="BN28" i="5" s="1"/>
  <c r="BO28" i="5" s="1"/>
  <c r="BG537" i="5"/>
  <c r="BL537" i="5" s="1"/>
  <c r="BF398" i="5"/>
  <c r="BK398" i="5" s="1"/>
  <c r="BN398" i="5" s="1"/>
  <c r="BO398" i="5" s="1"/>
  <c r="BG367" i="5"/>
  <c r="BL367" i="5" s="1"/>
  <c r="BF332" i="5"/>
  <c r="BK332" i="5" s="1"/>
  <c r="BN332" i="5" s="1"/>
  <c r="BO332" i="5" s="1"/>
  <c r="BF152" i="5"/>
  <c r="BK152" i="5" s="1"/>
  <c r="BG470" i="5"/>
  <c r="BL470" i="5" s="1"/>
  <c r="BG19" i="5"/>
  <c r="BL19" i="5" s="1"/>
  <c r="BF71" i="5"/>
  <c r="BK71" i="5" s="1"/>
  <c r="BN70" i="5" s="1"/>
  <c r="BO70" i="5" s="1"/>
  <c r="BG455" i="5"/>
  <c r="BL455" i="5" s="1"/>
  <c r="BG505" i="5"/>
  <c r="BL505" i="5" s="1"/>
  <c r="BG216" i="5"/>
  <c r="BL216" i="5" s="1"/>
  <c r="BF108" i="5"/>
  <c r="BK108" i="5" s="1"/>
  <c r="BN107" i="5" s="1"/>
  <c r="BO107" i="5" s="1"/>
  <c r="BG519" i="5"/>
  <c r="BL519" i="5" s="1"/>
  <c r="BG34" i="5"/>
  <c r="BL34" i="5" s="1"/>
  <c r="BG395" i="5"/>
  <c r="BL395" i="5" s="1"/>
  <c r="BG163" i="5"/>
  <c r="BL163" i="5" s="1"/>
  <c r="BF212" i="5"/>
  <c r="BK212" i="5" s="1"/>
  <c r="BF11" i="5"/>
  <c r="BK11" i="5" s="1"/>
  <c r="BH41" i="5"/>
  <c r="BJ41" i="5" s="1"/>
  <c r="BF122" i="5"/>
  <c r="BK122" i="5" s="1"/>
  <c r="BG32" i="5"/>
  <c r="BL32" i="5" s="1"/>
  <c r="BG206" i="5"/>
  <c r="BL206" i="5" s="1"/>
  <c r="BF47" i="5"/>
  <c r="BK47" i="5" s="1"/>
  <c r="BG325" i="5"/>
  <c r="BL325" i="5" s="1"/>
  <c r="AP41" i="5"/>
  <c r="BG286" i="5"/>
  <c r="BL286" i="5" s="1"/>
  <c r="BG239" i="5"/>
  <c r="BL239" i="5" s="1"/>
  <c r="BG65" i="5"/>
  <c r="BL65" i="5" s="1"/>
  <c r="BF72" i="5"/>
  <c r="BK72" i="5" s="1"/>
  <c r="BN72" i="5" s="1"/>
  <c r="BO72" i="5" s="1"/>
  <c r="BF125" i="5"/>
  <c r="BK125" i="5" s="1"/>
  <c r="BN124" i="5" s="1"/>
  <c r="BO124" i="5" s="1"/>
  <c r="BF557" i="5"/>
  <c r="BK557" i="5" s="1"/>
  <c r="BN556" i="5" s="1"/>
  <c r="BO556" i="5" s="1"/>
  <c r="BF39" i="5"/>
  <c r="BK39" i="5" s="1"/>
  <c r="BN38" i="5" s="1"/>
  <c r="BO38" i="5" s="1"/>
  <c r="BG37" i="5"/>
  <c r="BL37" i="5" s="1"/>
  <c r="BF24" i="5"/>
  <c r="BK24" i="5" s="1"/>
  <c r="BG417" i="5"/>
  <c r="BL417" i="5" s="1"/>
  <c r="BG218" i="5"/>
  <c r="BL218" i="5" s="1"/>
  <c r="BF509" i="5"/>
  <c r="BK509" i="5" s="1"/>
  <c r="BN508" i="5" s="1"/>
  <c r="BO508" i="5" s="1"/>
  <c r="BF459" i="5"/>
  <c r="BK459" i="5" s="1"/>
  <c r="BG273" i="5"/>
  <c r="BL273" i="5" s="1"/>
  <c r="BG45" i="5"/>
  <c r="BL45" i="5" s="1"/>
  <c r="BG494" i="5"/>
  <c r="BL494" i="5" s="1"/>
  <c r="AQ280" i="5"/>
  <c r="BF99" i="5"/>
  <c r="BK99" i="5" s="1"/>
  <c r="BN98" i="5" s="1"/>
  <c r="AP383" i="5"/>
  <c r="BH383" i="5"/>
  <c r="BI383" i="5" s="1"/>
  <c r="BG551" i="5"/>
  <c r="BL551" i="5" s="1"/>
  <c r="BG185" i="5"/>
  <c r="BL185" i="5" s="1"/>
  <c r="BF283" i="5"/>
  <c r="BK283" i="5" s="1"/>
  <c r="BN283" i="5" s="1"/>
  <c r="BO283" i="5" s="1"/>
  <c r="BF454" i="5"/>
  <c r="BK454" i="5" s="1"/>
  <c r="BN454" i="5" s="1"/>
  <c r="BO454" i="5" s="1"/>
  <c r="BF507" i="5"/>
  <c r="BK507" i="5" s="1"/>
  <c r="BN507" i="5" s="1"/>
  <c r="BO507" i="5" s="1"/>
  <c r="BF554" i="5"/>
  <c r="BK554" i="5" s="1"/>
  <c r="BN553" i="5" s="1"/>
  <c r="BO553" i="5" s="1"/>
  <c r="BF241" i="5"/>
  <c r="BK241" i="5" s="1"/>
  <c r="BG153" i="5"/>
  <c r="BL153" i="5" s="1"/>
  <c r="BG259" i="5"/>
  <c r="BL259" i="5" s="1"/>
  <c r="BH256" i="5"/>
  <c r="BJ256" i="5" s="1"/>
  <c r="BG424" i="5"/>
  <c r="BL424" i="5" s="1"/>
  <c r="BG177" i="5"/>
  <c r="BL177" i="5" s="1"/>
  <c r="BF391" i="5"/>
  <c r="BK391" i="5" s="1"/>
  <c r="BN390" i="5" s="1"/>
  <c r="BO390" i="5" s="1"/>
  <c r="BG178" i="5"/>
  <c r="BL178" i="5" s="1"/>
  <c r="BG174" i="5"/>
  <c r="BL174" i="5" s="1"/>
  <c r="BF36" i="5"/>
  <c r="BK36" i="5" s="1"/>
  <c r="BN36" i="5" s="1"/>
  <c r="BO36" i="5" s="1"/>
  <c r="BG287" i="5"/>
  <c r="BL287" i="5" s="1"/>
  <c r="BG521" i="5"/>
  <c r="BL521" i="5" s="1"/>
  <c r="BF345" i="5"/>
  <c r="BK345" i="5" s="1"/>
  <c r="BN345" i="5" s="1"/>
  <c r="BO345" i="5" s="1"/>
  <c r="BG453" i="5"/>
  <c r="BL453" i="5" s="1"/>
  <c r="BG365" i="5"/>
  <c r="BL365" i="5" s="1"/>
  <c r="BG414" i="5"/>
  <c r="BL414" i="5" s="1"/>
  <c r="BG234" i="5"/>
  <c r="BL234" i="5" s="1"/>
  <c r="BG75" i="5"/>
  <c r="BL75" i="5" s="1"/>
  <c r="AQ42" i="5"/>
  <c r="BG193" i="5"/>
  <c r="BL193" i="5" s="1"/>
  <c r="BF264" i="5"/>
  <c r="BK264" i="5" s="1"/>
  <c r="BF266" i="5"/>
  <c r="BK266" i="5" s="1"/>
  <c r="BN266" i="5" s="1"/>
  <c r="BO266" i="5" s="1"/>
  <c r="BF353" i="5"/>
  <c r="BK353" i="5" s="1"/>
  <c r="BN353" i="5" s="1"/>
  <c r="BO353" i="5" s="1"/>
  <c r="BF181" i="5"/>
  <c r="BK181" i="5" s="1"/>
  <c r="BN180" i="5" s="1"/>
  <c r="BO180" i="5" s="1"/>
  <c r="BG77" i="5"/>
  <c r="BL77" i="5" s="1"/>
  <c r="BG184" i="5"/>
  <c r="BL184" i="5" s="1"/>
  <c r="BF382" i="5"/>
  <c r="BK382" i="5" s="1"/>
  <c r="BG119" i="5"/>
  <c r="BL119" i="5" s="1"/>
  <c r="BG329" i="5"/>
  <c r="BL329" i="5" s="1"/>
  <c r="BG91" i="5"/>
  <c r="BL91" i="5" s="1"/>
  <c r="BG362" i="5"/>
  <c r="BL362" i="5" s="1"/>
  <c r="BN533" i="5"/>
  <c r="BO533" i="5" s="1"/>
  <c r="BF52" i="5"/>
  <c r="BK52" i="5" s="1"/>
  <c r="BN51" i="5" s="1"/>
  <c r="BO51" i="5" s="1"/>
  <c r="BG162" i="5"/>
  <c r="BL162" i="5" s="1"/>
  <c r="BF145" i="5"/>
  <c r="BK145" i="5" s="1"/>
  <c r="BN145" i="5" s="1"/>
  <c r="BO145" i="5" s="1"/>
  <c r="BF27" i="5"/>
  <c r="BK27" i="5" s="1"/>
  <c r="BN26" i="5" s="1"/>
  <c r="BO26" i="5" s="1"/>
  <c r="BF376" i="5"/>
  <c r="BK376" i="5" s="1"/>
  <c r="BN375" i="5" s="1"/>
  <c r="BO375" i="5" s="1"/>
  <c r="BF213" i="5"/>
  <c r="BK213" i="5" s="1"/>
  <c r="BN213" i="5" s="1"/>
  <c r="BO213" i="5" s="1"/>
  <c r="BG487" i="5"/>
  <c r="BL487" i="5" s="1"/>
  <c r="AP336" i="5"/>
  <c r="BH230" i="5"/>
  <c r="BJ230" i="5" s="1"/>
  <c r="AP307" i="5"/>
  <c r="BF510" i="5"/>
  <c r="BK510" i="5" s="1"/>
  <c r="BF321" i="5"/>
  <c r="BK321" i="5" s="1"/>
  <c r="BN320" i="5" s="1"/>
  <c r="BO320" i="5" s="1"/>
  <c r="BN219" i="5"/>
  <c r="BO219" i="5" s="1"/>
  <c r="BG98" i="5"/>
  <c r="BL98" i="5" s="1"/>
  <c r="BF263" i="5"/>
  <c r="BK263" i="5" s="1"/>
  <c r="BN262" i="5" s="1"/>
  <c r="BO262" i="5" s="1"/>
  <c r="BG536" i="5"/>
  <c r="BL536" i="5" s="1"/>
  <c r="BG81" i="5"/>
  <c r="BL81" i="5" s="1"/>
  <c r="BG538" i="5"/>
  <c r="BL538" i="5" s="1"/>
  <c r="BF310" i="5"/>
  <c r="BK310" i="5" s="1"/>
  <c r="BN310" i="5" s="1"/>
  <c r="BO310" i="5" s="1"/>
  <c r="BF498" i="5"/>
  <c r="BK498" i="5" s="1"/>
  <c r="BN110" i="5"/>
  <c r="BO110" i="5" s="1"/>
  <c r="BF352" i="5"/>
  <c r="BK352" i="5" s="1"/>
  <c r="BN351" i="5" s="1"/>
  <c r="BO351" i="5" s="1"/>
  <c r="BH182" i="5"/>
  <c r="BI182" i="5" s="1"/>
  <c r="BF475" i="5"/>
  <c r="BK475" i="5" s="1"/>
  <c r="BN475" i="5" s="1"/>
  <c r="BO475" i="5" s="1"/>
  <c r="BG493" i="5"/>
  <c r="BL493" i="5" s="1"/>
  <c r="BH545" i="5"/>
  <c r="BI545" i="5" s="1"/>
  <c r="BF127" i="5"/>
  <c r="BK127" i="5" s="1"/>
  <c r="AQ545" i="5"/>
  <c r="BF136" i="5"/>
  <c r="BK136" i="5" s="1"/>
  <c r="AP499" i="5"/>
  <c r="BG314" i="5"/>
  <c r="BL314" i="5" s="1"/>
  <c r="AQ289" i="5"/>
  <c r="BN476" i="5"/>
  <c r="BO476" i="5" s="1"/>
  <c r="BN249" i="5"/>
  <c r="BO249" i="5" s="1"/>
  <c r="AQ83" i="5"/>
  <c r="BF546" i="5"/>
  <c r="BK546" i="5" s="1"/>
  <c r="BN546" i="5" s="1"/>
  <c r="BO546" i="5" s="1"/>
  <c r="BG268" i="5"/>
  <c r="BL268" i="5" s="1"/>
  <c r="BF202" i="5"/>
  <c r="BK202" i="5" s="1"/>
  <c r="BN202" i="5" s="1"/>
  <c r="BO202" i="5" s="1"/>
  <c r="BN465" i="5"/>
  <c r="BO465" i="5" s="1"/>
  <c r="BH61" i="5"/>
  <c r="BI61" i="5" s="1"/>
  <c r="BF76" i="5"/>
  <c r="BK76" i="5" s="1"/>
  <c r="BN75" i="5" s="1"/>
  <c r="BO75" i="5" s="1"/>
  <c r="BF20" i="5"/>
  <c r="BK20" i="5" s="1"/>
  <c r="BH354" i="5"/>
  <c r="BI354" i="5" s="1"/>
  <c r="AP101" i="5"/>
  <c r="BH127" i="5"/>
  <c r="BI127" i="5" s="1"/>
  <c r="AP61" i="5"/>
  <c r="AQ402" i="5"/>
  <c r="BH402" i="5"/>
  <c r="BJ402" i="5" s="1"/>
  <c r="BN176" i="5"/>
  <c r="BO176" i="5" s="1"/>
  <c r="BH336" i="5"/>
  <c r="BJ336" i="5" s="1"/>
  <c r="AQ307" i="5"/>
  <c r="AP250" i="5"/>
  <c r="BH115" i="5"/>
  <c r="BJ115" i="5" s="1"/>
  <c r="AQ115" i="5"/>
  <c r="AQ74" i="5"/>
  <c r="BH74" i="5"/>
  <c r="BI74" i="5" s="1"/>
  <c r="BN284" i="5"/>
  <c r="BO284" i="5" s="1"/>
  <c r="BN366" i="5"/>
  <c r="BO366" i="5" s="1"/>
  <c r="BN280" i="5"/>
  <c r="BO280" i="5" s="1"/>
  <c r="BN456" i="5"/>
  <c r="BO456" i="5" s="1"/>
  <c r="BF25" i="5"/>
  <c r="BK25" i="5" s="1"/>
  <c r="BN539" i="5"/>
  <c r="BO539" i="5" s="1"/>
  <c r="BN555" i="5"/>
  <c r="BO555" i="5" s="1"/>
  <c r="BN307" i="5"/>
  <c r="BO307" i="5" s="1"/>
  <c r="BN50" i="5"/>
  <c r="BO50" i="5" s="1"/>
  <c r="BN45" i="5"/>
  <c r="BO45" i="5" s="1"/>
  <c r="BG277" i="5"/>
  <c r="BL277" i="5" s="1"/>
  <c r="AP349" i="5"/>
  <c r="AQ349" i="5"/>
  <c r="BN325" i="5"/>
  <c r="BO325" i="5" s="1"/>
  <c r="BN528" i="5"/>
  <c r="BO528" i="5" s="1"/>
  <c r="BN119" i="5"/>
  <c r="BO119" i="5" s="1"/>
  <c r="AQ214" i="5"/>
  <c r="AP214" i="5"/>
  <c r="AQ541" i="5"/>
  <c r="BG326" i="5"/>
  <c r="BL326" i="5" s="1"/>
  <c r="BN417" i="5"/>
  <c r="BO417" i="5" s="1"/>
  <c r="BH164" i="5"/>
  <c r="BJ164" i="5" s="1"/>
  <c r="BH149" i="5"/>
  <c r="BI149" i="5" s="1"/>
  <c r="AQ164" i="5"/>
  <c r="AP167" i="5"/>
  <c r="AP541" i="5"/>
  <c r="AP149" i="5"/>
  <c r="BH167" i="5"/>
  <c r="BI167" i="5" s="1"/>
  <c r="AP369" i="5"/>
  <c r="AQ262" i="5"/>
  <c r="AQ148" i="5"/>
  <c r="AQ369" i="5"/>
  <c r="BH289" i="5"/>
  <c r="BJ289" i="5" s="1"/>
  <c r="BH297" i="5"/>
  <c r="BJ297" i="5" s="1"/>
  <c r="AP297" i="5"/>
  <c r="AP504" i="5"/>
  <c r="AQ499" i="5"/>
  <c r="BH351" i="5"/>
  <c r="BI351" i="5" s="1"/>
  <c r="AP484" i="5"/>
  <c r="AP337" i="5"/>
  <c r="AQ351" i="5"/>
  <c r="BN247" i="5"/>
  <c r="BO247" i="5" s="1"/>
  <c r="BN473" i="5"/>
  <c r="BO473" i="5" s="1"/>
  <c r="AQ537" i="5"/>
  <c r="BN83" i="5"/>
  <c r="BO83" i="5" s="1"/>
  <c r="BN184" i="5"/>
  <c r="BN236" i="5"/>
  <c r="BO236" i="5" s="1"/>
  <c r="BN37" i="5"/>
  <c r="BO37" i="5" s="1"/>
  <c r="BN31" i="5"/>
  <c r="BO31" i="5" s="1"/>
  <c r="BN146" i="5"/>
  <c r="BN190" i="5"/>
  <c r="BO190" i="5" s="1"/>
  <c r="AP395" i="5"/>
  <c r="AQ443" i="5"/>
  <c r="AQ395" i="5"/>
  <c r="AQ208" i="5"/>
  <c r="AP537" i="5"/>
  <c r="AP208" i="5"/>
  <c r="AQ457" i="5"/>
  <c r="BH557" i="5"/>
  <c r="BJ557" i="5" s="1"/>
  <c r="AP428" i="5"/>
  <c r="AQ250" i="5"/>
  <c r="BN354" i="5"/>
  <c r="BO354" i="5" s="1"/>
  <c r="BH428" i="5"/>
  <c r="BI428" i="5" s="1"/>
  <c r="BN378" i="5"/>
  <c r="BO378" i="5" s="1"/>
  <c r="BN346" i="5"/>
  <c r="BO346" i="5" s="1"/>
  <c r="BN246" i="5"/>
  <c r="BO246" i="5" s="1"/>
  <c r="BH219" i="5"/>
  <c r="BI219" i="5" s="1"/>
  <c r="BN129" i="5"/>
  <c r="BO129" i="5" s="1"/>
  <c r="BN252" i="5"/>
  <c r="BO252" i="5" s="1"/>
  <c r="AP182" i="5"/>
  <c r="AP219" i="5"/>
  <c r="BN287" i="5"/>
  <c r="BO287" i="5" s="1"/>
  <c r="BN244" i="5"/>
  <c r="BO244" i="5" s="1"/>
  <c r="BN30" i="5"/>
  <c r="BO30" i="5" s="1"/>
  <c r="BN522" i="5"/>
  <c r="BO522" i="5" s="1"/>
  <c r="BH337" i="5"/>
  <c r="BI337" i="5" s="1"/>
  <c r="AP127" i="5"/>
  <c r="AP354" i="5"/>
  <c r="AQ101" i="5"/>
  <c r="BH68" i="5"/>
  <c r="BI68" i="5" s="1"/>
  <c r="AP35" i="5"/>
  <c r="BH504" i="5"/>
  <c r="BJ504" i="5" s="1"/>
  <c r="AP59" i="5"/>
  <c r="AQ68" i="5"/>
  <c r="AQ35" i="5"/>
  <c r="BH59" i="5"/>
  <c r="BI59" i="5" s="1"/>
  <c r="AQ484" i="5"/>
  <c r="AP83" i="5"/>
  <c r="BN478" i="5"/>
  <c r="BO478" i="5" s="1"/>
  <c r="BN238" i="5"/>
  <c r="BO238" i="5" s="1"/>
  <c r="BN292" i="5"/>
  <c r="BO292" i="5" s="1"/>
  <c r="BN395" i="5"/>
  <c r="BO395" i="5" s="1"/>
  <c r="BN359" i="5"/>
  <c r="BO359" i="5" s="1"/>
  <c r="BN426" i="5"/>
  <c r="BO426" i="5" s="1"/>
  <c r="BN405" i="5"/>
  <c r="BO405" i="5" s="1"/>
  <c r="BN536" i="5"/>
  <c r="BO536" i="5" s="1"/>
  <c r="BN470" i="5"/>
  <c r="BO470" i="5" s="1"/>
  <c r="BN204" i="5"/>
  <c r="BO204" i="5" s="1"/>
  <c r="BN216" i="5"/>
  <c r="BN343" i="5"/>
  <c r="BO343" i="5" s="1"/>
  <c r="BH494" i="5"/>
  <c r="BJ494" i="5" s="1"/>
  <c r="AC9" i="5"/>
  <c r="AP391" i="5"/>
  <c r="BN60" i="5"/>
  <c r="BO60" i="5" s="1"/>
  <c r="AP363" i="5"/>
  <c r="AP197" i="5"/>
  <c r="BN221" i="5"/>
  <c r="BO221" i="5" s="1"/>
  <c r="BN209" i="5"/>
  <c r="BO209" i="5" s="1"/>
  <c r="BN373" i="5"/>
  <c r="BO373" i="5" s="1"/>
  <c r="AP413" i="5"/>
  <c r="AP230" i="5"/>
  <c r="BN455" i="5"/>
  <c r="BO455" i="5" s="1"/>
  <c r="BN430" i="5"/>
  <c r="BO430" i="5" s="1"/>
  <c r="AQ507" i="5"/>
  <c r="BH535" i="5"/>
  <c r="BJ535" i="5" s="1"/>
  <c r="AQ413" i="5"/>
  <c r="BH396" i="5"/>
  <c r="BJ396" i="5" s="1"/>
  <c r="BH57" i="5"/>
  <c r="BI57" i="5" s="1"/>
  <c r="AP322" i="5"/>
  <c r="AP282" i="5"/>
  <c r="BN274" i="5"/>
  <c r="BO274" i="5" s="1"/>
  <c r="BH507" i="5"/>
  <c r="BJ507" i="5" s="1"/>
  <c r="AQ535" i="5"/>
  <c r="AQ396" i="5"/>
  <c r="AP57" i="5"/>
  <c r="AQ322" i="5"/>
  <c r="AQ557" i="5"/>
  <c r="BN272" i="5"/>
  <c r="BO272" i="5" s="1"/>
  <c r="BN235" i="5"/>
  <c r="BO235" i="5" s="1"/>
  <c r="AP457" i="5"/>
  <c r="BH42" i="5"/>
  <c r="BI42" i="5" s="1"/>
  <c r="BN337" i="5"/>
  <c r="BN448" i="5"/>
  <c r="BO448" i="5" s="1"/>
  <c r="AP443" i="5"/>
  <c r="BH282" i="5"/>
  <c r="BI282" i="5" s="1"/>
  <c r="BN270" i="5"/>
  <c r="BO270" i="5" s="1"/>
  <c r="BN217" i="5"/>
  <c r="BO217" i="5" s="1"/>
  <c r="BN97" i="5"/>
  <c r="BO97" i="5" s="1"/>
  <c r="BN165" i="5"/>
  <c r="BO165" i="5" s="1"/>
  <c r="AP494" i="5"/>
  <c r="AQ197" i="5"/>
  <c r="AQ391" i="5"/>
  <c r="AP124" i="5"/>
  <c r="AQ363" i="5"/>
  <c r="BH124" i="5"/>
  <c r="BI124" i="5" s="1"/>
  <c r="BN521" i="5"/>
  <c r="BO521" i="5" s="1"/>
  <c r="BH321" i="5"/>
  <c r="BJ321" i="5" s="1"/>
  <c r="BN447" i="5"/>
  <c r="BO447" i="5" s="1"/>
  <c r="AQ321" i="5"/>
  <c r="BN32" i="5"/>
  <c r="BO32" i="5" s="1"/>
  <c r="BN362" i="5"/>
  <c r="BO362" i="5" s="1"/>
  <c r="BN200" i="5"/>
  <c r="BO200" i="5" s="1"/>
  <c r="BN161" i="5"/>
  <c r="BO161" i="5" s="1"/>
  <c r="BN185" i="5"/>
  <c r="BO185" i="5" s="1"/>
  <c r="BN319" i="5"/>
  <c r="BO319" i="5" s="1"/>
  <c r="BN490" i="5"/>
  <c r="BO490" i="5" s="1"/>
  <c r="BN137" i="5"/>
  <c r="BO137" i="5" s="1"/>
  <c r="BN531" i="5"/>
  <c r="BO531" i="5" s="1"/>
  <c r="BN328" i="5"/>
  <c r="BO328" i="5" s="1"/>
  <c r="BN401" i="5"/>
  <c r="BO401" i="5" s="1"/>
  <c r="BN526" i="5"/>
  <c r="BO526" i="5" s="1"/>
  <c r="BN558" i="5"/>
  <c r="BO558" i="5" s="1"/>
  <c r="BN330" i="5"/>
  <c r="BO330" i="5" s="1"/>
  <c r="BN513" i="5"/>
  <c r="BO513" i="5" s="1"/>
  <c r="BN547" i="5"/>
  <c r="BO547" i="5" s="1"/>
  <c r="BN480" i="5"/>
  <c r="BO480" i="5" s="1"/>
  <c r="BN443" i="5"/>
  <c r="BO443" i="5" s="1"/>
  <c r="BN333" i="5"/>
  <c r="BO333" i="5" s="1"/>
  <c r="BN492" i="5"/>
  <c r="BO492" i="5" s="1"/>
  <c r="BN360" i="5"/>
  <c r="BO360" i="5" s="1"/>
  <c r="BN256" i="5"/>
  <c r="BO256" i="5" s="1"/>
  <c r="BN258" i="5"/>
  <c r="BO258" i="5" s="1"/>
  <c r="BN532" i="5"/>
  <c r="BO532" i="5" s="1"/>
  <c r="BH131" i="5"/>
  <c r="BI131" i="5" s="1"/>
  <c r="BN188" i="5"/>
  <c r="BO188" i="5" s="1"/>
  <c r="BN329" i="5"/>
  <c r="BO329" i="5" s="1"/>
  <c r="BN420" i="5"/>
  <c r="BO420" i="5" s="1"/>
  <c r="BN40" i="5"/>
  <c r="BO40" i="5" s="1"/>
  <c r="BN463" i="5"/>
  <c r="BO463" i="5" s="1"/>
  <c r="BN109" i="5"/>
  <c r="BO109" i="5" s="1"/>
  <c r="BN434" i="5"/>
  <c r="BO434" i="5" s="1"/>
  <c r="BN479" i="5"/>
  <c r="BO479" i="5" s="1"/>
  <c r="BN442" i="5"/>
  <c r="BO442" i="5" s="1"/>
  <c r="BN255" i="5"/>
  <c r="BO255" i="5" s="1"/>
  <c r="BN199" i="5"/>
  <c r="BO199" i="5" s="1"/>
  <c r="BN311" i="5"/>
  <c r="BO311" i="5" s="1"/>
  <c r="BN538" i="5"/>
  <c r="BO538" i="5" s="1"/>
  <c r="AP131" i="5"/>
  <c r="BN203" i="5"/>
  <c r="BO203" i="5" s="1"/>
  <c r="BN471" i="5"/>
  <c r="BO471" i="5" s="1"/>
  <c r="BN133" i="5"/>
  <c r="BO133" i="5" s="1"/>
  <c r="BN523" i="5"/>
  <c r="BO523" i="5" s="1"/>
  <c r="BN393" i="5"/>
  <c r="BO393" i="5" s="1"/>
  <c r="BN404" i="5"/>
  <c r="BO404" i="5" s="1"/>
  <c r="BN171" i="5"/>
  <c r="BO171" i="5" s="1"/>
  <c r="BH90" i="5"/>
  <c r="BI90" i="5" s="1"/>
  <c r="AP555" i="5"/>
  <c r="BN58" i="5"/>
  <c r="BO58" i="5" s="1"/>
  <c r="BN73" i="5"/>
  <c r="BO73" i="5" s="1"/>
  <c r="BN183" i="5"/>
  <c r="BO183" i="5" s="1"/>
  <c r="AQ477" i="5"/>
  <c r="AP90" i="5"/>
  <c r="BH555" i="5"/>
  <c r="BJ555" i="5" s="1"/>
  <c r="BN365" i="5"/>
  <c r="BO365" i="5" s="1"/>
  <c r="BN208" i="5"/>
  <c r="BH477" i="5"/>
  <c r="BI477" i="5" s="1"/>
  <c r="AQ116" i="5"/>
  <c r="BH24" i="5"/>
  <c r="BJ24" i="5" s="1"/>
  <c r="BN305" i="5"/>
  <c r="BO305" i="5" s="1"/>
  <c r="BN406" i="5"/>
  <c r="BO406" i="5" s="1"/>
  <c r="BN511" i="5"/>
  <c r="BO511" i="5" s="1"/>
  <c r="AP116" i="5"/>
  <c r="AP24" i="5"/>
  <c r="BN153" i="5"/>
  <c r="BO153" i="5" s="1"/>
  <c r="BN155" i="5"/>
  <c r="BO155" i="5" s="1"/>
  <c r="BN431" i="5"/>
  <c r="BO431" i="5" s="1"/>
  <c r="BN303" i="5"/>
  <c r="BO303" i="5" s="1"/>
  <c r="BN424" i="5"/>
  <c r="BO424" i="5" s="1"/>
  <c r="BN364" i="5"/>
  <c r="BO364" i="5" s="1"/>
  <c r="BN148" i="5"/>
  <c r="BO148" i="5" s="1"/>
  <c r="BN435" i="5"/>
  <c r="BO435" i="5" s="1"/>
  <c r="BN444" i="5"/>
  <c r="BO444" i="5" s="1"/>
  <c r="BN205" i="5"/>
  <c r="BN496" i="5"/>
  <c r="BO496" i="5" s="1"/>
  <c r="BN308" i="5"/>
  <c r="BO308" i="5" s="1"/>
  <c r="BN468" i="5"/>
  <c r="BO468" i="5" s="1"/>
  <c r="BN418" i="5"/>
  <c r="BO418" i="5" s="1"/>
  <c r="BN445" i="5"/>
  <c r="BO445" i="5" s="1"/>
  <c r="BN295" i="5"/>
  <c r="BO295" i="5" s="1"/>
  <c r="BN248" i="5"/>
  <c r="BN90" i="5"/>
  <c r="BO90" i="5" s="1"/>
  <c r="BN374" i="5"/>
  <c r="BO374" i="5" s="1"/>
  <c r="BN551" i="5"/>
  <c r="BO551" i="5" s="1"/>
  <c r="BN206" i="5"/>
  <c r="BO206" i="5" s="1"/>
  <c r="BN269" i="5"/>
  <c r="BO269" i="5" s="1"/>
  <c r="BN486" i="5"/>
  <c r="BO486" i="5" s="1"/>
  <c r="BN300" i="5"/>
  <c r="BO300" i="5" s="1"/>
  <c r="BN449" i="5"/>
  <c r="BO449" i="5" s="1"/>
  <c r="BN59" i="5"/>
  <c r="BO59" i="5" s="1"/>
  <c r="BN120" i="5"/>
  <c r="BO120" i="5" s="1"/>
  <c r="BN149" i="5"/>
  <c r="BO149" i="5" s="1"/>
  <c r="BN164" i="5"/>
  <c r="BO164" i="5" s="1"/>
  <c r="BN156" i="5"/>
  <c r="BO156" i="5" s="1"/>
  <c r="BN230" i="5"/>
  <c r="BO230" i="5" s="1"/>
  <c r="BN118" i="5"/>
  <c r="BO118" i="5" s="1"/>
  <c r="BN541" i="5"/>
  <c r="BO541" i="5" s="1"/>
  <c r="BN446" i="5"/>
  <c r="BO446" i="5" s="1"/>
  <c r="BN416" i="5"/>
  <c r="BO416" i="5" s="1"/>
  <c r="BN520" i="5"/>
  <c r="BO520" i="5" s="1"/>
  <c r="BN162" i="5"/>
  <c r="BO162" i="5" s="1"/>
  <c r="BN347" i="5"/>
  <c r="BO347" i="5" s="1"/>
  <c r="BN312" i="5"/>
  <c r="BO312" i="5" s="1"/>
  <c r="BN501" i="5"/>
  <c r="BO501" i="5" s="1"/>
  <c r="BN222" i="5"/>
  <c r="BN237" i="5"/>
  <c r="BO237" i="5" s="1"/>
  <c r="BN394" i="5"/>
  <c r="BO394" i="5" s="1"/>
  <c r="BN396" i="5"/>
  <c r="BO396" i="5" s="1"/>
  <c r="BN363" i="5"/>
  <c r="BO363" i="5" s="1"/>
  <c r="BN425" i="5"/>
  <c r="BO425" i="5" s="1"/>
  <c r="BN469" i="5"/>
  <c r="BO469" i="5" s="1"/>
  <c r="BN291" i="5"/>
  <c r="BO291" i="5" s="1"/>
  <c r="BN487" i="5"/>
  <c r="BO487" i="5" s="1"/>
  <c r="BN89" i="5"/>
  <c r="BO89" i="5" s="1"/>
  <c r="BN338" i="5"/>
  <c r="BO338" i="5" s="1"/>
  <c r="BN326" i="5"/>
  <c r="BO326" i="5" s="1"/>
  <c r="BN485" i="5"/>
  <c r="BO485" i="5" s="1"/>
  <c r="BN285" i="5"/>
  <c r="BO285" i="5" s="1"/>
  <c r="BN245" i="5"/>
  <c r="BO245" i="5" s="1"/>
  <c r="BN191" i="5"/>
  <c r="BO191" i="5" s="1"/>
  <c r="BN111" i="5"/>
  <c r="BO111" i="5" s="1"/>
  <c r="BN169" i="5"/>
  <c r="BO169" i="5" s="1"/>
  <c r="BN472" i="5"/>
  <c r="BO472" i="5" s="1"/>
  <c r="BN313" i="5"/>
  <c r="BO313" i="5" s="1"/>
  <c r="BN491" i="5"/>
  <c r="BO491" i="5" s="1"/>
  <c r="BN62" i="5"/>
  <c r="BO62" i="5" s="1"/>
  <c r="BN243" i="5"/>
  <c r="BN477" i="5"/>
  <c r="BO477" i="5" s="1"/>
  <c r="BN138" i="5"/>
  <c r="BO138" i="5" s="1"/>
  <c r="BN261" i="5"/>
  <c r="BO261" i="5" s="1"/>
  <c r="BN342" i="5"/>
  <c r="BO342" i="5" s="1"/>
  <c r="BN117" i="5"/>
  <c r="BO117" i="5" s="1"/>
  <c r="BN519" i="5"/>
  <c r="BO519" i="5" s="1"/>
  <c r="BN502" i="5"/>
  <c r="BO502" i="5" s="1"/>
  <c r="BN527" i="5"/>
  <c r="BO527" i="5" s="1"/>
  <c r="BN61" i="5"/>
  <c r="BO61" i="5" s="1"/>
  <c r="BN189" i="5"/>
  <c r="BO189" i="5" s="1"/>
  <c r="BN251" i="5"/>
  <c r="BN277" i="5"/>
  <c r="BO277" i="5" s="1"/>
  <c r="BN44" i="5"/>
  <c r="BO44" i="5" s="1"/>
  <c r="BN306" i="5"/>
  <c r="BO306" i="5" s="1"/>
  <c r="BN239" i="5"/>
  <c r="BN267" i="5"/>
  <c r="BO267" i="5" s="1"/>
  <c r="BN33" i="5"/>
  <c r="BO33" i="5" s="1"/>
  <c r="BN147" i="5"/>
  <c r="BO147" i="5" s="1"/>
  <c r="BN500" i="5"/>
  <c r="BO500" i="5" s="1"/>
  <c r="BN369" i="5"/>
  <c r="BO369" i="5" s="1"/>
  <c r="BN154" i="5"/>
  <c r="BO154" i="5" s="1"/>
  <c r="BN400" i="5"/>
  <c r="BO400" i="5" s="1"/>
  <c r="BN413" i="5"/>
  <c r="BO413" i="5" s="1"/>
  <c r="BN166" i="5"/>
  <c r="BO166" i="5" s="1"/>
  <c r="BN218" i="5"/>
  <c r="BN163" i="5"/>
  <c r="BO163" i="5" s="1"/>
  <c r="BN336" i="5"/>
  <c r="BO336" i="5" s="1"/>
  <c r="BN273" i="5"/>
  <c r="BO273" i="5" s="1"/>
  <c r="BN106" i="5"/>
  <c r="BO106" i="5" s="1"/>
  <c r="BN540" i="5"/>
  <c r="BO540" i="5" s="1"/>
  <c r="BN93" i="5"/>
  <c r="BO93" i="5" s="1"/>
  <c r="BN29" i="5"/>
  <c r="BO29" i="5" s="1"/>
  <c r="BN552" i="5"/>
  <c r="BO552" i="5" s="1"/>
  <c r="BN286" i="5"/>
  <c r="BO286" i="5" s="1"/>
  <c r="BN192" i="5"/>
  <c r="BO192" i="5" s="1"/>
  <c r="AP148" i="5"/>
  <c r="BN421" i="5"/>
  <c r="BO421" i="5" s="1"/>
  <c r="BN174" i="5"/>
  <c r="BN341" i="5"/>
  <c r="BO341" i="5" s="1"/>
  <c r="BN460" i="5"/>
  <c r="BO460" i="5" s="1"/>
  <c r="BN77" i="5"/>
  <c r="BO77" i="5" s="1"/>
  <c r="BN142" i="5"/>
  <c r="BO142" i="5" s="1"/>
  <c r="BN327" i="5"/>
  <c r="BO327" i="5" s="1"/>
  <c r="BN361" i="5"/>
  <c r="BO361" i="5" s="1"/>
  <c r="BN512" i="5"/>
  <c r="BO512" i="5" s="1"/>
  <c r="BN250" i="5"/>
  <c r="BO250" i="5" s="1"/>
  <c r="BN84" i="5"/>
  <c r="BO84" i="5" s="1"/>
  <c r="BN407" i="5"/>
  <c r="BO407" i="5" s="1"/>
  <c r="BN234" i="5"/>
  <c r="BO234" i="5" s="1"/>
  <c r="BN271" i="5"/>
  <c r="BN384" i="5"/>
  <c r="BO384" i="5" s="1"/>
  <c r="BN268" i="5"/>
  <c r="BO268" i="5" s="1"/>
  <c r="BN281" i="5"/>
  <c r="BO281" i="5" s="1"/>
  <c r="BN452" i="5"/>
  <c r="BO452" i="5" s="1"/>
  <c r="BN322" i="5"/>
  <c r="BO322" i="5" s="1"/>
  <c r="BN130" i="5"/>
  <c r="BO130" i="5" s="1"/>
  <c r="BN53" i="5"/>
  <c r="BO53" i="5" s="1"/>
  <c r="BN54" i="5"/>
  <c r="BO54" i="5" s="1"/>
  <c r="BN288" i="5"/>
  <c r="BO288" i="5" s="1"/>
  <c r="BN175" i="5"/>
  <c r="BO175" i="5" s="1"/>
  <c r="BN78" i="5"/>
  <c r="BO78" i="5" s="1"/>
  <c r="BN399" i="5"/>
  <c r="BO399" i="5" s="1"/>
  <c r="BN419" i="5"/>
  <c r="BO419" i="5" s="1"/>
  <c r="BN159" i="5"/>
  <c r="BO159" i="5" s="1"/>
  <c r="BN257" i="5"/>
  <c r="BO257" i="5" s="1"/>
  <c r="BN74" i="5"/>
  <c r="BO74" i="5" s="1"/>
  <c r="BN160" i="5"/>
  <c r="BN177" i="5"/>
  <c r="BO177" i="5" s="1"/>
  <c r="BN544" i="5"/>
  <c r="BO544" i="5" s="1"/>
  <c r="BN537" i="5"/>
  <c r="BO537" i="5" s="1"/>
  <c r="BN207" i="5"/>
  <c r="BO207" i="5" s="1"/>
  <c r="BN385" i="5"/>
  <c r="BO385" i="5" s="1"/>
  <c r="BN464" i="5"/>
  <c r="BO464" i="5" s="1"/>
  <c r="BN220" i="5"/>
  <c r="BO220" i="5" s="1"/>
  <c r="BN143" i="5"/>
  <c r="BO143" i="5" s="1"/>
  <c r="BN304" i="5"/>
  <c r="BO304" i="5" s="1"/>
  <c r="BN170" i="5"/>
  <c r="BO170" i="5" s="1"/>
  <c r="BN493" i="5"/>
  <c r="BO493" i="5" s="1"/>
  <c r="BH262" i="5"/>
  <c r="BJ262" i="5" s="1"/>
  <c r="BH313" i="5"/>
  <c r="AP313" i="5"/>
  <c r="AQ313" i="5"/>
  <c r="AP343" i="5"/>
  <c r="BH343" i="5"/>
  <c r="AQ343" i="5"/>
  <c r="AP492" i="5"/>
  <c r="AQ492" i="5"/>
  <c r="BH492" i="5"/>
  <c r="AQ399" i="5"/>
  <c r="BH399" i="5"/>
  <c r="AP399" i="5"/>
  <c r="AQ176" i="5"/>
  <c r="AP176" i="5"/>
  <c r="BH176" i="5"/>
  <c r="BH47" i="5"/>
  <c r="AQ47" i="5"/>
  <c r="AP47" i="5"/>
  <c r="AP546" i="5"/>
  <c r="BH546" i="5"/>
  <c r="AQ546" i="5"/>
  <c r="BH392" i="5"/>
  <c r="AP392" i="5"/>
  <c r="AQ392" i="5"/>
  <c r="AQ11" i="5"/>
  <c r="BH11" i="5"/>
  <c r="AP11" i="5"/>
  <c r="BH388" i="5"/>
  <c r="AP388" i="5"/>
  <c r="AQ388" i="5"/>
  <c r="BH533" i="5"/>
  <c r="AQ533" i="5"/>
  <c r="AP533" i="5"/>
  <c r="AQ485" i="5"/>
  <c r="BH485" i="5"/>
  <c r="AP485" i="5"/>
  <c r="AQ7" i="5"/>
  <c r="AP7" i="5"/>
  <c r="AQ86" i="5"/>
  <c r="BH86" i="5"/>
  <c r="AP86" i="5"/>
  <c r="BH223" i="5"/>
  <c r="AP223" i="5"/>
  <c r="AQ223" i="5"/>
  <c r="AP193" i="5"/>
  <c r="BH193" i="5"/>
  <c r="AQ193" i="5"/>
  <c r="AP133" i="5"/>
  <c r="AQ133" i="5"/>
  <c r="BH133" i="5"/>
  <c r="AQ524" i="5"/>
  <c r="BH524" i="5"/>
  <c r="AP524" i="5"/>
  <c r="BH295" i="5"/>
  <c r="AQ295" i="5"/>
  <c r="AP295" i="5"/>
  <c r="BH261" i="5"/>
  <c r="AQ261" i="5"/>
  <c r="AP261" i="5"/>
  <c r="BH195" i="5"/>
  <c r="AP195" i="5"/>
  <c r="AQ195" i="5"/>
  <c r="AQ154" i="5"/>
  <c r="AP154" i="5"/>
  <c r="BH154" i="5"/>
  <c r="AQ386" i="5"/>
  <c r="BH386" i="5"/>
  <c r="AP386" i="5"/>
  <c r="AQ111" i="5"/>
  <c r="BH111" i="5"/>
  <c r="AP111" i="5"/>
  <c r="BH239" i="5"/>
  <c r="AP239" i="5"/>
  <c r="AQ239" i="5"/>
  <c r="AP43" i="5"/>
  <c r="BH43" i="5"/>
  <c r="AQ43" i="5"/>
  <c r="BH487" i="5"/>
  <c r="AP487" i="5"/>
  <c r="AQ487" i="5"/>
  <c r="AQ254" i="5"/>
  <c r="AP254" i="5"/>
  <c r="BH254" i="5"/>
  <c r="AQ157" i="5"/>
  <c r="BH157" i="5"/>
  <c r="AP157" i="5"/>
  <c r="AQ374" i="5"/>
  <c r="BH374" i="5"/>
  <c r="AP374" i="5"/>
  <c r="AP152" i="5"/>
  <c r="BH152" i="5"/>
  <c r="AQ152" i="5"/>
  <c r="BH384" i="5"/>
  <c r="AP384" i="5"/>
  <c r="AQ384" i="5"/>
  <c r="BH373" i="5"/>
  <c r="AQ373" i="5"/>
  <c r="AP373" i="5"/>
  <c r="AP344" i="5"/>
  <c r="AQ344" i="5"/>
  <c r="BH344" i="5"/>
  <c r="AQ64" i="5"/>
  <c r="BH64" i="5"/>
  <c r="AP64" i="5"/>
  <c r="BH389" i="5"/>
  <c r="AP389" i="5"/>
  <c r="AQ389" i="5"/>
  <c r="AQ323" i="5"/>
  <c r="AP323" i="5"/>
  <c r="BH323" i="5"/>
  <c r="BH145" i="5"/>
  <c r="AP145" i="5"/>
  <c r="AQ145" i="5"/>
  <c r="AQ216" i="5"/>
  <c r="AP216" i="5"/>
  <c r="BH216" i="5"/>
  <c r="BH448" i="5"/>
  <c r="AQ448" i="5"/>
  <c r="AP448" i="5"/>
  <c r="BH437" i="5"/>
  <c r="AQ437" i="5"/>
  <c r="AP437" i="5"/>
  <c r="AP377" i="5"/>
  <c r="BH377" i="5"/>
  <c r="AQ377" i="5"/>
  <c r="BH97" i="5"/>
  <c r="AP97" i="5"/>
  <c r="AQ97" i="5"/>
  <c r="AQ420" i="5"/>
  <c r="AP420" i="5"/>
  <c r="BH420" i="5"/>
  <c r="AP135" i="5"/>
  <c r="BH135" i="5"/>
  <c r="AQ135" i="5"/>
  <c r="AP50" i="5"/>
  <c r="AQ50" i="5"/>
  <c r="BH50" i="5"/>
  <c r="AP231" i="5"/>
  <c r="AQ231" i="5"/>
  <c r="BH231" i="5"/>
  <c r="BH439" i="5"/>
  <c r="AQ439" i="5"/>
  <c r="AP439" i="5"/>
  <c r="AP468" i="5"/>
  <c r="AQ468" i="5"/>
  <c r="BH468" i="5"/>
  <c r="AP408" i="5"/>
  <c r="AQ408" i="5"/>
  <c r="BH408" i="5"/>
  <c r="AQ128" i="5"/>
  <c r="AP128" i="5"/>
  <c r="BH128" i="5"/>
  <c r="AP362" i="5"/>
  <c r="BH362" i="5"/>
  <c r="AQ362" i="5"/>
  <c r="AQ296" i="5"/>
  <c r="AP296" i="5"/>
  <c r="BH296" i="5"/>
  <c r="BH302" i="5"/>
  <c r="AP302" i="5"/>
  <c r="AQ302" i="5"/>
  <c r="BH236" i="5"/>
  <c r="AQ236" i="5"/>
  <c r="AP236" i="5"/>
  <c r="BH22" i="5"/>
  <c r="AP22" i="5"/>
  <c r="AQ22" i="5"/>
  <c r="AQ474" i="5"/>
  <c r="BH474" i="5"/>
  <c r="AP474" i="5"/>
  <c r="BH210" i="5"/>
  <c r="AP210" i="5"/>
  <c r="AQ210" i="5"/>
  <c r="BH456" i="5"/>
  <c r="AQ456" i="5"/>
  <c r="AP456" i="5"/>
  <c r="AQ151" i="5"/>
  <c r="AP151" i="5"/>
  <c r="BH151" i="5"/>
  <c r="AQ465" i="5"/>
  <c r="AP465" i="5"/>
  <c r="BH465" i="5"/>
  <c r="AQ360" i="5"/>
  <c r="AP360" i="5"/>
  <c r="BH360" i="5"/>
  <c r="BH366" i="5"/>
  <c r="AP366" i="5"/>
  <c r="AQ366" i="5"/>
  <c r="BH300" i="5"/>
  <c r="AP300" i="5"/>
  <c r="AQ300" i="5"/>
  <c r="AQ334" i="5"/>
  <c r="BH334" i="5"/>
  <c r="AP334" i="5"/>
  <c r="AQ315" i="5"/>
  <c r="BH315" i="5"/>
  <c r="AP315" i="5"/>
  <c r="AP483" i="5"/>
  <c r="AQ483" i="5"/>
  <c r="BH483" i="5"/>
  <c r="AQ503" i="5"/>
  <c r="BH503" i="5"/>
  <c r="AP503" i="5"/>
  <c r="BH530" i="5"/>
  <c r="AP530" i="5"/>
  <c r="AQ530" i="5"/>
  <c r="BH29" i="5"/>
  <c r="AP29" i="5"/>
  <c r="AQ29" i="5"/>
  <c r="BH444" i="5"/>
  <c r="AP444" i="5"/>
  <c r="AQ444" i="5"/>
  <c r="AP347" i="5"/>
  <c r="AQ347" i="5"/>
  <c r="BH347" i="5"/>
  <c r="AP412" i="5"/>
  <c r="BH412" i="5"/>
  <c r="AQ412" i="5"/>
  <c r="AP37" i="5"/>
  <c r="BH37" i="5"/>
  <c r="AQ37" i="5"/>
  <c r="AP553" i="5"/>
  <c r="BH553" i="5"/>
  <c r="AQ553" i="5"/>
  <c r="BH30" i="5"/>
  <c r="AP30" i="5"/>
  <c r="AQ30" i="5"/>
  <c r="BH229" i="5"/>
  <c r="AQ229" i="5"/>
  <c r="AP229" i="5"/>
  <c r="BI413" i="5"/>
  <c r="BJ413" i="5"/>
  <c r="BJ83" i="5"/>
  <c r="BI83" i="5"/>
  <c r="AQ283" i="5"/>
  <c r="AP283" i="5"/>
  <c r="BH283" i="5"/>
  <c r="BJ101" i="5"/>
  <c r="BI101" i="5"/>
  <c r="AP309" i="5"/>
  <c r="AQ309" i="5"/>
  <c r="BH309" i="5"/>
  <c r="BJ250" i="5"/>
  <c r="BI250" i="5"/>
  <c r="AP318" i="5"/>
  <c r="AQ318" i="5"/>
  <c r="BH318" i="5"/>
  <c r="AQ353" i="5"/>
  <c r="AP353" i="5"/>
  <c r="BH353" i="5"/>
  <c r="AP244" i="5"/>
  <c r="BH244" i="5"/>
  <c r="AQ244" i="5"/>
  <c r="AQ551" i="5"/>
  <c r="AP551" i="5"/>
  <c r="BH551" i="5"/>
  <c r="AP352" i="5"/>
  <c r="AQ352" i="5"/>
  <c r="BH352" i="5"/>
  <c r="AQ330" i="5"/>
  <c r="AP330" i="5"/>
  <c r="BH330" i="5"/>
  <c r="AQ10" i="5"/>
  <c r="AP10" i="5"/>
  <c r="BH10" i="5"/>
  <c r="AP163" i="5"/>
  <c r="AQ163" i="5"/>
  <c r="BH163" i="5"/>
  <c r="BH125" i="5"/>
  <c r="AP125" i="5"/>
  <c r="AQ125" i="5"/>
  <c r="BH480" i="5"/>
  <c r="AP480" i="5"/>
  <c r="AQ480" i="5"/>
  <c r="AP200" i="5"/>
  <c r="BH200" i="5"/>
  <c r="AQ200" i="5"/>
  <c r="AP517" i="5"/>
  <c r="AQ517" i="5"/>
  <c r="BH517" i="5"/>
  <c r="AP559" i="5"/>
  <c r="AQ559" i="5"/>
  <c r="BH559" i="5"/>
  <c r="AP467" i="5"/>
  <c r="AQ467" i="5"/>
  <c r="BH467" i="5"/>
  <c r="AQ441" i="5"/>
  <c r="BH441" i="5"/>
  <c r="AP441" i="5"/>
  <c r="AP54" i="5"/>
  <c r="AQ54" i="5"/>
  <c r="BH54" i="5"/>
  <c r="AP538" i="5"/>
  <c r="BH538" i="5"/>
  <c r="AQ538" i="5"/>
  <c r="AQ218" i="5"/>
  <c r="AP218" i="5"/>
  <c r="BH218" i="5"/>
  <c r="AP407" i="5"/>
  <c r="AQ407" i="5"/>
  <c r="BH407" i="5"/>
  <c r="BH332" i="5"/>
  <c r="AP332" i="5"/>
  <c r="AQ332" i="5"/>
  <c r="AQ305" i="5"/>
  <c r="AP305" i="5"/>
  <c r="BH305" i="5"/>
  <c r="AP49" i="5"/>
  <c r="BH49" i="5"/>
  <c r="AQ49" i="5"/>
  <c r="BH382" i="5"/>
  <c r="AQ382" i="5"/>
  <c r="AP382" i="5"/>
  <c r="BH285" i="5"/>
  <c r="AQ285" i="5"/>
  <c r="AP285" i="5"/>
  <c r="AP188" i="5"/>
  <c r="AQ188" i="5"/>
  <c r="BH188" i="5"/>
  <c r="AQ466" i="5"/>
  <c r="BH466" i="5"/>
  <c r="AP466" i="5"/>
  <c r="AQ99" i="5"/>
  <c r="BH99" i="5"/>
  <c r="AP99" i="5"/>
  <c r="AQ72" i="5"/>
  <c r="BH72" i="5"/>
  <c r="AP72" i="5"/>
  <c r="AP92" i="5"/>
  <c r="AQ92" i="5"/>
  <c r="BH92" i="5"/>
  <c r="AQ291" i="5"/>
  <c r="AP291" i="5"/>
  <c r="BH291" i="5"/>
  <c r="AP277" i="5"/>
  <c r="AQ277" i="5"/>
  <c r="BH277" i="5"/>
  <c r="BH211" i="5"/>
  <c r="AQ211" i="5"/>
  <c r="AP211" i="5"/>
  <c r="AP137" i="5"/>
  <c r="BH137" i="5"/>
  <c r="AQ137" i="5"/>
  <c r="BH527" i="5"/>
  <c r="AP527" i="5"/>
  <c r="AQ527" i="5"/>
  <c r="BH464" i="5"/>
  <c r="AP464" i="5"/>
  <c r="AQ464" i="5"/>
  <c r="AP89" i="5"/>
  <c r="BH89" i="5"/>
  <c r="AQ89" i="5"/>
  <c r="AP78" i="5"/>
  <c r="AQ78" i="5"/>
  <c r="BH78" i="5"/>
  <c r="AP113" i="5"/>
  <c r="BH113" i="5"/>
  <c r="AQ113" i="5"/>
  <c r="AQ312" i="5"/>
  <c r="AP312" i="5"/>
  <c r="BH312" i="5"/>
  <c r="AQ31" i="5"/>
  <c r="AP31" i="5"/>
  <c r="BH31" i="5"/>
  <c r="AQ126" i="5"/>
  <c r="BH126" i="5"/>
  <c r="AP126" i="5"/>
  <c r="AP438" i="5"/>
  <c r="AQ438" i="5"/>
  <c r="BH438" i="5"/>
  <c r="AQ528" i="5"/>
  <c r="BH528" i="5"/>
  <c r="AP528" i="5"/>
  <c r="BH153" i="5"/>
  <c r="AQ153" i="5"/>
  <c r="AP153" i="5"/>
  <c r="AQ142" i="5"/>
  <c r="BH142" i="5"/>
  <c r="AP142" i="5"/>
  <c r="BH146" i="5"/>
  <c r="AP146" i="5"/>
  <c r="AQ146" i="5"/>
  <c r="AP345" i="5"/>
  <c r="AQ345" i="5"/>
  <c r="BH345" i="5"/>
  <c r="BH87" i="5"/>
  <c r="AQ87" i="5"/>
  <c r="AP87" i="5"/>
  <c r="AQ191" i="5"/>
  <c r="AP191" i="5"/>
  <c r="BH191" i="5"/>
  <c r="AQ469" i="5"/>
  <c r="BH469" i="5"/>
  <c r="AP469" i="5"/>
  <c r="AP8" i="5"/>
  <c r="BH8" i="5"/>
  <c r="AQ8" i="5"/>
  <c r="AP184" i="5"/>
  <c r="AQ184" i="5"/>
  <c r="BH184" i="5"/>
  <c r="AP173" i="5"/>
  <c r="AQ173" i="5"/>
  <c r="BH173" i="5"/>
  <c r="AQ177" i="5"/>
  <c r="AP177" i="5"/>
  <c r="BH177" i="5"/>
  <c r="AP376" i="5"/>
  <c r="BH376" i="5"/>
  <c r="AQ376" i="5"/>
  <c r="BH139" i="5"/>
  <c r="AQ139" i="5"/>
  <c r="AP139" i="5"/>
  <c r="AQ65" i="5"/>
  <c r="AP65" i="5"/>
  <c r="BH65" i="5"/>
  <c r="AP455" i="5"/>
  <c r="BH455" i="5"/>
  <c r="AQ455" i="5"/>
  <c r="AQ548" i="5"/>
  <c r="BH548" i="5"/>
  <c r="AP548" i="5"/>
  <c r="AQ270" i="5"/>
  <c r="AP270" i="5"/>
  <c r="BH270" i="5"/>
  <c r="AP251" i="5"/>
  <c r="BH251" i="5"/>
  <c r="AQ251" i="5"/>
  <c r="AP458" i="5"/>
  <c r="AQ458" i="5"/>
  <c r="BH458" i="5"/>
  <c r="BH161" i="5"/>
  <c r="AQ161" i="5"/>
  <c r="AP161" i="5"/>
  <c r="AQ453" i="5"/>
  <c r="AP453" i="5"/>
  <c r="BH453" i="5"/>
  <c r="AP403" i="5"/>
  <c r="AQ403" i="5"/>
  <c r="BH403" i="5"/>
  <c r="AQ129" i="5"/>
  <c r="AP129" i="5"/>
  <c r="BH129" i="5"/>
  <c r="AQ463" i="5"/>
  <c r="BH463" i="5"/>
  <c r="AP463" i="5"/>
  <c r="AP69" i="5"/>
  <c r="AQ69" i="5"/>
  <c r="BH69" i="5"/>
  <c r="AQ199" i="5"/>
  <c r="AP199" i="5"/>
  <c r="BH199" i="5"/>
  <c r="BH20" i="5"/>
  <c r="AQ20" i="5"/>
  <c r="AP20" i="5"/>
  <c r="AP472" i="5"/>
  <c r="BH472" i="5"/>
  <c r="AQ472" i="5"/>
  <c r="AQ192" i="5"/>
  <c r="AP192" i="5"/>
  <c r="BH192" i="5"/>
  <c r="BH243" i="5"/>
  <c r="AP243" i="5"/>
  <c r="AQ243" i="5"/>
  <c r="BH155" i="5"/>
  <c r="AP155" i="5"/>
  <c r="AQ155" i="5"/>
  <c r="AP23" i="5"/>
  <c r="BH23" i="5"/>
  <c r="AQ23" i="5"/>
  <c r="AP85" i="5"/>
  <c r="AQ85" i="5"/>
  <c r="BH85" i="5"/>
  <c r="BH554" i="5"/>
  <c r="AP554" i="5"/>
  <c r="AQ554" i="5"/>
  <c r="BH117" i="5"/>
  <c r="AP117" i="5"/>
  <c r="AQ117" i="5"/>
  <c r="AP26" i="5"/>
  <c r="BH26" i="5"/>
  <c r="AQ26" i="5"/>
  <c r="AQ258" i="5"/>
  <c r="BH258" i="5"/>
  <c r="AP258" i="5"/>
  <c r="BH278" i="5"/>
  <c r="AQ278" i="5"/>
  <c r="AP278" i="5"/>
  <c r="AP249" i="5"/>
  <c r="AQ249" i="5"/>
  <c r="BH249" i="5"/>
  <c r="BJ457" i="5"/>
  <c r="BI457" i="5"/>
  <c r="AQ446" i="5"/>
  <c r="BH446" i="5"/>
  <c r="AP446" i="5"/>
  <c r="AQ33" i="5"/>
  <c r="AP33" i="5"/>
  <c r="BH33" i="5"/>
  <c r="AP202" i="5"/>
  <c r="BH202" i="5"/>
  <c r="AQ202" i="5"/>
  <c r="AP418" i="5"/>
  <c r="AQ418" i="5"/>
  <c r="BH418" i="5"/>
  <c r="AQ39" i="5"/>
  <c r="BH39" i="5"/>
  <c r="AP39" i="5"/>
  <c r="AQ259" i="5"/>
  <c r="AP259" i="5"/>
  <c r="BH259" i="5"/>
  <c r="AP324" i="5"/>
  <c r="AQ324" i="5"/>
  <c r="BH324" i="5"/>
  <c r="AP486" i="5"/>
  <c r="AQ486" i="5"/>
  <c r="BH486" i="5"/>
  <c r="AQ357" i="5"/>
  <c r="BH357" i="5"/>
  <c r="AP357" i="5"/>
  <c r="AQ34" i="5"/>
  <c r="BH34" i="5"/>
  <c r="AP34" i="5"/>
  <c r="AP159" i="5"/>
  <c r="BH159" i="5"/>
  <c r="AQ159" i="5"/>
  <c r="BH432" i="5"/>
  <c r="AQ432" i="5"/>
  <c r="AP432" i="5"/>
  <c r="BH317" i="5"/>
  <c r="AQ317" i="5"/>
  <c r="AP317" i="5"/>
  <c r="BJ165" i="5"/>
  <c r="BI165" i="5"/>
  <c r="AQ304" i="5"/>
  <c r="BH304" i="5"/>
  <c r="AP304" i="5"/>
  <c r="BH531" i="5"/>
  <c r="AQ531" i="5"/>
  <c r="AP531" i="5"/>
  <c r="BH235" i="5"/>
  <c r="AP235" i="5"/>
  <c r="AQ235" i="5"/>
  <c r="BC9" i="5"/>
  <c r="BD9" i="5"/>
  <c r="AQ67" i="5"/>
  <c r="AP67" i="5"/>
  <c r="BH67" i="5"/>
  <c r="BH473" i="5"/>
  <c r="AQ473" i="5"/>
  <c r="AP473" i="5"/>
  <c r="BJ116" i="5"/>
  <c r="BI116" i="5"/>
  <c r="BH209" i="5"/>
  <c r="AP209" i="5"/>
  <c r="AQ209" i="5"/>
  <c r="BH213" i="5"/>
  <c r="AQ213" i="5"/>
  <c r="AP213" i="5"/>
  <c r="BH147" i="5"/>
  <c r="AQ147" i="5"/>
  <c r="AP147" i="5"/>
  <c r="AP73" i="5"/>
  <c r="AQ73" i="5"/>
  <c r="BH73" i="5"/>
  <c r="BH179" i="5"/>
  <c r="AQ179" i="5"/>
  <c r="AP179" i="5"/>
  <c r="AQ88" i="5"/>
  <c r="AP88" i="5"/>
  <c r="BH88" i="5"/>
  <c r="AP320" i="5"/>
  <c r="AQ320" i="5"/>
  <c r="BH320" i="5"/>
  <c r="AP340" i="5"/>
  <c r="BH340" i="5"/>
  <c r="AQ340" i="5"/>
  <c r="AQ175" i="5"/>
  <c r="BH175" i="5"/>
  <c r="AP175" i="5"/>
  <c r="AP46" i="5"/>
  <c r="AQ46" i="5"/>
  <c r="BH46" i="5"/>
  <c r="AP523" i="5"/>
  <c r="BH523" i="5"/>
  <c r="AQ523" i="5"/>
  <c r="BH449" i="5"/>
  <c r="AP449" i="5"/>
  <c r="AQ449" i="5"/>
  <c r="AP183" i="5"/>
  <c r="AQ183" i="5"/>
  <c r="BH183" i="5"/>
  <c r="AP169" i="5"/>
  <c r="AQ169" i="5"/>
  <c r="BH169" i="5"/>
  <c r="AP158" i="5"/>
  <c r="BH158" i="5"/>
  <c r="AQ158" i="5"/>
  <c r="AQ326" i="5"/>
  <c r="AP326" i="5"/>
  <c r="BH326" i="5"/>
  <c r="AQ361" i="5"/>
  <c r="AP361" i="5"/>
  <c r="BH361" i="5"/>
  <c r="BH431" i="5"/>
  <c r="AQ431" i="5"/>
  <c r="AP431" i="5"/>
  <c r="BH275" i="5"/>
  <c r="AQ275" i="5"/>
  <c r="AP275" i="5"/>
  <c r="AQ201" i="5"/>
  <c r="AP201" i="5"/>
  <c r="BH201" i="5"/>
  <c r="AQ471" i="5"/>
  <c r="AP471" i="5"/>
  <c r="BH471" i="5"/>
  <c r="AP233" i="5"/>
  <c r="AQ233" i="5"/>
  <c r="BH233" i="5"/>
  <c r="AQ222" i="5"/>
  <c r="AP222" i="5"/>
  <c r="BH222" i="5"/>
  <c r="AQ390" i="5"/>
  <c r="AP390" i="5"/>
  <c r="BH390" i="5"/>
  <c r="BH394" i="5"/>
  <c r="AQ394" i="5"/>
  <c r="AP394" i="5"/>
  <c r="BH445" i="5"/>
  <c r="AP445" i="5"/>
  <c r="AQ445" i="5"/>
  <c r="AP112" i="5"/>
  <c r="AQ112" i="5"/>
  <c r="BH112" i="5"/>
  <c r="AQ298" i="5"/>
  <c r="AP298" i="5"/>
  <c r="BH298" i="5"/>
  <c r="AQ232" i="5"/>
  <c r="AP232" i="5"/>
  <c r="BH232" i="5"/>
  <c r="AP238" i="5"/>
  <c r="AQ238" i="5"/>
  <c r="BH238" i="5"/>
  <c r="AP264" i="5"/>
  <c r="BH264" i="5"/>
  <c r="AQ264" i="5"/>
  <c r="AQ253" i="5"/>
  <c r="BH253" i="5"/>
  <c r="AP253" i="5"/>
  <c r="AP421" i="5"/>
  <c r="AQ421" i="5"/>
  <c r="BH421" i="5"/>
  <c r="AQ425" i="5"/>
  <c r="AP425" i="5"/>
  <c r="BH425" i="5"/>
  <c r="AQ476" i="5"/>
  <c r="AP476" i="5"/>
  <c r="BH476" i="5"/>
  <c r="BH451" i="5"/>
  <c r="AQ451" i="5"/>
  <c r="AP451" i="5"/>
  <c r="BH91" i="5"/>
  <c r="AQ91" i="5"/>
  <c r="AP91" i="5"/>
  <c r="BH498" i="5"/>
  <c r="AQ498" i="5"/>
  <c r="AP498" i="5"/>
  <c r="AQ350" i="5"/>
  <c r="AP350" i="5"/>
  <c r="BH350" i="5"/>
  <c r="AP518" i="5"/>
  <c r="AQ518" i="5"/>
  <c r="BH518" i="5"/>
  <c r="BH171" i="5"/>
  <c r="AP171" i="5"/>
  <c r="AQ171" i="5"/>
  <c r="BH409" i="5"/>
  <c r="AQ409" i="5"/>
  <c r="AP409" i="5"/>
  <c r="BH172" i="5"/>
  <c r="AQ172" i="5"/>
  <c r="AP172" i="5"/>
  <c r="AP60" i="5"/>
  <c r="AQ60" i="5"/>
  <c r="BH60" i="5"/>
  <c r="AQ475" i="5"/>
  <c r="AP475" i="5"/>
  <c r="BH475" i="5"/>
  <c r="BH370" i="5"/>
  <c r="AQ370" i="5"/>
  <c r="AP370" i="5"/>
  <c r="BH203" i="5"/>
  <c r="AP203" i="5"/>
  <c r="AQ203" i="5"/>
  <c r="AQ268" i="5"/>
  <c r="BH268" i="5"/>
  <c r="AP268" i="5"/>
  <c r="AQ241" i="5"/>
  <c r="BH241" i="5"/>
  <c r="AP241" i="5"/>
  <c r="AP440" i="5"/>
  <c r="AQ440" i="5"/>
  <c r="BH440" i="5"/>
  <c r="AQ491" i="5"/>
  <c r="BH491" i="5"/>
  <c r="AP491" i="5"/>
  <c r="AP401" i="5"/>
  <c r="BH401" i="5"/>
  <c r="AQ401" i="5"/>
  <c r="BH247" i="5"/>
  <c r="AQ247" i="5"/>
  <c r="AP247" i="5"/>
  <c r="BH397" i="5"/>
  <c r="AQ397" i="5"/>
  <c r="AP397" i="5"/>
  <c r="BH331" i="5"/>
  <c r="AQ331" i="5"/>
  <c r="AP331" i="5"/>
  <c r="AP365" i="5"/>
  <c r="BH365" i="5"/>
  <c r="AQ365" i="5"/>
  <c r="BH338" i="5"/>
  <c r="AQ338" i="5"/>
  <c r="AP338" i="5"/>
  <c r="AQ506" i="5"/>
  <c r="AP506" i="5"/>
  <c r="BH506" i="5"/>
  <c r="BH526" i="5"/>
  <c r="AP526" i="5"/>
  <c r="AQ526" i="5"/>
  <c r="AP19" i="5"/>
  <c r="AQ19" i="5"/>
  <c r="BH19" i="5"/>
  <c r="BI349" i="5"/>
  <c r="BJ349" i="5"/>
  <c r="BJ148" i="5"/>
  <c r="BI148" i="5"/>
  <c r="BI363" i="5"/>
  <c r="BJ363" i="5"/>
  <c r="AP294" i="5"/>
  <c r="AQ294" i="5"/>
  <c r="BH294" i="5"/>
  <c r="AQ423" i="5"/>
  <c r="AP423" i="5"/>
  <c r="BH423" i="5"/>
  <c r="AP170" i="5"/>
  <c r="BH170" i="5"/>
  <c r="AQ170" i="5"/>
  <c r="AP558" i="5"/>
  <c r="BH558" i="5"/>
  <c r="AQ558" i="5"/>
  <c r="AP138" i="5"/>
  <c r="AQ138" i="5"/>
  <c r="BH138" i="5"/>
  <c r="BH325" i="5"/>
  <c r="AP325" i="5"/>
  <c r="AQ325" i="5"/>
  <c r="BH136" i="5"/>
  <c r="AQ136" i="5"/>
  <c r="AP136" i="5"/>
  <c r="AP77" i="5"/>
  <c r="BH77" i="5"/>
  <c r="AQ77" i="5"/>
  <c r="BH189" i="5"/>
  <c r="AQ189" i="5"/>
  <c r="AP189" i="5"/>
  <c r="BH108" i="5"/>
  <c r="AP108" i="5"/>
  <c r="AQ108" i="5"/>
  <c r="AP220" i="5"/>
  <c r="AQ220" i="5"/>
  <c r="BH220" i="5"/>
  <c r="AP9" i="5"/>
  <c r="AQ9" i="5"/>
  <c r="BH9" i="5"/>
  <c r="AP462" i="5"/>
  <c r="AQ462" i="5"/>
  <c r="BH462" i="5"/>
  <c r="AQ242" i="5"/>
  <c r="AP242" i="5"/>
  <c r="BH242" i="5"/>
  <c r="AQ525" i="5"/>
  <c r="AP525" i="5"/>
  <c r="BH525" i="5"/>
  <c r="AQ459" i="5"/>
  <c r="BH459" i="5"/>
  <c r="AP459" i="5"/>
  <c r="BH385" i="5"/>
  <c r="AQ385" i="5"/>
  <c r="AP385" i="5"/>
  <c r="BH427" i="5"/>
  <c r="AQ427" i="5"/>
  <c r="AP427" i="5"/>
  <c r="AP400" i="5"/>
  <c r="BH400" i="5"/>
  <c r="AQ400" i="5"/>
  <c r="AP25" i="5"/>
  <c r="AQ25" i="5"/>
  <c r="BH25" i="5"/>
  <c r="AQ45" i="5"/>
  <c r="AP45" i="5"/>
  <c r="BH45" i="5"/>
  <c r="BH80" i="5"/>
  <c r="AP80" i="5"/>
  <c r="AQ80" i="5"/>
  <c r="BH358" i="5"/>
  <c r="AP358" i="5"/>
  <c r="AQ358" i="5"/>
  <c r="AP292" i="5"/>
  <c r="BH292" i="5"/>
  <c r="AQ292" i="5"/>
  <c r="AP93" i="5"/>
  <c r="AQ93" i="5"/>
  <c r="BH93" i="5"/>
  <c r="BH185" i="5"/>
  <c r="AQ185" i="5"/>
  <c r="AP185" i="5"/>
  <c r="AP417" i="5"/>
  <c r="BH417" i="5"/>
  <c r="AQ417" i="5"/>
  <c r="BH406" i="5"/>
  <c r="AP406" i="5"/>
  <c r="AQ406" i="5"/>
  <c r="BH346" i="5"/>
  <c r="AP346" i="5"/>
  <c r="AQ346" i="5"/>
  <c r="AP66" i="5"/>
  <c r="BH66" i="5"/>
  <c r="AQ66" i="5"/>
  <c r="AP310" i="5"/>
  <c r="AQ310" i="5"/>
  <c r="BH310" i="5"/>
  <c r="AQ44" i="5"/>
  <c r="AP44" i="5"/>
  <c r="BH44" i="5"/>
  <c r="AQ513" i="5"/>
  <c r="BH513" i="5"/>
  <c r="AP513" i="5"/>
  <c r="BH63" i="5"/>
  <c r="AP63" i="5"/>
  <c r="AQ63" i="5"/>
  <c r="BH481" i="5"/>
  <c r="AQ481" i="5"/>
  <c r="AP481" i="5"/>
  <c r="AQ470" i="5"/>
  <c r="AP470" i="5"/>
  <c r="BH470" i="5"/>
  <c r="AQ288" i="5"/>
  <c r="BH288" i="5"/>
  <c r="AP288" i="5"/>
  <c r="AP107" i="5"/>
  <c r="BH107" i="5"/>
  <c r="AQ107" i="5"/>
  <c r="BH150" i="5"/>
  <c r="AQ150" i="5"/>
  <c r="AP150" i="5"/>
  <c r="AP341" i="5"/>
  <c r="BH341" i="5"/>
  <c r="AQ341" i="5"/>
  <c r="AQ75" i="5"/>
  <c r="AP75" i="5"/>
  <c r="BH75" i="5"/>
  <c r="BH544" i="5"/>
  <c r="AP544" i="5"/>
  <c r="AQ544" i="5"/>
  <c r="AQ550" i="5"/>
  <c r="BH550" i="5"/>
  <c r="AP550" i="5"/>
  <c r="AP512" i="5"/>
  <c r="AQ512" i="5"/>
  <c r="BH512" i="5"/>
  <c r="BH501" i="5"/>
  <c r="AP501" i="5"/>
  <c r="AQ501" i="5"/>
  <c r="AP410" i="5"/>
  <c r="AQ410" i="5"/>
  <c r="BH410" i="5"/>
  <c r="AQ130" i="5"/>
  <c r="AP130" i="5"/>
  <c r="BH130" i="5"/>
  <c r="BH181" i="5"/>
  <c r="AQ181" i="5"/>
  <c r="AP181" i="5"/>
  <c r="AQ13" i="5"/>
  <c r="AP13" i="5"/>
  <c r="BH13" i="5"/>
  <c r="BH71" i="5"/>
  <c r="AQ71" i="5"/>
  <c r="AP71" i="5"/>
  <c r="AQ500" i="5"/>
  <c r="BH500" i="5"/>
  <c r="AP500" i="5"/>
  <c r="AP327" i="5"/>
  <c r="AQ327" i="5"/>
  <c r="BH327" i="5"/>
  <c r="BH226" i="5"/>
  <c r="AQ226" i="5"/>
  <c r="AP226" i="5"/>
  <c r="BI499" i="5"/>
  <c r="BJ499" i="5"/>
  <c r="AQ419" i="5"/>
  <c r="AP419" i="5"/>
  <c r="BH419" i="5"/>
  <c r="BH509" i="5"/>
  <c r="AQ509" i="5"/>
  <c r="AP509" i="5"/>
  <c r="AQ368" i="5"/>
  <c r="AP368" i="5"/>
  <c r="BH368" i="5"/>
  <c r="AQ79" i="5"/>
  <c r="AP79" i="5"/>
  <c r="BH79" i="5"/>
  <c r="AP21" i="5"/>
  <c r="AQ21" i="5"/>
  <c r="BH21" i="5"/>
  <c r="BH490" i="5"/>
  <c r="AQ490" i="5"/>
  <c r="AP490" i="5"/>
  <c r="BH348" i="5"/>
  <c r="AP348" i="5"/>
  <c r="AQ348" i="5"/>
  <c r="BH516" i="5"/>
  <c r="AQ516" i="5"/>
  <c r="AP516" i="5"/>
  <c r="AP489" i="5"/>
  <c r="AQ489" i="5"/>
  <c r="BH489" i="5"/>
  <c r="AP540" i="5"/>
  <c r="BH540" i="5"/>
  <c r="AQ540" i="5"/>
  <c r="AQ196" i="5"/>
  <c r="AP196" i="5"/>
  <c r="BH196" i="5"/>
  <c r="AQ426" i="5"/>
  <c r="AP426" i="5"/>
  <c r="BH426" i="5"/>
  <c r="AP160" i="5"/>
  <c r="AQ160" i="5"/>
  <c r="BH160" i="5"/>
  <c r="BH166" i="5"/>
  <c r="AQ166" i="5"/>
  <c r="AP166" i="5"/>
  <c r="AP100" i="5"/>
  <c r="AQ100" i="5"/>
  <c r="BH100" i="5"/>
  <c r="BH70" i="5"/>
  <c r="AQ70" i="5"/>
  <c r="AP70" i="5"/>
  <c r="BH51" i="5"/>
  <c r="AQ51" i="5"/>
  <c r="AP51" i="5"/>
  <c r="BH12" i="5"/>
  <c r="AP12" i="5"/>
  <c r="AQ12" i="5"/>
  <c r="AP95" i="5"/>
  <c r="AQ95" i="5"/>
  <c r="BH95" i="5"/>
  <c r="AP266" i="5"/>
  <c r="AQ266" i="5"/>
  <c r="BH266" i="5"/>
  <c r="BH224" i="5"/>
  <c r="AQ224" i="5"/>
  <c r="AP224" i="5"/>
  <c r="BI197" i="5"/>
  <c r="BJ197" i="5"/>
  <c r="BI395" i="5"/>
  <c r="BJ395" i="5"/>
  <c r="BI322" i="5"/>
  <c r="BJ322" i="5"/>
  <c r="AP260" i="5"/>
  <c r="BH260" i="5"/>
  <c r="AQ260" i="5"/>
  <c r="AP228" i="5"/>
  <c r="AQ228" i="5"/>
  <c r="BH228" i="5"/>
  <c r="AP375" i="5"/>
  <c r="AQ375" i="5"/>
  <c r="BH375" i="5"/>
  <c r="BH132" i="5"/>
  <c r="AQ132" i="5"/>
  <c r="AP132" i="5"/>
  <c r="AQ105" i="5"/>
  <c r="AP105" i="5"/>
  <c r="BH105" i="5"/>
  <c r="AQ94" i="5"/>
  <c r="AP94" i="5"/>
  <c r="BH94" i="5"/>
  <c r="AP293" i="5"/>
  <c r="AQ293" i="5"/>
  <c r="BH293" i="5"/>
  <c r="AQ328" i="5"/>
  <c r="BH328" i="5"/>
  <c r="AP328" i="5"/>
  <c r="AQ543" i="5"/>
  <c r="BH543" i="5"/>
  <c r="AP543" i="5"/>
  <c r="BH221" i="5"/>
  <c r="AP221" i="5"/>
  <c r="AQ221" i="5"/>
  <c r="AQ367" i="5"/>
  <c r="BH367" i="5"/>
  <c r="AP367" i="5"/>
  <c r="AQ497" i="5"/>
  <c r="AP497" i="5"/>
  <c r="BH497" i="5"/>
  <c r="AQ122" i="5"/>
  <c r="AP122" i="5"/>
  <c r="BH122" i="5"/>
  <c r="AP271" i="5"/>
  <c r="AQ271" i="5"/>
  <c r="BH271" i="5"/>
  <c r="AQ123" i="5"/>
  <c r="BH123" i="5"/>
  <c r="AP123" i="5"/>
  <c r="AP314" i="5"/>
  <c r="BH314" i="5"/>
  <c r="AQ314" i="5"/>
  <c r="BH519" i="5"/>
  <c r="AQ519" i="5"/>
  <c r="AP519" i="5"/>
  <c r="AP356" i="5"/>
  <c r="BH356" i="5"/>
  <c r="AQ356" i="5"/>
  <c r="BH62" i="5"/>
  <c r="AQ62" i="5"/>
  <c r="AP62" i="5"/>
  <c r="BH81" i="5"/>
  <c r="AQ81" i="5"/>
  <c r="AP81" i="5"/>
  <c r="AQ186" i="5"/>
  <c r="AP186" i="5"/>
  <c r="BH186" i="5"/>
  <c r="AQ215" i="5"/>
  <c r="BH215" i="5"/>
  <c r="AP215" i="5"/>
  <c r="AP156" i="5"/>
  <c r="AQ156" i="5"/>
  <c r="BH156" i="5"/>
  <c r="BH355" i="5"/>
  <c r="AQ355" i="5"/>
  <c r="AP355" i="5"/>
  <c r="BH398" i="5"/>
  <c r="AP398" i="5"/>
  <c r="AQ398" i="5"/>
  <c r="BH110" i="5"/>
  <c r="AP110" i="5"/>
  <c r="AQ110" i="5"/>
  <c r="AQ387" i="5"/>
  <c r="BH387" i="5"/>
  <c r="AP387" i="5"/>
  <c r="AP114" i="5"/>
  <c r="AQ114" i="5"/>
  <c r="BH114" i="5"/>
  <c r="BH529" i="5"/>
  <c r="AP529" i="5"/>
  <c r="AQ529" i="5"/>
  <c r="AQ217" i="5"/>
  <c r="BH217" i="5"/>
  <c r="AP217" i="5"/>
  <c r="AQ206" i="5"/>
  <c r="BH206" i="5"/>
  <c r="AP206" i="5"/>
  <c r="AP187" i="5"/>
  <c r="AQ187" i="5"/>
  <c r="BH187" i="5"/>
  <c r="BH378" i="5"/>
  <c r="AQ378" i="5"/>
  <c r="AP378" i="5"/>
  <c r="BH429" i="5"/>
  <c r="AQ429" i="5"/>
  <c r="AP429" i="5"/>
  <c r="AQ560" i="5"/>
  <c r="BH560" i="5"/>
  <c r="AP560" i="5"/>
  <c r="BH329" i="5"/>
  <c r="AP329" i="5"/>
  <c r="AQ329" i="5"/>
  <c r="AP359" i="5"/>
  <c r="AQ359" i="5"/>
  <c r="BH359" i="5"/>
  <c r="AP269" i="5"/>
  <c r="BH269" i="5"/>
  <c r="AQ269" i="5"/>
  <c r="AQ103" i="5"/>
  <c r="AP103" i="5"/>
  <c r="BH103" i="5"/>
  <c r="AQ284" i="5"/>
  <c r="AP284" i="5"/>
  <c r="BH284" i="5"/>
  <c r="AQ511" i="5"/>
  <c r="BH511" i="5"/>
  <c r="AP511" i="5"/>
  <c r="AQ393" i="5"/>
  <c r="AP393" i="5"/>
  <c r="BH393" i="5"/>
  <c r="AQ303" i="5"/>
  <c r="AP303" i="5"/>
  <c r="BH303" i="5"/>
  <c r="AP333" i="5"/>
  <c r="AQ333" i="5"/>
  <c r="BH333" i="5"/>
  <c r="AQ267" i="5"/>
  <c r="AP267" i="5"/>
  <c r="BH267" i="5"/>
  <c r="AQ53" i="5"/>
  <c r="AP53" i="5"/>
  <c r="BH53" i="5"/>
  <c r="AP505" i="5"/>
  <c r="AQ505" i="5"/>
  <c r="BH505" i="5"/>
  <c r="BH194" i="5"/>
  <c r="AQ194" i="5"/>
  <c r="AP194" i="5"/>
  <c r="BH245" i="5"/>
  <c r="AP245" i="5"/>
  <c r="AQ245" i="5"/>
  <c r="BH178" i="5"/>
  <c r="AQ178" i="5"/>
  <c r="AP178" i="5"/>
  <c r="AQ508" i="5"/>
  <c r="AP508" i="5"/>
  <c r="BH508" i="5"/>
  <c r="BH380" i="5"/>
  <c r="AP380" i="5"/>
  <c r="AQ380" i="5"/>
  <c r="AP306" i="5"/>
  <c r="AQ306" i="5"/>
  <c r="BH306" i="5"/>
  <c r="AQ515" i="5"/>
  <c r="BH515" i="5"/>
  <c r="AP515" i="5"/>
  <c r="BH299" i="5"/>
  <c r="AQ299" i="5"/>
  <c r="AP299" i="5"/>
  <c r="AQ272" i="5"/>
  <c r="BH272" i="5"/>
  <c r="AP272" i="5"/>
  <c r="AP422" i="5"/>
  <c r="AQ422" i="5"/>
  <c r="BH422" i="5"/>
  <c r="BH514" i="5"/>
  <c r="AQ514" i="5"/>
  <c r="AP514" i="5"/>
  <c r="BF482" i="5"/>
  <c r="BK482" i="5" s="1"/>
  <c r="BN481" i="5" s="1"/>
  <c r="BO481" i="5" s="1"/>
  <c r="BG482" i="5"/>
  <c r="BL482" i="5" s="1"/>
  <c r="BJ541" i="5"/>
  <c r="BI541" i="5"/>
  <c r="BI484" i="5"/>
  <c r="BJ484" i="5"/>
  <c r="BJ537" i="5"/>
  <c r="BI537" i="5"/>
  <c r="AP488" i="5"/>
  <c r="AQ488" i="5"/>
  <c r="BH488" i="5"/>
  <c r="AP121" i="5"/>
  <c r="AQ121" i="5"/>
  <c r="BH121" i="5"/>
  <c r="AQ405" i="5"/>
  <c r="BH405" i="5"/>
  <c r="AP405" i="5"/>
  <c r="BH495" i="5"/>
  <c r="AP495" i="5"/>
  <c r="AQ495" i="5"/>
  <c r="AP496" i="5"/>
  <c r="BH496" i="5"/>
  <c r="AQ496" i="5"/>
  <c r="AQ502" i="5"/>
  <c r="BH502" i="5"/>
  <c r="AP502" i="5"/>
  <c r="AP478" i="5"/>
  <c r="AQ478" i="5"/>
  <c r="BH478" i="5"/>
  <c r="BH204" i="5"/>
  <c r="AQ204" i="5"/>
  <c r="AP204" i="5"/>
  <c r="AQ162" i="5"/>
  <c r="AP162" i="5"/>
  <c r="BH162" i="5"/>
  <c r="AQ96" i="5"/>
  <c r="BH96" i="5"/>
  <c r="AP96" i="5"/>
  <c r="BH102" i="5"/>
  <c r="AQ102" i="5"/>
  <c r="AP102" i="5"/>
  <c r="BH36" i="5"/>
  <c r="AQ36" i="5"/>
  <c r="AP36" i="5"/>
  <c r="AQ301" i="5"/>
  <c r="AP301" i="5"/>
  <c r="BH301" i="5"/>
  <c r="AP274" i="5"/>
  <c r="BH274" i="5"/>
  <c r="AQ274" i="5"/>
  <c r="AQ442" i="5"/>
  <c r="BH442" i="5"/>
  <c r="AP442" i="5"/>
  <c r="BH493" i="5"/>
  <c r="AQ493" i="5"/>
  <c r="AP493" i="5"/>
  <c r="BH273" i="5"/>
  <c r="AP273" i="5"/>
  <c r="AQ273" i="5"/>
  <c r="AP118" i="5"/>
  <c r="AQ118" i="5"/>
  <c r="BH118" i="5"/>
  <c r="AP52" i="5"/>
  <c r="AQ52" i="5"/>
  <c r="BH52" i="5"/>
  <c r="AQ521" i="5"/>
  <c r="AP521" i="5"/>
  <c r="BH521" i="5"/>
  <c r="AP379" i="5"/>
  <c r="AQ379" i="5"/>
  <c r="BH379" i="5"/>
  <c r="AQ547" i="5"/>
  <c r="AP547" i="5"/>
  <c r="BH547" i="5"/>
  <c r="BH520" i="5"/>
  <c r="AP520" i="5"/>
  <c r="AQ520" i="5"/>
  <c r="AP28" i="5"/>
  <c r="AQ28" i="5"/>
  <c r="BH28" i="5"/>
  <c r="AP227" i="5"/>
  <c r="BH227" i="5"/>
  <c r="AQ227" i="5"/>
  <c r="BJ443" i="5"/>
  <c r="BI443" i="5"/>
  <c r="BI369" i="5"/>
  <c r="BJ369" i="5"/>
  <c r="BI35" i="5"/>
  <c r="BJ35" i="5"/>
  <c r="BI307" i="5"/>
  <c r="BJ307" i="5"/>
  <c r="AP252" i="5"/>
  <c r="AQ252" i="5"/>
  <c r="BH252" i="5"/>
  <c r="AP342" i="5"/>
  <c r="BH342" i="5"/>
  <c r="AQ342" i="5"/>
  <c r="AP510" i="5"/>
  <c r="BH510" i="5"/>
  <c r="AQ510" i="5"/>
  <c r="AQ104" i="5"/>
  <c r="AP104" i="5"/>
  <c r="BH104" i="5"/>
  <c r="AQ371" i="5"/>
  <c r="AP371" i="5"/>
  <c r="BH371" i="5"/>
  <c r="BH414" i="5"/>
  <c r="AP414" i="5"/>
  <c r="AQ414" i="5"/>
  <c r="AQ48" i="5"/>
  <c r="BH48" i="5"/>
  <c r="AP48" i="5"/>
  <c r="BH190" i="5"/>
  <c r="AP190" i="5"/>
  <c r="AQ190" i="5"/>
  <c r="AQ311" i="5"/>
  <c r="AP311" i="5"/>
  <c r="BH311" i="5"/>
  <c r="AP287" i="5"/>
  <c r="AQ287" i="5"/>
  <c r="BH287" i="5"/>
  <c r="BH404" i="5"/>
  <c r="AQ404" i="5"/>
  <c r="AP404" i="5"/>
  <c r="AP119" i="5"/>
  <c r="AQ119" i="5"/>
  <c r="BH119" i="5"/>
  <c r="AQ207" i="5"/>
  <c r="AP207" i="5"/>
  <c r="BH207" i="5"/>
  <c r="BH143" i="5"/>
  <c r="AP143" i="5"/>
  <c r="AQ143" i="5"/>
  <c r="BH436" i="5"/>
  <c r="AQ436" i="5"/>
  <c r="AP436" i="5"/>
  <c r="AQ286" i="5"/>
  <c r="AP286" i="5"/>
  <c r="BH286" i="5"/>
  <c r="AP454" i="5"/>
  <c r="AQ454" i="5"/>
  <c r="BH454" i="5"/>
  <c r="AQ435" i="5"/>
  <c r="BH435" i="5"/>
  <c r="AP435" i="5"/>
  <c r="BH134" i="5"/>
  <c r="AQ134" i="5"/>
  <c r="AP134" i="5"/>
  <c r="AQ372" i="5"/>
  <c r="BH372" i="5"/>
  <c r="AP372" i="5"/>
  <c r="AP98" i="5"/>
  <c r="AQ98" i="5"/>
  <c r="BH98" i="5"/>
  <c r="AQ32" i="5"/>
  <c r="AP32" i="5"/>
  <c r="BH32" i="5"/>
  <c r="AQ38" i="5"/>
  <c r="BH38" i="5"/>
  <c r="AP38" i="5"/>
  <c r="AQ255" i="5"/>
  <c r="BH255" i="5"/>
  <c r="AP255" i="5"/>
  <c r="BH532" i="5"/>
  <c r="AP532" i="5"/>
  <c r="AQ532" i="5"/>
  <c r="AQ212" i="5"/>
  <c r="BH212" i="5"/>
  <c r="AP212" i="5"/>
  <c r="BH246" i="5"/>
  <c r="AQ246" i="5"/>
  <c r="AP246" i="5"/>
  <c r="BH180" i="5"/>
  <c r="AP180" i="5"/>
  <c r="AQ180" i="5"/>
  <c r="AP106" i="5"/>
  <c r="AQ106" i="5"/>
  <c r="BH106" i="5"/>
  <c r="AP40" i="5"/>
  <c r="BH40" i="5"/>
  <c r="AQ40" i="5"/>
  <c r="AP433" i="5"/>
  <c r="AQ433" i="5"/>
  <c r="BH433" i="5"/>
  <c r="BH58" i="5"/>
  <c r="AP58" i="5"/>
  <c r="AQ58" i="5"/>
  <c r="AQ263" i="5"/>
  <c r="AP263" i="5"/>
  <c r="BH263" i="5"/>
  <c r="AP82" i="5"/>
  <c r="BH82" i="5"/>
  <c r="AQ82" i="5"/>
  <c r="AP281" i="5"/>
  <c r="BH281" i="5"/>
  <c r="AQ281" i="5"/>
  <c r="AQ479" i="5"/>
  <c r="BH479" i="5"/>
  <c r="AP479" i="5"/>
  <c r="BH556" i="5"/>
  <c r="AQ556" i="5"/>
  <c r="AP556" i="5"/>
  <c r="AQ482" i="5"/>
  <c r="AP482" i="5"/>
  <c r="BH482" i="5"/>
  <c r="AQ416" i="5"/>
  <c r="AP416" i="5"/>
  <c r="BH416" i="5"/>
  <c r="BH450" i="5"/>
  <c r="AP450" i="5"/>
  <c r="AQ450" i="5"/>
  <c r="AQ55" i="5"/>
  <c r="AP55" i="5"/>
  <c r="BH55" i="5"/>
  <c r="AP56" i="5"/>
  <c r="AQ56" i="5"/>
  <c r="BH56" i="5"/>
  <c r="BH76" i="5"/>
  <c r="AQ76" i="5"/>
  <c r="AP76" i="5"/>
  <c r="BH335" i="5"/>
  <c r="AQ335" i="5"/>
  <c r="AP335" i="5"/>
  <c r="AP308" i="5"/>
  <c r="BH308" i="5"/>
  <c r="AQ308" i="5"/>
  <c r="AP234" i="5"/>
  <c r="AQ234" i="5"/>
  <c r="BH234" i="5"/>
  <c r="BH168" i="5"/>
  <c r="AQ168" i="5"/>
  <c r="AP168" i="5"/>
  <c r="AP174" i="5"/>
  <c r="BH174" i="5"/>
  <c r="AQ174" i="5"/>
  <c r="AP447" i="5"/>
  <c r="AQ447" i="5"/>
  <c r="BH447" i="5"/>
  <c r="AQ120" i="5"/>
  <c r="BH120" i="5"/>
  <c r="AP120" i="5"/>
  <c r="BH109" i="5"/>
  <c r="AP109" i="5"/>
  <c r="AQ109" i="5"/>
  <c r="AP144" i="5"/>
  <c r="BH144" i="5"/>
  <c r="AQ144" i="5"/>
  <c r="AQ339" i="5"/>
  <c r="BH339" i="5"/>
  <c r="AP339" i="5"/>
  <c r="AP265" i="5"/>
  <c r="BH265" i="5"/>
  <c r="AQ265" i="5"/>
  <c r="BH415" i="5"/>
  <c r="AQ415" i="5"/>
  <c r="AP415" i="5"/>
  <c r="AP205" i="5"/>
  <c r="BH205" i="5"/>
  <c r="AQ205" i="5"/>
  <c r="BH534" i="5"/>
  <c r="AP534" i="5"/>
  <c r="AQ534" i="5"/>
  <c r="AP257" i="5"/>
  <c r="AQ257" i="5"/>
  <c r="BH257" i="5"/>
  <c r="BH140" i="5"/>
  <c r="AP140" i="5"/>
  <c r="AQ140" i="5"/>
  <c r="AQ279" i="5"/>
  <c r="BH279" i="5"/>
  <c r="AP279" i="5"/>
  <c r="AQ141" i="5"/>
  <c r="AP141" i="5"/>
  <c r="BH141" i="5"/>
  <c r="AP240" i="5"/>
  <c r="BH240" i="5"/>
  <c r="AQ240" i="5"/>
  <c r="AQ27" i="5"/>
  <c r="AP27" i="5"/>
  <c r="BH27" i="5"/>
  <c r="AQ434" i="5"/>
  <c r="BH434" i="5"/>
  <c r="AP434" i="5"/>
  <c r="BH248" i="5"/>
  <c r="AQ248" i="5"/>
  <c r="AP248" i="5"/>
  <c r="AQ237" i="5"/>
  <c r="AP237" i="5"/>
  <c r="BH237" i="5"/>
  <c r="BH452" i="5"/>
  <c r="AQ452" i="5"/>
  <c r="AP452" i="5"/>
  <c r="BI208" i="5"/>
  <c r="BJ208" i="5"/>
  <c r="BJ214" i="5"/>
  <c r="BI214" i="5"/>
  <c r="AP460" i="5"/>
  <c r="BH460" i="5"/>
  <c r="AQ460" i="5"/>
  <c r="BG265" i="5"/>
  <c r="BL265" i="5" s="1"/>
  <c r="BF265" i="5"/>
  <c r="BK265" i="5" s="1"/>
  <c r="AQ319" i="5"/>
  <c r="AP319" i="5"/>
  <c r="BH319" i="5"/>
  <c r="BH539" i="5"/>
  <c r="AQ539" i="5"/>
  <c r="AP539" i="5"/>
  <c r="AP411" i="5"/>
  <c r="BH411" i="5"/>
  <c r="AQ411" i="5"/>
  <c r="AP381" i="5"/>
  <c r="AQ381" i="5"/>
  <c r="BH381" i="5"/>
  <c r="BH549" i="5"/>
  <c r="AP549" i="5"/>
  <c r="AQ549" i="5"/>
  <c r="AQ522" i="5"/>
  <c r="BH522" i="5"/>
  <c r="AP522" i="5"/>
  <c r="AP542" i="5"/>
  <c r="AQ542" i="5"/>
  <c r="BH542" i="5"/>
  <c r="AQ198" i="5"/>
  <c r="AP198" i="5"/>
  <c r="BH198" i="5"/>
  <c r="AQ424" i="5"/>
  <c r="AP424" i="5"/>
  <c r="BH424" i="5"/>
  <c r="AQ430" i="5"/>
  <c r="BH430" i="5"/>
  <c r="AP430" i="5"/>
  <c r="BH364" i="5"/>
  <c r="AQ364" i="5"/>
  <c r="AP364" i="5"/>
  <c r="AQ290" i="5"/>
  <c r="AP290" i="5"/>
  <c r="BH290" i="5"/>
  <c r="AP84" i="5"/>
  <c r="AQ84" i="5"/>
  <c r="BH84" i="5"/>
  <c r="BH536" i="5"/>
  <c r="AQ536" i="5"/>
  <c r="AP536" i="5"/>
  <c r="AQ225" i="5"/>
  <c r="AP225" i="5"/>
  <c r="BH225" i="5"/>
  <c r="AP276" i="5"/>
  <c r="AQ276" i="5"/>
  <c r="BH276" i="5"/>
  <c r="AP461" i="5"/>
  <c r="AQ461" i="5"/>
  <c r="BH461" i="5"/>
  <c r="AQ316" i="5"/>
  <c r="BH316" i="5"/>
  <c r="AP316" i="5"/>
  <c r="AP552" i="5"/>
  <c r="AQ552" i="5"/>
  <c r="BH552" i="5"/>
  <c r="BJ391" i="5"/>
  <c r="BI391" i="5"/>
  <c r="AB7" i="5"/>
  <c r="BE7" i="5" s="1"/>
  <c r="BO172" i="5" l="1"/>
  <c r="BO134" i="5"/>
  <c r="BO243" i="5"/>
  <c r="BO239" i="5"/>
  <c r="BO222" i="5"/>
  <c r="BO218" i="5"/>
  <c r="BO216" i="5"/>
  <c r="BO184" i="5"/>
  <c r="BO174" i="5"/>
  <c r="BO160" i="5"/>
  <c r="BO146" i="5"/>
  <c r="BO98" i="5"/>
  <c r="BO210" i="5"/>
  <c r="BO208" i="5"/>
  <c r="BO193" i="5"/>
  <c r="BO214" i="5"/>
  <c r="BN215" i="5"/>
  <c r="BO215" i="5" s="1"/>
  <c r="BO205" i="5"/>
  <c r="BO225" i="5"/>
  <c r="BN357" i="5"/>
  <c r="BO357" i="5" s="1"/>
  <c r="BO248" i="5"/>
  <c r="BO251" i="5"/>
  <c r="BN440" i="5"/>
  <c r="BO440" i="5" s="1"/>
  <c r="BO337" i="5"/>
  <c r="BN515" i="5"/>
  <c r="BO515" i="5" s="1"/>
  <c r="BN296" i="5"/>
  <c r="BO296" i="5" s="1"/>
  <c r="BN438" i="5"/>
  <c r="BO438" i="5" s="1"/>
  <c r="BN315" i="5"/>
  <c r="BO315" i="5" s="1"/>
  <c r="BO112" i="5"/>
  <c r="BN198" i="5"/>
  <c r="BO198" i="5" s="1"/>
  <c r="BN19" i="5"/>
  <c r="BO19" i="5" s="1"/>
  <c r="BN194" i="5"/>
  <c r="BO194" i="5" s="1"/>
  <c r="BN132" i="5"/>
  <c r="BO132" i="5" s="1"/>
  <c r="BN226" i="5"/>
  <c r="BO226" i="5" s="1"/>
  <c r="BN514" i="5"/>
  <c r="BO514" i="5" s="1"/>
  <c r="BN113" i="5"/>
  <c r="BO113" i="5" s="1"/>
  <c r="BN114" i="5"/>
  <c r="BO114" i="5" s="1"/>
  <c r="BN23" i="5"/>
  <c r="BO23" i="5" s="1"/>
  <c r="BN135" i="5"/>
  <c r="BO135" i="5" s="1"/>
  <c r="BN437" i="5"/>
  <c r="BO437" i="5" s="1"/>
  <c r="BN122" i="5"/>
  <c r="BO122" i="5" s="1"/>
  <c r="BN317" i="5"/>
  <c r="BO317" i="5" s="1"/>
  <c r="BO271" i="5"/>
  <c r="BN380" i="5"/>
  <c r="BO380" i="5" s="1"/>
  <c r="BN436" i="5"/>
  <c r="BO436" i="5" s="1"/>
  <c r="BO259" i="5"/>
  <c r="BN381" i="5"/>
  <c r="BO381" i="5" s="1"/>
  <c r="BN301" i="5"/>
  <c r="BO301" i="5" s="1"/>
  <c r="BN489" i="5"/>
  <c r="BO489" i="5" s="1"/>
  <c r="BN279" i="5"/>
  <c r="BO279" i="5" s="1"/>
  <c r="BN504" i="5"/>
  <c r="BO504" i="5" s="1"/>
  <c r="BJ280" i="5"/>
  <c r="BN335" i="5"/>
  <c r="BO335" i="5" s="1"/>
  <c r="BN466" i="5"/>
  <c r="BO466" i="5" s="1"/>
  <c r="BN241" i="5"/>
  <c r="BO241" i="5" s="1"/>
  <c r="BN102" i="5"/>
  <c r="BO102" i="5" s="1"/>
  <c r="BN356" i="5"/>
  <c r="BO356" i="5" s="1"/>
  <c r="BN79" i="5"/>
  <c r="BO79" i="5" s="1"/>
  <c r="BN140" i="5"/>
  <c r="BO140" i="5" s="1"/>
  <c r="BN458" i="5"/>
  <c r="BO458" i="5" s="1"/>
  <c r="BN85" i="5"/>
  <c r="BO85" i="5" s="1"/>
  <c r="BN139" i="5"/>
  <c r="BO139" i="5" s="1"/>
  <c r="BN517" i="5"/>
  <c r="BO517" i="5" s="1"/>
  <c r="BN498" i="5"/>
  <c r="BO498" i="5" s="1"/>
  <c r="BN95" i="5"/>
  <c r="BO95" i="5" s="1"/>
  <c r="BN495" i="5"/>
  <c r="BO495" i="5" s="1"/>
  <c r="BN223" i="5"/>
  <c r="BO223" i="5" s="1"/>
  <c r="BN525" i="5"/>
  <c r="BO525" i="5" s="1"/>
  <c r="BN173" i="5"/>
  <c r="BO173" i="5" s="1"/>
  <c r="BN186" i="5"/>
  <c r="BO186" i="5" s="1"/>
  <c r="BN66" i="5"/>
  <c r="BO66" i="5" s="1"/>
  <c r="BN439" i="5"/>
  <c r="BO439" i="5" s="1"/>
  <c r="BN127" i="5"/>
  <c r="BO127" i="5" s="1"/>
  <c r="BN82" i="5"/>
  <c r="BO82" i="5" s="1"/>
  <c r="BN402" i="5"/>
  <c r="BO402" i="5" s="1"/>
  <c r="BN543" i="5"/>
  <c r="BO543" i="5" s="1"/>
  <c r="BN178" i="5"/>
  <c r="BO178" i="5" s="1"/>
  <c r="BN87" i="5"/>
  <c r="BO87" i="5" s="1"/>
  <c r="BN48" i="5"/>
  <c r="BO48" i="5" s="1"/>
  <c r="BN529" i="5"/>
  <c r="BO529" i="5" s="1"/>
  <c r="BN535" i="5"/>
  <c r="BO535" i="5" s="1"/>
  <c r="BN228" i="5"/>
  <c r="BO228" i="5" s="1"/>
  <c r="BN549" i="5"/>
  <c r="BO549" i="5" s="1"/>
  <c r="BN387" i="5"/>
  <c r="BO387" i="5" s="1"/>
  <c r="BN340" i="5"/>
  <c r="BO340" i="5" s="1"/>
  <c r="BN367" i="5"/>
  <c r="BO367" i="5" s="1"/>
  <c r="BN428" i="5"/>
  <c r="BO428" i="5" s="1"/>
  <c r="BN168" i="5"/>
  <c r="BO168" i="5" s="1"/>
  <c r="BN294" i="5"/>
  <c r="BO294" i="5" s="1"/>
  <c r="BN371" i="5"/>
  <c r="BO371" i="5" s="1"/>
  <c r="BN429" i="5"/>
  <c r="BO429" i="5" s="1"/>
  <c r="BN42" i="5"/>
  <c r="BO42" i="5" s="1"/>
  <c r="BN195" i="5"/>
  <c r="BO195" i="5" s="1"/>
  <c r="BN275" i="5"/>
  <c r="BO275" i="5" s="1"/>
  <c r="BN423" i="5"/>
  <c r="BO423" i="5" s="1"/>
  <c r="BN92" i="5"/>
  <c r="BO92" i="5" s="1"/>
  <c r="BN461" i="5"/>
  <c r="BO461" i="5" s="1"/>
  <c r="BN253" i="5"/>
  <c r="BO253" i="5" s="1"/>
  <c r="BN232" i="5"/>
  <c r="BO232" i="5" s="1"/>
  <c r="BN411" i="5"/>
  <c r="BO411" i="5" s="1"/>
  <c r="BN299" i="5"/>
  <c r="BO299" i="5" s="1"/>
  <c r="BN483" i="5"/>
  <c r="BO483" i="5" s="1"/>
  <c r="BN415" i="5"/>
  <c r="BO415" i="5" s="1"/>
  <c r="BN104" i="5"/>
  <c r="BO104" i="5" s="1"/>
  <c r="BI41" i="5"/>
  <c r="BN158" i="5"/>
  <c r="BO158" i="5" s="1"/>
  <c r="BN323" i="5"/>
  <c r="BO323" i="5" s="1"/>
  <c r="BN314" i="5"/>
  <c r="BO314" i="5" s="1"/>
  <c r="BN151" i="5"/>
  <c r="BO151" i="5" s="1"/>
  <c r="BN290" i="5"/>
  <c r="BO290" i="5" s="1"/>
  <c r="BN64" i="5"/>
  <c r="BO64" i="5" s="1"/>
  <c r="BN68" i="5"/>
  <c r="BO68" i="5" s="1"/>
  <c r="BN100" i="5"/>
  <c r="BO100" i="5" s="1"/>
  <c r="BN409" i="5"/>
  <c r="BO409" i="5" s="1"/>
  <c r="BN115" i="5"/>
  <c r="BO115" i="5" s="1"/>
  <c r="BN349" i="5"/>
  <c r="BO349" i="5" s="1"/>
  <c r="BN47" i="5"/>
  <c r="BO47" i="5" s="1"/>
  <c r="BN451" i="5"/>
  <c r="BO451" i="5" s="1"/>
  <c r="BN388" i="5"/>
  <c r="BO388" i="5" s="1"/>
  <c r="BN56" i="5"/>
  <c r="BO56" i="5" s="1"/>
  <c r="BN125" i="5"/>
  <c r="BO125" i="5" s="1"/>
  <c r="BN152" i="5"/>
  <c r="BO152" i="5" s="1"/>
  <c r="BN433" i="5"/>
  <c r="BO433" i="5" s="1"/>
  <c r="BN331" i="5"/>
  <c r="BO331" i="5" s="1"/>
  <c r="BN121" i="5"/>
  <c r="BO121" i="5" s="1"/>
  <c r="BN108" i="5"/>
  <c r="BO108" i="5" s="1"/>
  <c r="BN211" i="5"/>
  <c r="BO211" i="5" s="1"/>
  <c r="BN260" i="5"/>
  <c r="BO260" i="5" s="1"/>
  <c r="BN46" i="5"/>
  <c r="BO46" i="5" s="1"/>
  <c r="BN397" i="5"/>
  <c r="BO397" i="5" s="1"/>
  <c r="BN264" i="5"/>
  <c r="BO264" i="5" s="1"/>
  <c r="BN459" i="5"/>
  <c r="BO459" i="5" s="1"/>
  <c r="BN71" i="5"/>
  <c r="BO71" i="5" s="1"/>
  <c r="BN557" i="5"/>
  <c r="BO557" i="5" s="1"/>
  <c r="BN453" i="5"/>
  <c r="BO453" i="5" s="1"/>
  <c r="BJ354" i="5"/>
  <c r="BN506" i="5"/>
  <c r="BO506" i="5" s="1"/>
  <c r="BJ545" i="5"/>
  <c r="BN24" i="5"/>
  <c r="BO24" i="5" s="1"/>
  <c r="BN39" i="5"/>
  <c r="BO39" i="5" s="1"/>
  <c r="BN282" i="5"/>
  <c r="BO282" i="5" s="1"/>
  <c r="BN99" i="5"/>
  <c r="BO99" i="5" s="1"/>
  <c r="BJ383" i="5"/>
  <c r="BN509" i="5"/>
  <c r="BO509" i="5" s="1"/>
  <c r="BN391" i="5"/>
  <c r="BO391" i="5" s="1"/>
  <c r="BI504" i="5"/>
  <c r="BN240" i="5"/>
  <c r="BO240" i="5" s="1"/>
  <c r="BN554" i="5"/>
  <c r="BO554" i="5" s="1"/>
  <c r="BN144" i="5"/>
  <c r="BO144" i="5" s="1"/>
  <c r="BI256" i="5"/>
  <c r="BN382" i="5"/>
  <c r="BO382" i="5" s="1"/>
  <c r="BN52" i="5"/>
  <c r="BO52" i="5" s="1"/>
  <c r="BI230" i="5"/>
  <c r="BN35" i="5"/>
  <c r="BO35" i="5" s="1"/>
  <c r="BJ61" i="5"/>
  <c r="BN510" i="5"/>
  <c r="BO510" i="5" s="1"/>
  <c r="BN344" i="5"/>
  <c r="BO344" i="5" s="1"/>
  <c r="BN181" i="5"/>
  <c r="BO181" i="5" s="1"/>
  <c r="BN27" i="5"/>
  <c r="BO27" i="5" s="1"/>
  <c r="BN321" i="5"/>
  <c r="BO321" i="5" s="1"/>
  <c r="BN212" i="5"/>
  <c r="BO212" i="5" s="1"/>
  <c r="BN376" i="5"/>
  <c r="BO376" i="5" s="1"/>
  <c r="BN201" i="5"/>
  <c r="BO201" i="5" s="1"/>
  <c r="BJ42" i="5"/>
  <c r="BJ182" i="5"/>
  <c r="BI164" i="5"/>
  <c r="BI402" i="5"/>
  <c r="BN309" i="5"/>
  <c r="BO309" i="5" s="1"/>
  <c r="BN474" i="5"/>
  <c r="BO474" i="5" s="1"/>
  <c r="BN263" i="5"/>
  <c r="BO263" i="5" s="1"/>
  <c r="BN497" i="5"/>
  <c r="BO497" i="5" s="1"/>
  <c r="BN76" i="5"/>
  <c r="BO76" i="5" s="1"/>
  <c r="BJ74" i="5"/>
  <c r="BN352" i="5"/>
  <c r="BO352" i="5" s="1"/>
  <c r="BN20" i="5"/>
  <c r="BO20" i="5" s="1"/>
  <c r="BN126" i="5"/>
  <c r="BO126" i="5" s="1"/>
  <c r="BN136" i="5"/>
  <c r="BO136" i="5" s="1"/>
  <c r="BI336" i="5"/>
  <c r="BJ337" i="5"/>
  <c r="BN545" i="5"/>
  <c r="BO545" i="5" s="1"/>
  <c r="BJ127" i="5"/>
  <c r="BI115" i="5"/>
  <c r="BI289" i="5"/>
  <c r="BJ149" i="5"/>
  <c r="BI297" i="5"/>
  <c r="BJ131" i="5"/>
  <c r="BN25" i="5"/>
  <c r="BO25" i="5" s="1"/>
  <c r="BJ68" i="5"/>
  <c r="BJ351" i="5"/>
  <c r="BJ167" i="5"/>
  <c r="BJ124" i="5"/>
  <c r="BJ282" i="5"/>
  <c r="BJ428" i="5"/>
  <c r="BJ219" i="5"/>
  <c r="BI535" i="5"/>
  <c r="BI557" i="5"/>
  <c r="BJ59" i="5"/>
  <c r="BI494" i="5"/>
  <c r="BJ57" i="5"/>
  <c r="BI321" i="5"/>
  <c r="BF9" i="5"/>
  <c r="BK9" i="5" s="1"/>
  <c r="BI396" i="5"/>
  <c r="BJ477" i="5"/>
  <c r="BI507" i="5"/>
  <c r="BI24" i="5"/>
  <c r="BI555" i="5"/>
  <c r="BJ90" i="5"/>
  <c r="BI262" i="5"/>
  <c r="BN482" i="5"/>
  <c r="BO482" i="5" s="1"/>
  <c r="BN265" i="5"/>
  <c r="BO265" i="5" s="1"/>
  <c r="BJ424" i="5"/>
  <c r="BI424" i="5"/>
  <c r="BI522" i="5"/>
  <c r="BJ522" i="5"/>
  <c r="BJ144" i="5"/>
  <c r="BI144" i="5"/>
  <c r="BJ168" i="5"/>
  <c r="BI168" i="5"/>
  <c r="BI263" i="5"/>
  <c r="BJ263" i="5"/>
  <c r="BI454" i="5"/>
  <c r="BJ454" i="5"/>
  <c r="BJ276" i="5"/>
  <c r="BI276" i="5"/>
  <c r="BJ536" i="5"/>
  <c r="BI536" i="5"/>
  <c r="BJ198" i="5"/>
  <c r="BI198" i="5"/>
  <c r="BJ411" i="5"/>
  <c r="BI411" i="5"/>
  <c r="BI234" i="5"/>
  <c r="BJ234" i="5"/>
  <c r="BI335" i="5"/>
  <c r="BJ335" i="5"/>
  <c r="BJ482" i="5"/>
  <c r="BI482" i="5"/>
  <c r="BJ180" i="5"/>
  <c r="BI180" i="5"/>
  <c r="BJ32" i="5"/>
  <c r="BI32" i="5"/>
  <c r="BI52" i="5"/>
  <c r="BJ52" i="5"/>
  <c r="BI273" i="5"/>
  <c r="BJ273" i="5"/>
  <c r="BI274" i="5"/>
  <c r="BJ274" i="5"/>
  <c r="BI502" i="5"/>
  <c r="BJ502" i="5"/>
  <c r="BJ505" i="5"/>
  <c r="BI505" i="5"/>
  <c r="BJ103" i="5"/>
  <c r="BI103" i="5"/>
  <c r="BJ529" i="5"/>
  <c r="BI529" i="5"/>
  <c r="BJ156" i="5"/>
  <c r="BI156" i="5"/>
  <c r="BJ356" i="5"/>
  <c r="BI356" i="5"/>
  <c r="BJ293" i="5"/>
  <c r="BI293" i="5"/>
  <c r="BJ509" i="5"/>
  <c r="BI509" i="5"/>
  <c r="BJ226" i="5"/>
  <c r="BI226" i="5"/>
  <c r="BJ130" i="5"/>
  <c r="BI130" i="5"/>
  <c r="BI501" i="5"/>
  <c r="BJ501" i="5"/>
  <c r="BI310" i="5"/>
  <c r="BJ310" i="5"/>
  <c r="BI346" i="5"/>
  <c r="BJ346" i="5"/>
  <c r="BJ525" i="5"/>
  <c r="BI525" i="5"/>
  <c r="BJ338" i="5"/>
  <c r="BI338" i="5"/>
  <c r="BI171" i="5"/>
  <c r="BJ171" i="5"/>
  <c r="BI476" i="5"/>
  <c r="BJ476" i="5"/>
  <c r="BI112" i="5"/>
  <c r="BJ112" i="5"/>
  <c r="BJ394" i="5"/>
  <c r="BI394" i="5"/>
  <c r="BJ209" i="5"/>
  <c r="BI209" i="5"/>
  <c r="BJ278" i="5"/>
  <c r="BI278" i="5"/>
  <c r="BJ243" i="5"/>
  <c r="BI243" i="5"/>
  <c r="BJ113" i="5"/>
  <c r="BI113" i="5"/>
  <c r="BJ49" i="5"/>
  <c r="BI49" i="5"/>
  <c r="BI318" i="5"/>
  <c r="BJ318" i="5"/>
  <c r="BJ30" i="5"/>
  <c r="BI30" i="5"/>
  <c r="BI412" i="5"/>
  <c r="BJ412" i="5"/>
  <c r="BI334" i="5"/>
  <c r="BJ334" i="5"/>
  <c r="BJ360" i="5"/>
  <c r="BI360" i="5"/>
  <c r="BI474" i="5"/>
  <c r="BJ474" i="5"/>
  <c r="BI50" i="5"/>
  <c r="BJ50" i="5"/>
  <c r="BI389" i="5"/>
  <c r="BJ389" i="5"/>
  <c r="BJ154" i="5"/>
  <c r="BI154" i="5"/>
  <c r="BI261" i="5"/>
  <c r="BJ261" i="5"/>
  <c r="BJ392" i="5"/>
  <c r="BI392" i="5"/>
  <c r="BI84" i="5"/>
  <c r="BJ84" i="5"/>
  <c r="BI265" i="5"/>
  <c r="BJ265" i="5"/>
  <c r="BJ40" i="5"/>
  <c r="BI40" i="5"/>
  <c r="BJ532" i="5"/>
  <c r="BI532" i="5"/>
  <c r="BI28" i="5"/>
  <c r="BJ28" i="5"/>
  <c r="BI405" i="5"/>
  <c r="BJ405" i="5"/>
  <c r="BJ514" i="5"/>
  <c r="BI514" i="5"/>
  <c r="BI178" i="5"/>
  <c r="BJ178" i="5"/>
  <c r="BI333" i="5"/>
  <c r="BJ333" i="5"/>
  <c r="BI429" i="5"/>
  <c r="BJ429" i="5"/>
  <c r="BJ206" i="5"/>
  <c r="BI206" i="5"/>
  <c r="BI114" i="5"/>
  <c r="BJ114" i="5"/>
  <c r="BJ110" i="5"/>
  <c r="BI110" i="5"/>
  <c r="BI123" i="5"/>
  <c r="BJ123" i="5"/>
  <c r="BJ497" i="5"/>
  <c r="BI497" i="5"/>
  <c r="BI221" i="5"/>
  <c r="BJ221" i="5"/>
  <c r="BJ95" i="5"/>
  <c r="BI95" i="5"/>
  <c r="BJ51" i="5"/>
  <c r="BI51" i="5"/>
  <c r="BI196" i="5"/>
  <c r="BJ196" i="5"/>
  <c r="BJ368" i="5"/>
  <c r="BI368" i="5"/>
  <c r="BJ419" i="5"/>
  <c r="BI419" i="5"/>
  <c r="BI327" i="5"/>
  <c r="BJ327" i="5"/>
  <c r="BJ71" i="5"/>
  <c r="BI71" i="5"/>
  <c r="BI512" i="5"/>
  <c r="BJ512" i="5"/>
  <c r="BJ544" i="5"/>
  <c r="BI544" i="5"/>
  <c r="BJ470" i="5"/>
  <c r="BI470" i="5"/>
  <c r="BJ63" i="5"/>
  <c r="BI63" i="5"/>
  <c r="BJ185" i="5"/>
  <c r="BI185" i="5"/>
  <c r="BJ25" i="5"/>
  <c r="BI25" i="5"/>
  <c r="BJ427" i="5"/>
  <c r="BI427" i="5"/>
  <c r="BJ9" i="5"/>
  <c r="BI9" i="5"/>
  <c r="BI108" i="5"/>
  <c r="BJ108" i="5"/>
  <c r="BI397" i="5"/>
  <c r="BJ397" i="5"/>
  <c r="BI491" i="5"/>
  <c r="BJ491" i="5"/>
  <c r="BI370" i="5"/>
  <c r="BJ370" i="5"/>
  <c r="BJ518" i="5"/>
  <c r="BI518" i="5"/>
  <c r="BI498" i="5"/>
  <c r="BJ498" i="5"/>
  <c r="BJ390" i="5"/>
  <c r="BI390" i="5"/>
  <c r="BI326" i="5"/>
  <c r="BJ326" i="5"/>
  <c r="BJ523" i="5"/>
  <c r="BI523" i="5"/>
  <c r="BI473" i="5"/>
  <c r="BJ473" i="5"/>
  <c r="BJ235" i="5"/>
  <c r="BI235" i="5"/>
  <c r="BI159" i="5"/>
  <c r="BJ159" i="5"/>
  <c r="BI486" i="5"/>
  <c r="BJ486" i="5"/>
  <c r="BJ202" i="5"/>
  <c r="BI202" i="5"/>
  <c r="BI117" i="5"/>
  <c r="BJ117" i="5"/>
  <c r="BJ23" i="5"/>
  <c r="BI23" i="5"/>
  <c r="BI192" i="5"/>
  <c r="BJ192" i="5"/>
  <c r="BJ20" i="5"/>
  <c r="BI20" i="5"/>
  <c r="BI463" i="5"/>
  <c r="BJ463" i="5"/>
  <c r="BJ453" i="5"/>
  <c r="BI453" i="5"/>
  <c r="BI548" i="5"/>
  <c r="BJ548" i="5"/>
  <c r="BI8" i="5"/>
  <c r="BJ8" i="5"/>
  <c r="BJ146" i="5"/>
  <c r="BI146" i="5"/>
  <c r="BJ528" i="5"/>
  <c r="BI528" i="5"/>
  <c r="BJ31" i="5"/>
  <c r="BI31" i="5"/>
  <c r="BJ99" i="5"/>
  <c r="BI99" i="5"/>
  <c r="BI332" i="5"/>
  <c r="BJ332" i="5"/>
  <c r="BJ538" i="5"/>
  <c r="BI538" i="5"/>
  <c r="BI467" i="5"/>
  <c r="BJ467" i="5"/>
  <c r="BJ330" i="5"/>
  <c r="BI330" i="5"/>
  <c r="BJ309" i="5"/>
  <c r="BI309" i="5"/>
  <c r="BJ483" i="5"/>
  <c r="BI483" i="5"/>
  <c r="BJ128" i="5"/>
  <c r="BI128" i="5"/>
  <c r="BI437" i="5"/>
  <c r="BJ437" i="5"/>
  <c r="BJ373" i="5"/>
  <c r="BI373" i="5"/>
  <c r="BJ374" i="5"/>
  <c r="BI374" i="5"/>
  <c r="BI239" i="5"/>
  <c r="BJ239" i="5"/>
  <c r="BJ524" i="5"/>
  <c r="BI524" i="5"/>
  <c r="BJ7" i="5"/>
  <c r="BI7" i="5"/>
  <c r="BJ343" i="5"/>
  <c r="BI343" i="5"/>
  <c r="BI364" i="5"/>
  <c r="BJ364" i="5"/>
  <c r="BJ534" i="5"/>
  <c r="BI534" i="5"/>
  <c r="BI281" i="5"/>
  <c r="BJ281" i="5"/>
  <c r="BJ286" i="5"/>
  <c r="BI286" i="5"/>
  <c r="BJ143" i="5"/>
  <c r="BI143" i="5"/>
  <c r="BJ414" i="5"/>
  <c r="BI414" i="5"/>
  <c r="BJ510" i="5"/>
  <c r="BI510" i="5"/>
  <c r="BJ379" i="5"/>
  <c r="BI379" i="5"/>
  <c r="BI301" i="5"/>
  <c r="BJ301" i="5"/>
  <c r="BI102" i="5"/>
  <c r="BJ102" i="5"/>
  <c r="BI422" i="5"/>
  <c r="BJ422" i="5"/>
  <c r="BJ299" i="5"/>
  <c r="BI299" i="5"/>
  <c r="BJ166" i="5"/>
  <c r="BI166" i="5"/>
  <c r="BI490" i="5"/>
  <c r="BJ490" i="5"/>
  <c r="BJ13" i="5"/>
  <c r="BI13" i="5"/>
  <c r="BJ75" i="5"/>
  <c r="BI75" i="5"/>
  <c r="BJ150" i="5"/>
  <c r="BI150" i="5"/>
  <c r="BI93" i="5"/>
  <c r="BJ93" i="5"/>
  <c r="BI358" i="5"/>
  <c r="BJ358" i="5"/>
  <c r="BI136" i="5"/>
  <c r="BJ136" i="5"/>
  <c r="BJ558" i="5"/>
  <c r="BI558" i="5"/>
  <c r="BI294" i="5"/>
  <c r="BJ294" i="5"/>
  <c r="BJ526" i="5"/>
  <c r="BI526" i="5"/>
  <c r="BI365" i="5"/>
  <c r="BJ365" i="5"/>
  <c r="BJ268" i="5"/>
  <c r="BI268" i="5"/>
  <c r="BJ475" i="5"/>
  <c r="BI475" i="5"/>
  <c r="BI172" i="5"/>
  <c r="BJ172" i="5"/>
  <c r="BI253" i="5"/>
  <c r="BJ253" i="5"/>
  <c r="BJ232" i="5"/>
  <c r="BI232" i="5"/>
  <c r="BJ471" i="5"/>
  <c r="BI471" i="5"/>
  <c r="BI275" i="5"/>
  <c r="BJ275" i="5"/>
  <c r="BI183" i="5"/>
  <c r="BJ183" i="5"/>
  <c r="BI340" i="5"/>
  <c r="BJ340" i="5"/>
  <c r="BI147" i="5"/>
  <c r="BJ147" i="5"/>
  <c r="BI67" i="5"/>
  <c r="BJ67" i="5"/>
  <c r="BJ258" i="5"/>
  <c r="BI258" i="5"/>
  <c r="BJ199" i="5"/>
  <c r="BI199" i="5"/>
  <c r="BI173" i="5"/>
  <c r="BJ173" i="5"/>
  <c r="BJ78" i="5"/>
  <c r="BI78" i="5"/>
  <c r="BJ464" i="5"/>
  <c r="BI464" i="5"/>
  <c r="BI92" i="5"/>
  <c r="BJ92" i="5"/>
  <c r="BJ407" i="5"/>
  <c r="BI407" i="5"/>
  <c r="BJ125" i="5"/>
  <c r="BI125" i="5"/>
  <c r="BJ553" i="5"/>
  <c r="BI553" i="5"/>
  <c r="BJ347" i="5"/>
  <c r="BI347" i="5"/>
  <c r="BI29" i="5"/>
  <c r="BJ29" i="5"/>
  <c r="BI302" i="5"/>
  <c r="BJ302" i="5"/>
  <c r="BI145" i="5"/>
  <c r="BJ145" i="5"/>
  <c r="BJ64" i="5"/>
  <c r="BI64" i="5"/>
  <c r="BI388" i="5"/>
  <c r="BJ388" i="5"/>
  <c r="BJ546" i="5"/>
  <c r="BI546" i="5"/>
  <c r="BJ240" i="5"/>
  <c r="BI240" i="5"/>
  <c r="BI461" i="5"/>
  <c r="BJ461" i="5"/>
  <c r="BJ225" i="5"/>
  <c r="BI225" i="5"/>
  <c r="BI430" i="5"/>
  <c r="BJ430" i="5"/>
  <c r="BI542" i="5"/>
  <c r="BJ542" i="5"/>
  <c r="BJ549" i="5"/>
  <c r="BI549" i="5"/>
  <c r="BI460" i="5"/>
  <c r="BJ460" i="5"/>
  <c r="BJ452" i="5"/>
  <c r="BI452" i="5"/>
  <c r="BI434" i="5"/>
  <c r="BJ434" i="5"/>
  <c r="BJ141" i="5"/>
  <c r="BI141" i="5"/>
  <c r="BI140" i="5"/>
  <c r="BJ140" i="5"/>
  <c r="BI205" i="5"/>
  <c r="BJ205" i="5"/>
  <c r="BI109" i="5"/>
  <c r="BJ109" i="5"/>
  <c r="BI174" i="5"/>
  <c r="BJ174" i="5"/>
  <c r="BJ76" i="5"/>
  <c r="BI76" i="5"/>
  <c r="BI106" i="5"/>
  <c r="BJ106" i="5"/>
  <c r="BJ246" i="5"/>
  <c r="BI246" i="5"/>
  <c r="BJ255" i="5"/>
  <c r="BI255" i="5"/>
  <c r="BI98" i="5"/>
  <c r="BJ98" i="5"/>
  <c r="BJ134" i="5"/>
  <c r="BI134" i="5"/>
  <c r="BI207" i="5"/>
  <c r="BJ207" i="5"/>
  <c r="BI404" i="5"/>
  <c r="BJ404" i="5"/>
  <c r="BI371" i="5"/>
  <c r="BJ371" i="5"/>
  <c r="BJ118" i="5"/>
  <c r="BI118" i="5"/>
  <c r="BI493" i="5"/>
  <c r="BJ493" i="5"/>
  <c r="BJ204" i="5"/>
  <c r="BI204" i="5"/>
  <c r="BJ496" i="5"/>
  <c r="BI496" i="5"/>
  <c r="BJ121" i="5"/>
  <c r="BI121" i="5"/>
  <c r="BJ380" i="5"/>
  <c r="BI380" i="5"/>
  <c r="BJ53" i="5"/>
  <c r="BI53" i="5"/>
  <c r="BI511" i="5"/>
  <c r="BJ511" i="5"/>
  <c r="BJ329" i="5"/>
  <c r="BI329" i="5"/>
  <c r="BI81" i="5"/>
  <c r="BJ81" i="5"/>
  <c r="BI271" i="5"/>
  <c r="BJ271" i="5"/>
  <c r="BI543" i="5"/>
  <c r="BJ543" i="5"/>
  <c r="BJ94" i="5"/>
  <c r="BI94" i="5"/>
  <c r="BJ132" i="5"/>
  <c r="BI132" i="5"/>
  <c r="BJ160" i="5"/>
  <c r="BI160" i="5"/>
  <c r="BI21" i="5"/>
  <c r="BJ21" i="5"/>
  <c r="BJ410" i="5"/>
  <c r="BI410" i="5"/>
  <c r="BI513" i="5"/>
  <c r="BJ513" i="5"/>
  <c r="BJ406" i="5"/>
  <c r="BI406" i="5"/>
  <c r="BI242" i="5"/>
  <c r="BJ242" i="5"/>
  <c r="BJ506" i="5"/>
  <c r="BI506" i="5"/>
  <c r="BJ440" i="5"/>
  <c r="BI440" i="5"/>
  <c r="BI425" i="5"/>
  <c r="BJ425" i="5"/>
  <c r="BI46" i="5"/>
  <c r="BJ46" i="5"/>
  <c r="BI39" i="5"/>
  <c r="BJ39" i="5"/>
  <c r="BI33" i="5"/>
  <c r="BJ33" i="5"/>
  <c r="BI249" i="5"/>
  <c r="BJ249" i="5"/>
  <c r="BI129" i="5"/>
  <c r="BJ129" i="5"/>
  <c r="BJ251" i="5"/>
  <c r="BI251" i="5"/>
  <c r="BJ139" i="5"/>
  <c r="BI139" i="5"/>
  <c r="BJ87" i="5"/>
  <c r="BI87" i="5"/>
  <c r="BJ142" i="5"/>
  <c r="BI142" i="5"/>
  <c r="BI438" i="5"/>
  <c r="BJ438" i="5"/>
  <c r="BJ211" i="5"/>
  <c r="BI211" i="5"/>
  <c r="BJ285" i="5"/>
  <c r="BI285" i="5"/>
  <c r="BI54" i="5"/>
  <c r="BJ54" i="5"/>
  <c r="BI200" i="5"/>
  <c r="BJ200" i="5"/>
  <c r="BJ163" i="5"/>
  <c r="BI163" i="5"/>
  <c r="BJ244" i="5"/>
  <c r="BI244" i="5"/>
  <c r="BI465" i="5"/>
  <c r="BJ465" i="5"/>
  <c r="BJ456" i="5"/>
  <c r="BI456" i="5"/>
  <c r="BI296" i="5"/>
  <c r="BJ296" i="5"/>
  <c r="BI97" i="5"/>
  <c r="BJ97" i="5"/>
  <c r="BJ323" i="5"/>
  <c r="BI323" i="5"/>
  <c r="BI487" i="5"/>
  <c r="BJ487" i="5"/>
  <c r="BJ111" i="5"/>
  <c r="BI111" i="5"/>
  <c r="BI295" i="5"/>
  <c r="BJ295" i="5"/>
  <c r="BJ133" i="5"/>
  <c r="BI133" i="5"/>
  <c r="BI223" i="5"/>
  <c r="BJ223" i="5"/>
  <c r="BI485" i="5"/>
  <c r="BJ485" i="5"/>
  <c r="BI399" i="5"/>
  <c r="BJ399" i="5"/>
  <c r="BI381" i="5"/>
  <c r="BJ381" i="5"/>
  <c r="BI539" i="5"/>
  <c r="BJ539" i="5"/>
  <c r="BI237" i="5"/>
  <c r="BJ237" i="5"/>
  <c r="BJ257" i="5"/>
  <c r="BI257" i="5"/>
  <c r="BJ339" i="5"/>
  <c r="BI339" i="5"/>
  <c r="BI308" i="5"/>
  <c r="BJ308" i="5"/>
  <c r="BJ56" i="5"/>
  <c r="BI56" i="5"/>
  <c r="BJ450" i="5"/>
  <c r="BI450" i="5"/>
  <c r="BI58" i="5"/>
  <c r="BJ58" i="5"/>
  <c r="BI287" i="5"/>
  <c r="BJ287" i="5"/>
  <c r="BI190" i="5"/>
  <c r="BJ190" i="5"/>
  <c r="BI96" i="5"/>
  <c r="BJ96" i="5"/>
  <c r="BJ478" i="5"/>
  <c r="BI478" i="5"/>
  <c r="BI515" i="5"/>
  <c r="BJ515" i="5"/>
  <c r="BJ508" i="5"/>
  <c r="BI508" i="5"/>
  <c r="BI245" i="5"/>
  <c r="BJ245" i="5"/>
  <c r="BJ303" i="5"/>
  <c r="BI303" i="5"/>
  <c r="BJ269" i="5"/>
  <c r="BI269" i="5"/>
  <c r="BJ378" i="5"/>
  <c r="BI378" i="5"/>
  <c r="BI217" i="5"/>
  <c r="BJ217" i="5"/>
  <c r="BJ398" i="5"/>
  <c r="BI398" i="5"/>
  <c r="BI215" i="5"/>
  <c r="BJ215" i="5"/>
  <c r="BI519" i="5"/>
  <c r="BJ519" i="5"/>
  <c r="BI375" i="5"/>
  <c r="BJ375" i="5"/>
  <c r="BJ70" i="5"/>
  <c r="BI70" i="5"/>
  <c r="BJ516" i="5"/>
  <c r="BI516" i="5"/>
  <c r="BJ107" i="5"/>
  <c r="BI107" i="5"/>
  <c r="BJ66" i="5"/>
  <c r="BI66" i="5"/>
  <c r="BJ385" i="5"/>
  <c r="BI385" i="5"/>
  <c r="BI220" i="5"/>
  <c r="BJ220" i="5"/>
  <c r="BI189" i="5"/>
  <c r="BJ189" i="5"/>
  <c r="BI247" i="5"/>
  <c r="BJ247" i="5"/>
  <c r="BJ350" i="5"/>
  <c r="BI350" i="5"/>
  <c r="BI91" i="5"/>
  <c r="BJ91" i="5"/>
  <c r="BI222" i="5"/>
  <c r="BJ222" i="5"/>
  <c r="BI320" i="5"/>
  <c r="BJ320" i="5"/>
  <c r="BJ179" i="5"/>
  <c r="BI179" i="5"/>
  <c r="BJ531" i="5"/>
  <c r="BI531" i="5"/>
  <c r="BJ317" i="5"/>
  <c r="BI317" i="5"/>
  <c r="BI34" i="5"/>
  <c r="BJ34" i="5"/>
  <c r="BI324" i="5"/>
  <c r="BJ324" i="5"/>
  <c r="BI554" i="5"/>
  <c r="BJ554" i="5"/>
  <c r="BI455" i="5"/>
  <c r="BJ455" i="5"/>
  <c r="BJ469" i="5"/>
  <c r="BI469" i="5"/>
  <c r="BI345" i="5"/>
  <c r="BJ345" i="5"/>
  <c r="BJ312" i="5"/>
  <c r="BI312" i="5"/>
  <c r="BJ277" i="5"/>
  <c r="BI277" i="5"/>
  <c r="BI466" i="5"/>
  <c r="BJ466" i="5"/>
  <c r="BJ305" i="5"/>
  <c r="BI305" i="5"/>
  <c r="BJ559" i="5"/>
  <c r="BI559" i="5"/>
  <c r="BJ352" i="5"/>
  <c r="BI352" i="5"/>
  <c r="BI283" i="5"/>
  <c r="BJ283" i="5"/>
  <c r="BJ300" i="5"/>
  <c r="BI300" i="5"/>
  <c r="BI22" i="5"/>
  <c r="BJ22" i="5"/>
  <c r="BI408" i="5"/>
  <c r="BJ408" i="5"/>
  <c r="BJ439" i="5"/>
  <c r="BI439" i="5"/>
  <c r="BJ135" i="5"/>
  <c r="BI135" i="5"/>
  <c r="BJ448" i="5"/>
  <c r="BI448" i="5"/>
  <c r="BI344" i="5"/>
  <c r="BJ344" i="5"/>
  <c r="BI384" i="5"/>
  <c r="BJ384" i="5"/>
  <c r="BJ157" i="5"/>
  <c r="BI157" i="5"/>
  <c r="BJ11" i="5"/>
  <c r="BI11" i="5"/>
  <c r="BJ290" i="5"/>
  <c r="BI290" i="5"/>
  <c r="BI27" i="5"/>
  <c r="BJ27" i="5"/>
  <c r="BI120" i="5"/>
  <c r="BJ120" i="5"/>
  <c r="BI416" i="5"/>
  <c r="BJ416" i="5"/>
  <c r="BJ556" i="5"/>
  <c r="BI556" i="5"/>
  <c r="BI82" i="5"/>
  <c r="BJ82" i="5"/>
  <c r="BJ433" i="5"/>
  <c r="BI433" i="5"/>
  <c r="BJ212" i="5"/>
  <c r="BI212" i="5"/>
  <c r="BI435" i="5"/>
  <c r="BJ435" i="5"/>
  <c r="BJ342" i="5"/>
  <c r="BI342" i="5"/>
  <c r="BI521" i="5"/>
  <c r="BJ521" i="5"/>
  <c r="BJ442" i="5"/>
  <c r="BI442" i="5"/>
  <c r="BJ284" i="5"/>
  <c r="BI284" i="5"/>
  <c r="BJ560" i="5"/>
  <c r="BI560" i="5"/>
  <c r="BJ187" i="5"/>
  <c r="BI187" i="5"/>
  <c r="BJ387" i="5"/>
  <c r="BI387" i="5"/>
  <c r="BI367" i="5"/>
  <c r="BJ367" i="5"/>
  <c r="BJ260" i="5"/>
  <c r="BI260" i="5"/>
  <c r="BI224" i="5"/>
  <c r="BJ224" i="5"/>
  <c r="BJ100" i="5"/>
  <c r="BI100" i="5"/>
  <c r="BJ540" i="5"/>
  <c r="BI540" i="5"/>
  <c r="BJ500" i="5"/>
  <c r="BI500" i="5"/>
  <c r="BJ550" i="5"/>
  <c r="BI550" i="5"/>
  <c r="BJ44" i="5"/>
  <c r="BI44" i="5"/>
  <c r="BJ417" i="5"/>
  <c r="BI417" i="5"/>
  <c r="BJ80" i="5"/>
  <c r="BI80" i="5"/>
  <c r="BJ400" i="5"/>
  <c r="BI400" i="5"/>
  <c r="BJ325" i="5"/>
  <c r="BI325" i="5"/>
  <c r="BI170" i="5"/>
  <c r="BJ170" i="5"/>
  <c r="BJ19" i="5"/>
  <c r="BI19" i="5"/>
  <c r="BI60" i="5"/>
  <c r="BJ60" i="5"/>
  <c r="BI409" i="5"/>
  <c r="BJ409" i="5"/>
  <c r="BI264" i="5"/>
  <c r="BJ264" i="5"/>
  <c r="BI298" i="5"/>
  <c r="BJ298" i="5"/>
  <c r="BI445" i="5"/>
  <c r="BJ445" i="5"/>
  <c r="BI201" i="5"/>
  <c r="BJ201" i="5"/>
  <c r="BI431" i="5"/>
  <c r="BJ431" i="5"/>
  <c r="BJ158" i="5"/>
  <c r="BI158" i="5"/>
  <c r="BJ73" i="5"/>
  <c r="BI73" i="5"/>
  <c r="BJ213" i="5"/>
  <c r="BI213" i="5"/>
  <c r="BI418" i="5"/>
  <c r="BJ418" i="5"/>
  <c r="BJ26" i="5"/>
  <c r="BI26" i="5"/>
  <c r="BJ85" i="5"/>
  <c r="BI85" i="5"/>
  <c r="BI155" i="5"/>
  <c r="BJ155" i="5"/>
  <c r="BJ472" i="5"/>
  <c r="BI472" i="5"/>
  <c r="BJ69" i="5"/>
  <c r="BI69" i="5"/>
  <c r="BJ270" i="5"/>
  <c r="BI270" i="5"/>
  <c r="BI376" i="5"/>
  <c r="BJ376" i="5"/>
  <c r="BI184" i="5"/>
  <c r="BJ184" i="5"/>
  <c r="BI527" i="5"/>
  <c r="BJ527" i="5"/>
  <c r="BI218" i="5"/>
  <c r="BJ218" i="5"/>
  <c r="BI353" i="5"/>
  <c r="BJ353" i="5"/>
  <c r="BI229" i="5"/>
  <c r="BJ229" i="5"/>
  <c r="BI37" i="5"/>
  <c r="BJ37" i="5"/>
  <c r="BJ530" i="5"/>
  <c r="BI530" i="5"/>
  <c r="BJ315" i="5"/>
  <c r="BI315" i="5"/>
  <c r="BJ231" i="5"/>
  <c r="BI231" i="5"/>
  <c r="BI377" i="5"/>
  <c r="BJ377" i="5"/>
  <c r="BI216" i="5"/>
  <c r="BJ216" i="5"/>
  <c r="BI43" i="5"/>
  <c r="BJ43" i="5"/>
  <c r="BJ195" i="5"/>
  <c r="BI195" i="5"/>
  <c r="BJ86" i="5"/>
  <c r="BI86" i="5"/>
  <c r="BI492" i="5"/>
  <c r="BJ492" i="5"/>
  <c r="BI313" i="5"/>
  <c r="BJ313" i="5"/>
  <c r="BI248" i="5"/>
  <c r="BJ248" i="5"/>
  <c r="BJ319" i="5"/>
  <c r="BI319" i="5"/>
  <c r="BJ38" i="5"/>
  <c r="BI38" i="5"/>
  <c r="BJ119" i="5"/>
  <c r="BI119" i="5"/>
  <c r="BI48" i="5"/>
  <c r="BJ48" i="5"/>
  <c r="BJ104" i="5"/>
  <c r="BI104" i="5"/>
  <c r="BI520" i="5"/>
  <c r="BJ520" i="5"/>
  <c r="BI162" i="5"/>
  <c r="BJ162" i="5"/>
  <c r="BJ488" i="5"/>
  <c r="BI488" i="5"/>
  <c r="BI272" i="5"/>
  <c r="BJ272" i="5"/>
  <c r="BI306" i="5"/>
  <c r="BJ306" i="5"/>
  <c r="BI267" i="5"/>
  <c r="BJ267" i="5"/>
  <c r="BI359" i="5"/>
  <c r="BJ359" i="5"/>
  <c r="BJ186" i="5"/>
  <c r="BI186" i="5"/>
  <c r="BJ62" i="5"/>
  <c r="BI62" i="5"/>
  <c r="BJ314" i="5"/>
  <c r="BI314" i="5"/>
  <c r="BJ122" i="5"/>
  <c r="BI122" i="5"/>
  <c r="BJ328" i="5"/>
  <c r="BI328" i="5"/>
  <c r="BI105" i="5"/>
  <c r="BJ105" i="5"/>
  <c r="BI266" i="5"/>
  <c r="BJ266" i="5"/>
  <c r="BJ12" i="5"/>
  <c r="BI12" i="5"/>
  <c r="BI426" i="5"/>
  <c r="BJ426" i="5"/>
  <c r="BJ79" i="5"/>
  <c r="BI79" i="5"/>
  <c r="BJ341" i="5"/>
  <c r="BI341" i="5"/>
  <c r="BI481" i="5"/>
  <c r="BJ481" i="5"/>
  <c r="BJ292" i="5"/>
  <c r="BI292" i="5"/>
  <c r="BJ45" i="5"/>
  <c r="BI45" i="5"/>
  <c r="BJ459" i="5"/>
  <c r="BI459" i="5"/>
  <c r="BJ462" i="5"/>
  <c r="BI462" i="5"/>
  <c r="BJ77" i="5"/>
  <c r="BI77" i="5"/>
  <c r="BJ138" i="5"/>
  <c r="BI138" i="5"/>
  <c r="BI331" i="5"/>
  <c r="BJ331" i="5"/>
  <c r="BJ401" i="5"/>
  <c r="BI401" i="5"/>
  <c r="BJ203" i="5"/>
  <c r="BI203" i="5"/>
  <c r="BJ421" i="5"/>
  <c r="BI421" i="5"/>
  <c r="BJ361" i="5"/>
  <c r="BI361" i="5"/>
  <c r="BI304" i="5"/>
  <c r="BJ304" i="5"/>
  <c r="BJ403" i="5"/>
  <c r="BI403" i="5"/>
  <c r="BJ161" i="5"/>
  <c r="BI161" i="5"/>
  <c r="BJ65" i="5"/>
  <c r="BI65" i="5"/>
  <c r="BJ191" i="5"/>
  <c r="BI191" i="5"/>
  <c r="BJ89" i="5"/>
  <c r="BI89" i="5"/>
  <c r="BJ72" i="5"/>
  <c r="BI72" i="5"/>
  <c r="BJ188" i="5"/>
  <c r="BI188" i="5"/>
  <c r="BI382" i="5"/>
  <c r="BJ382" i="5"/>
  <c r="BJ10" i="5"/>
  <c r="BI10" i="5"/>
  <c r="BJ151" i="5"/>
  <c r="BI151" i="5"/>
  <c r="BI210" i="5"/>
  <c r="BJ210" i="5"/>
  <c r="BI420" i="5"/>
  <c r="BJ420" i="5"/>
  <c r="BJ152" i="5"/>
  <c r="BI152" i="5"/>
  <c r="BJ254" i="5"/>
  <c r="BI254" i="5"/>
  <c r="BI386" i="5"/>
  <c r="BJ386" i="5"/>
  <c r="BI47" i="5"/>
  <c r="BJ47" i="5"/>
  <c r="BI316" i="5"/>
  <c r="BJ316" i="5"/>
  <c r="BI552" i="5"/>
  <c r="BJ552" i="5"/>
  <c r="BI279" i="5"/>
  <c r="BJ279" i="5"/>
  <c r="BI415" i="5"/>
  <c r="BJ415" i="5"/>
  <c r="BI447" i="5"/>
  <c r="BJ447" i="5"/>
  <c r="BJ55" i="5"/>
  <c r="BI55" i="5"/>
  <c r="BI479" i="5"/>
  <c r="BJ479" i="5"/>
  <c r="BJ372" i="5"/>
  <c r="BI372" i="5"/>
  <c r="BJ436" i="5"/>
  <c r="BI436" i="5"/>
  <c r="BJ311" i="5"/>
  <c r="BI311" i="5"/>
  <c r="BI252" i="5"/>
  <c r="BJ252" i="5"/>
  <c r="BJ227" i="5"/>
  <c r="BI227" i="5"/>
  <c r="BI547" i="5"/>
  <c r="BJ547" i="5"/>
  <c r="BI36" i="5"/>
  <c r="BJ36" i="5"/>
  <c r="BI495" i="5"/>
  <c r="BJ495" i="5"/>
  <c r="BJ194" i="5"/>
  <c r="BI194" i="5"/>
  <c r="BI393" i="5"/>
  <c r="BJ393" i="5"/>
  <c r="BJ355" i="5"/>
  <c r="BI355" i="5"/>
  <c r="BJ228" i="5"/>
  <c r="BI228" i="5"/>
  <c r="BJ489" i="5"/>
  <c r="BI489" i="5"/>
  <c r="BJ348" i="5"/>
  <c r="BI348" i="5"/>
  <c r="BI181" i="5"/>
  <c r="BJ181" i="5"/>
  <c r="BJ288" i="5"/>
  <c r="BI288" i="5"/>
  <c r="BJ423" i="5"/>
  <c r="BI423" i="5"/>
  <c r="BI241" i="5"/>
  <c r="BJ241" i="5"/>
  <c r="BJ451" i="5"/>
  <c r="BI451" i="5"/>
  <c r="BI238" i="5"/>
  <c r="BJ238" i="5"/>
  <c r="BI233" i="5"/>
  <c r="BJ233" i="5"/>
  <c r="BJ169" i="5"/>
  <c r="BI169" i="5"/>
  <c r="BJ449" i="5"/>
  <c r="BI449" i="5"/>
  <c r="BI175" i="5"/>
  <c r="BJ175" i="5"/>
  <c r="BJ88" i="5"/>
  <c r="BI88" i="5"/>
  <c r="BJ432" i="5"/>
  <c r="BI432" i="5"/>
  <c r="BJ357" i="5"/>
  <c r="BI357" i="5"/>
  <c r="BI259" i="5"/>
  <c r="BJ259" i="5"/>
  <c r="BI446" i="5"/>
  <c r="BJ446" i="5"/>
  <c r="BJ458" i="5"/>
  <c r="BI458" i="5"/>
  <c r="BJ177" i="5"/>
  <c r="BI177" i="5"/>
  <c r="BJ153" i="5"/>
  <c r="BI153" i="5"/>
  <c r="BJ126" i="5"/>
  <c r="BI126" i="5"/>
  <c r="BJ137" i="5"/>
  <c r="BI137" i="5"/>
  <c r="BI291" i="5"/>
  <c r="BJ291" i="5"/>
  <c r="BJ441" i="5"/>
  <c r="BI441" i="5"/>
  <c r="BI517" i="5"/>
  <c r="BJ517" i="5"/>
  <c r="BJ480" i="5"/>
  <c r="BI480" i="5"/>
  <c r="BI551" i="5"/>
  <c r="BJ551" i="5"/>
  <c r="BI444" i="5"/>
  <c r="BJ444" i="5"/>
  <c r="BI503" i="5"/>
  <c r="BJ503" i="5"/>
  <c r="BJ366" i="5"/>
  <c r="BI366" i="5"/>
  <c r="BI236" i="5"/>
  <c r="BJ236" i="5"/>
  <c r="BJ362" i="5"/>
  <c r="BI362" i="5"/>
  <c r="BJ468" i="5"/>
  <c r="BI468" i="5"/>
  <c r="BJ193" i="5"/>
  <c r="BI193" i="5"/>
  <c r="BI533" i="5"/>
  <c r="BJ533" i="5"/>
  <c r="BJ176" i="5"/>
  <c r="BI176" i="5"/>
  <c r="AD7" i="5"/>
  <c r="BG7" i="5"/>
  <c r="BL7" i="5" s="1"/>
  <c r="AC7" i="5"/>
  <c r="BO12" i="5" l="1"/>
  <c r="D77" i="5" s="1"/>
  <c r="B77" i="5" s="1"/>
  <c r="A77" i="5" s="1"/>
  <c r="BO14" i="5"/>
  <c r="D78" i="5" s="1"/>
  <c r="B78" i="5" s="1"/>
  <c r="A78" i="5" s="1"/>
  <c r="BF7" i="5"/>
  <c r="BK7"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Lee, Eric</author>
    <author>Schwarz, Niklas</author>
    <author>PPD-NPS</author>
  </authors>
  <commentList>
    <comment ref="A3" authorId="0" shapeId="0" xr:uid="{00000000-0006-0000-0000-000001000000}">
      <text>
        <r>
          <rPr>
            <b/>
            <sz val="12"/>
            <color indexed="10"/>
            <rFont val="Tahoma"/>
            <family val="2"/>
          </rPr>
          <t>Welcome to the LM5122 Design Tool</t>
        </r>
        <r>
          <rPr>
            <b/>
            <sz val="8"/>
            <color indexed="81"/>
            <rFont val="Tahoma"/>
            <family val="2"/>
          </rPr>
          <t xml:space="preserve">
</t>
        </r>
        <r>
          <rPr>
            <sz val="9"/>
            <color indexed="81"/>
            <rFont val="Tahoma"/>
            <family val="2"/>
          </rPr>
          <t xml:space="preserve">This stand-alone tool facilitates and assists the power supply engineer with design of a DC-DC boost converter based on the LM5122 automotive boost controller. As such, the user can expeditiously arrive at an optimized design by virtue of the following:
- Select components
- Optimize compensation values and pole/zero placement in terms of control loop stability using crossover frquency as a performance metric
IMPORTANT: You must enable macros if Microsoft Excel asks as the file is being opened. U.S. English notation is used throughout. Make sure to input or select values in all of the yellow shaded cells even if a value already exists in that cell. Do not over write equations in cells, as this may result in calculation errors. </t>
        </r>
        <r>
          <rPr>
            <b/>
            <sz val="8"/>
            <color indexed="81"/>
            <rFont val="Tahoma"/>
            <family val="2"/>
          </rPr>
          <t xml:space="preserve">
</t>
        </r>
      </text>
    </comment>
    <comment ref="H7" authorId="1" shapeId="0" xr:uid="{9E02A33E-5806-4D4B-B339-0A036D81093F}">
      <text>
        <r>
          <rPr>
            <b/>
            <sz val="9"/>
            <color indexed="81"/>
            <rFont val="Tahoma"/>
            <family val="2"/>
          </rPr>
          <t xml:space="preserve">Minimum Input Voltage:
</t>
        </r>
        <r>
          <rPr>
            <sz val="9"/>
            <color indexed="81"/>
            <rFont val="Tahoma"/>
            <family val="2"/>
          </rPr>
          <t>Enter the minimum operating input voltage.
The LM5122 VIN pin voltage operating range is 4.5V to 65V.
The minimum input power supply voltage can be 3V after start-up if VIN voltage is supplied from an external source.
Please check datasheet for applications with VCC&gt;VIN
The text in the cell is flagged orange if:
-The input voltage is below 4.5V
The text in the cell is flagged red if:
-The input voltage is above 65V
-The input voltage is below 3V</t>
        </r>
      </text>
    </comment>
    <comment ref="H8" authorId="1" shapeId="0" xr:uid="{9BF67A2B-60FE-443F-A869-3EA2981AE0D0}">
      <text>
        <r>
          <rPr>
            <b/>
            <sz val="9"/>
            <color indexed="81"/>
            <rFont val="Tahoma"/>
            <family val="2"/>
          </rPr>
          <t xml:space="preserve">Minimum Input Voltage:
</t>
        </r>
        <r>
          <rPr>
            <sz val="9"/>
            <color indexed="81"/>
            <rFont val="Tahoma"/>
            <family val="2"/>
          </rPr>
          <t>Enter the minimum operating input voltage.
The LM5122 VIN pin voltage operating range is 4.5V to 65V.
The minimum input power supply voltage can be 3V after start-up if VIN voltage is supplied from an external source.
Please check datasheet for applications with VCC&gt;VIN
The text in the cell is flagged orange if:
-The input voltage is below 4.5V
The text in the cell is flagged red if:
-The input voltage is above 65V
-The input voltage is below 3V</t>
        </r>
      </text>
    </comment>
    <comment ref="H9" authorId="1" shapeId="0" xr:uid="{E8836D0E-4B1C-403E-9FDE-3C13E2E9EC51}">
      <text>
        <r>
          <rPr>
            <b/>
            <sz val="9"/>
            <color indexed="81"/>
            <rFont val="Tahoma"/>
            <family val="2"/>
          </rPr>
          <t xml:space="preserve">Maximum Input Voltage:
</t>
        </r>
        <r>
          <rPr>
            <sz val="9"/>
            <color indexed="81"/>
            <rFont val="Tahoma"/>
            <family val="2"/>
          </rPr>
          <t>Enter the maximum operating input voltage.
The LM5122 VIN pin voltage operating range is 4.5V to 65V.
The minimum input power supply voltage can be 3V after start-up if VIN voltage is supplied from an external source.
Please check datasheet for applications with VCC&gt;VIN
The text in the cell is flagged orange if:
-The input voltage is below 4.5V
The text in the cell is flagged red if:
-The input voltage is above 65V
-The input voltage is below 3V</t>
        </r>
      </text>
    </comment>
    <comment ref="H13" authorId="1" shapeId="0" xr:uid="{20881EC3-BD03-4F1B-A340-271369461B04}">
      <text>
        <r>
          <rPr>
            <b/>
            <sz val="9"/>
            <color indexed="81"/>
            <rFont val="Tahoma"/>
            <family val="2"/>
          </rPr>
          <t xml:space="preserve">Light Load Switching Mode Selection:
</t>
        </r>
        <r>
          <rPr>
            <sz val="9"/>
            <color indexed="81"/>
            <rFont val="Tahoma"/>
            <family val="2"/>
          </rPr>
          <t>FPWM --&gt; MODE pin connected to VCC.
SKIP --&gt; MODE pin floating.
DEM --&gt; MODE pin connect to GND.
See the datasheet for more details on each mode.</t>
        </r>
      </text>
    </comment>
    <comment ref="H17" authorId="1" shapeId="0" xr:uid="{57E38D5B-3F16-41A0-8AD3-227539B49DF2}">
      <text>
        <r>
          <rPr>
            <b/>
            <sz val="9"/>
            <color indexed="81"/>
            <rFont val="Tahoma"/>
            <family val="2"/>
          </rPr>
          <t xml:space="preserve">Operating Frequency (set by RT):
</t>
        </r>
        <r>
          <rPr>
            <sz val="9"/>
            <color indexed="81"/>
            <rFont val="Tahoma"/>
            <family val="2"/>
          </rPr>
          <t>This cell defines the free-running switching frequency set by the RT resistor. 
The text in the cell is flagged red if:
- The frequency is below 50kHz
-The frequency is above 1MHz</t>
        </r>
      </text>
    </comment>
    <comment ref="H25" authorId="1" shapeId="0" xr:uid="{A5A322B5-FE39-4C90-9952-343B2FBA611A}">
      <text>
        <r>
          <rPr>
            <sz val="9"/>
            <color indexed="81"/>
            <rFont val="Tahoma"/>
            <family val="2"/>
          </rPr>
          <t>The inductor ripple current is typically set between 20% and 40% of the full load current, known as a good
compromise between core loss and copper loss of the inductor.</t>
        </r>
      </text>
    </comment>
    <comment ref="H50" authorId="2" shapeId="0" xr:uid="{00000000-0006-0000-0000-000003000000}">
      <text>
        <r>
          <rPr>
            <b/>
            <sz val="9"/>
            <color indexed="81"/>
            <rFont val="Tahoma"/>
            <family val="2"/>
          </rPr>
          <t>K Factor Selection:</t>
        </r>
        <r>
          <rPr>
            <sz val="9"/>
            <color indexed="81"/>
            <rFont val="Tahoma"/>
            <family val="2"/>
          </rPr>
          <t xml:space="preserve">
A recommended K factor is in the range of 0.5 to 3.
As the freqeuncy increases this should become closer to 1.
Default value is 1.
</t>
        </r>
      </text>
    </comment>
    <comment ref="H51" authorId="2" shapeId="0" xr:uid="{00000000-0006-0000-0000-000004000000}">
      <text>
        <r>
          <rPr>
            <b/>
            <sz val="9"/>
            <color indexed="81"/>
            <rFont val="Tahoma"/>
            <family val="2"/>
          </rPr>
          <t xml:space="preserve">RSLOPE_MIN
</t>
        </r>
        <r>
          <rPr>
            <sz val="9"/>
            <color indexed="81"/>
            <rFont val="Tahoma"/>
            <family val="2"/>
          </rPr>
          <t>The selected Slope compensation resistor must be larger than this value to ensure sub-harmonic osicllation will not occur</t>
        </r>
      </text>
    </comment>
    <comment ref="H52" authorId="1" shapeId="0" xr:uid="{2986D49A-DFF5-49F7-87C8-0EB32CF89831}">
      <text>
        <r>
          <rPr>
            <b/>
            <sz val="9"/>
            <color indexed="81"/>
            <rFont val="Tahoma"/>
            <family val="2"/>
          </rPr>
          <t xml:space="preserve">Calculated Slope Compensation Resistor
</t>
        </r>
        <r>
          <rPr>
            <sz val="9"/>
            <color indexed="81"/>
            <rFont val="Tahoma"/>
            <family val="2"/>
          </rPr>
          <t>If this value is smaller than the minimum slope compensation, the minimum slope compensation resistance is recommended.</t>
        </r>
      </text>
    </comment>
    <comment ref="H57" authorId="1" shapeId="0" xr:uid="{0E94C8EE-53F9-4237-AB24-457742CEE8A7}">
      <text>
        <r>
          <rPr>
            <b/>
            <sz val="9"/>
            <color indexed="81"/>
            <rFont val="Tahoma"/>
            <family val="2"/>
          </rPr>
          <t xml:space="preserve">Minimum output capacitance
</t>
        </r>
        <r>
          <rPr>
            <sz val="9"/>
            <color indexed="81"/>
            <rFont val="Tahoma"/>
            <family val="2"/>
          </rPr>
          <t xml:space="preserve">This is the </t>
        </r>
        <r>
          <rPr>
            <b/>
            <sz val="9"/>
            <color indexed="81"/>
            <rFont val="Tahoma"/>
            <family val="2"/>
          </rPr>
          <t>minimum</t>
        </r>
        <r>
          <rPr>
            <sz val="9"/>
            <color indexed="81"/>
            <rFont val="Tahoma"/>
            <family val="2"/>
          </rPr>
          <t xml:space="preserve"> recommended output capacitance for for the total output. (Not per phase capacitance)</t>
        </r>
      </text>
    </comment>
    <comment ref="H80" authorId="1" shapeId="0" xr:uid="{9C150BF3-01E7-4E1D-80AD-0FC3AC0CCF67}">
      <text>
        <r>
          <rPr>
            <sz val="9"/>
            <color indexed="81"/>
            <rFont val="Tahoma"/>
            <family val="2"/>
          </rPr>
          <t>Cross over frequency is recommended to be at one fifth of the RHP zero or one tenth of the switching frequency whichever is lower.</t>
        </r>
      </text>
    </comment>
    <comment ref="H82" authorId="1" shapeId="0" xr:uid="{337A7983-B99A-454F-90AF-447DBF90B836}">
      <text>
        <r>
          <rPr>
            <b/>
            <sz val="9"/>
            <color indexed="81"/>
            <rFont val="Tahoma"/>
            <family val="2"/>
          </rPr>
          <t>Changes the input voltage value. Allow for evaluation of the control loop and efficiency at different input voltages.</t>
        </r>
        <r>
          <rPr>
            <sz val="9"/>
            <color indexed="81"/>
            <rFont val="Tahoma"/>
            <family val="2"/>
          </rPr>
          <t xml:space="preserve">
This cell is flagged red if:
-Voltage is below Vin_min
-Voltage is above Vin_max</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BMC-BCS</author>
  </authors>
  <commentList>
    <comment ref="V6" authorId="0" shapeId="0" xr:uid="{F89FF205-732B-45BE-A67A-6EA06C7963FD}">
      <text>
        <r>
          <rPr>
            <b/>
            <sz val="9"/>
            <color indexed="81"/>
            <rFont val="Tahoma"/>
            <family val="2"/>
          </rPr>
          <t xml:space="preserve">1 = DCM operation
2 = CCM operation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BMC-BCS</author>
  </authors>
  <commentList>
    <comment ref="V6" authorId="0" shapeId="0" xr:uid="{44F7D75C-E169-4BF4-A542-29536A0DD506}">
      <text>
        <r>
          <rPr>
            <b/>
            <sz val="9"/>
            <color indexed="81"/>
            <rFont val="Tahoma"/>
            <family val="2"/>
          </rPr>
          <t xml:space="preserve">1 = DCM operation
2 = CCM operation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PPD-NPS</author>
  </authors>
  <commentList>
    <comment ref="E3" authorId="0" shapeId="0" xr:uid="{00000000-0006-0000-0100-000001000000}">
      <text>
        <r>
          <rPr>
            <b/>
            <sz val="9"/>
            <color indexed="81"/>
            <rFont val="Tahoma"/>
            <family val="2"/>
          </rPr>
          <t xml:space="preserve">Will flag for the following conditions:
</t>
        </r>
        <r>
          <rPr>
            <sz val="9"/>
            <color indexed="81"/>
            <rFont val="Tahoma"/>
            <family val="2"/>
          </rPr>
          <t xml:space="preserve">-Minimum input voltage is greater than the typical input voltage
-If lower than the minimum input voltage required to start-up (5V)
-Lower than 3V. IF operation is needed here the common mode voltage of the current sense amplifier needs to be pulled high to keep it operating
</t>
        </r>
      </text>
    </comment>
    <comment ref="E4" authorId="0" shapeId="0" xr:uid="{00000000-0006-0000-0100-000002000000}">
      <text>
        <r>
          <rPr>
            <b/>
            <sz val="9"/>
            <color indexed="81"/>
            <rFont val="Tahoma"/>
            <family val="2"/>
          </rPr>
          <t xml:space="preserve">Will Flag for the following conditions:
</t>
        </r>
        <r>
          <rPr>
            <sz val="9"/>
            <color indexed="81"/>
            <rFont val="Tahoma"/>
            <family val="2"/>
          </rPr>
          <t xml:space="preserve">-If the typical input voltage is greater than the maximum input voltage
</t>
        </r>
      </text>
    </comment>
    <comment ref="E5" authorId="0" shapeId="0" xr:uid="{00000000-0006-0000-0100-000003000000}">
      <text>
        <r>
          <rPr>
            <b/>
            <sz val="9"/>
            <color indexed="81"/>
            <rFont val="Tahoma"/>
            <family val="2"/>
          </rPr>
          <t xml:space="preserve">Will flag for the follow conditions:
</t>
        </r>
        <r>
          <rPr>
            <sz val="9"/>
            <color indexed="81"/>
            <rFont val="Tahoma"/>
            <family val="2"/>
          </rPr>
          <t xml:space="preserve">-The maximum input voltage is above the target output voltage. This indicates that the device will operate in bypass mode
</t>
        </r>
      </text>
    </comment>
    <comment ref="E6" authorId="0" shapeId="0" xr:uid="{00000000-0006-0000-0100-000004000000}">
      <text>
        <r>
          <rPr>
            <b/>
            <sz val="9"/>
            <color indexed="81"/>
            <rFont val="Tahoma"/>
            <family val="2"/>
          </rPr>
          <t xml:space="preserve">Will flag for the following conditions:
</t>
        </r>
        <r>
          <rPr>
            <sz val="9"/>
            <color indexed="81"/>
            <rFont val="Tahoma"/>
            <family val="2"/>
          </rPr>
          <t xml:space="preserve">-Above the maximum switching frequency
-Below the minimum switching freqeuncy
</t>
        </r>
      </text>
    </comment>
    <comment ref="E9" authorId="0" shapeId="0" xr:uid="{00000000-0006-0000-0100-000005000000}">
      <text>
        <r>
          <rPr>
            <b/>
            <sz val="9"/>
            <color indexed="81"/>
            <rFont val="Tahoma"/>
            <family val="2"/>
          </rPr>
          <t xml:space="preserve">Will flag for the following conditions:
</t>
        </r>
        <r>
          <rPr>
            <sz val="9"/>
            <color indexed="81"/>
            <rFont val="Tahoma"/>
            <family val="2"/>
          </rPr>
          <t>-Output voltage is greater than the maximum rating on the SW pin voltage (100V)</t>
        </r>
      </text>
    </comment>
    <comment ref="E14" authorId="0" shapeId="0" xr:uid="{00000000-0006-0000-0100-000006000000}">
      <text>
        <r>
          <rPr>
            <b/>
            <sz val="9"/>
            <color indexed="81"/>
            <rFont val="Tahoma"/>
            <family val="2"/>
          </rPr>
          <t>Will flag for the following conditions</t>
        </r>
        <r>
          <rPr>
            <sz val="9"/>
            <color indexed="81"/>
            <rFont val="Tahoma"/>
            <family val="2"/>
          </rPr>
          <t xml:space="preserve">
-External VCC voltage is greater then abs max value
-Exteranl VCC is less than the VCC UVLO voltage
</t>
        </r>
      </text>
    </comment>
    <comment ref="E23" authorId="0" shapeId="0" xr:uid="{00000000-0006-0000-0100-000007000000}">
      <text>
        <r>
          <rPr>
            <b/>
            <sz val="9"/>
            <color indexed="81"/>
            <rFont val="Tahoma"/>
            <family val="2"/>
          </rPr>
          <t>If this value is 1 then the forced off time is to large for the step up ratio and the switching freqeuncy should be decreased</t>
        </r>
        <r>
          <rPr>
            <sz val="9"/>
            <color indexed="81"/>
            <rFont val="Tahoma"/>
            <family val="2"/>
          </rPr>
          <t xml:space="preserve">
</t>
        </r>
      </text>
    </comment>
    <comment ref="E33" authorId="0" shapeId="0" xr:uid="{00000000-0006-0000-0100-000008000000}">
      <text>
        <r>
          <rPr>
            <b/>
            <sz val="9"/>
            <color indexed="81"/>
            <rFont val="Tahoma"/>
            <family val="2"/>
          </rPr>
          <t xml:space="preserve">Will flag for the following conditions:
</t>
        </r>
        <r>
          <rPr>
            <sz val="9"/>
            <color indexed="81"/>
            <rFont val="Tahoma"/>
            <family val="2"/>
          </rPr>
          <t xml:space="preserve">-Minimum off time violation
</t>
        </r>
        <r>
          <rPr>
            <b/>
            <sz val="9"/>
            <color indexed="81"/>
            <rFont val="Tahoma"/>
            <family val="2"/>
          </rPr>
          <t xml:space="preserve">
</t>
        </r>
      </text>
    </comment>
    <comment ref="E89" authorId="0" shapeId="0" xr:uid="{00000000-0006-0000-0100-000009000000}">
      <text>
        <r>
          <rPr>
            <b/>
            <sz val="9"/>
            <color indexed="81"/>
            <rFont val="Tahoma"/>
            <family val="2"/>
          </rPr>
          <t xml:space="preserve">Will flag for the following conditions:
</t>
        </r>
        <r>
          <rPr>
            <sz val="9"/>
            <color indexed="81"/>
            <rFont val="Tahoma"/>
            <family val="2"/>
          </rPr>
          <t xml:space="preserve">-The Peak Current Limit is lower than the calculated peak current 
</t>
        </r>
      </text>
    </comment>
    <comment ref="E90" authorId="0" shapeId="0" xr:uid="{00000000-0006-0000-0100-00000A000000}">
      <text>
        <r>
          <rPr>
            <b/>
            <sz val="9"/>
            <color indexed="81"/>
            <rFont val="Tahoma"/>
            <family val="2"/>
          </rPr>
          <t>Will flag for the following conditions:</t>
        </r>
        <r>
          <rPr>
            <sz val="9"/>
            <color indexed="81"/>
            <rFont val="Tahoma"/>
            <family val="2"/>
          </rPr>
          <t xml:space="preserve">
-The Peak Current Limit is lower than the calculated peak current </t>
        </r>
      </text>
    </comment>
    <comment ref="E91" authorId="0" shapeId="0" xr:uid="{00000000-0006-0000-0100-00000B000000}">
      <text>
        <r>
          <rPr>
            <b/>
            <sz val="9"/>
            <color indexed="81"/>
            <rFont val="Tahoma"/>
            <family val="2"/>
          </rPr>
          <t xml:space="preserve">Will flag for the following conditions:
</t>
        </r>
        <r>
          <rPr>
            <sz val="9"/>
            <color indexed="81"/>
            <rFont val="Tahoma"/>
            <family val="2"/>
          </rPr>
          <t xml:space="preserve">-The Peak Current Limit is lower than the calculated peak current 
</t>
        </r>
      </text>
    </comment>
    <comment ref="E101" authorId="0" shapeId="0" xr:uid="{00000000-0006-0000-0100-00000C000000}">
      <text>
        <r>
          <rPr>
            <b/>
            <sz val="9"/>
            <color indexed="81"/>
            <rFont val="Tahoma"/>
            <family val="2"/>
          </rPr>
          <t>Will flag for the following conditions:
-</t>
        </r>
        <r>
          <rPr>
            <sz val="9"/>
            <color indexed="81"/>
            <rFont val="Tahoma"/>
            <family val="2"/>
          </rPr>
          <t xml:space="preserve">The Selected Rslope value is smaller than the minimum calculated value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BMC-BCS</author>
  </authors>
  <commentList>
    <comment ref="N18" authorId="0" shapeId="0" xr:uid="{01A9A47D-F188-45CB-A9E3-57FE1476E0B3}">
      <text>
        <r>
          <rPr>
            <b/>
            <sz val="9"/>
            <color indexed="81"/>
            <rFont val="Tahoma"/>
            <family val="2"/>
          </rPr>
          <t>BMC-BCS:</t>
        </r>
        <r>
          <rPr>
            <sz val="9"/>
            <color indexed="81"/>
            <rFont val="Tahoma"/>
            <family val="2"/>
          </rPr>
          <t xml:space="preserve">
Need to make this log not linear at some point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PPD-NPS</author>
  </authors>
  <commentList>
    <comment ref="J3" authorId="0" shapeId="0" xr:uid="{00000000-0006-0000-0300-000001000000}">
      <text>
        <r>
          <rPr>
            <b/>
            <sz val="9"/>
            <color indexed="81"/>
            <rFont val="Tahoma"/>
            <family val="2"/>
          </rPr>
          <t>PPD-NPS:</t>
        </r>
        <r>
          <rPr>
            <sz val="9"/>
            <color indexed="81"/>
            <rFont val="Tahoma"/>
            <family val="2"/>
          </rPr>
          <t xml:space="preserve">
IOUT per Phase
</t>
        </r>
      </text>
    </comment>
  </commentList>
</comments>
</file>

<file path=xl/sharedStrings.xml><?xml version="1.0" encoding="utf-8"?>
<sst xmlns="http://schemas.openxmlformats.org/spreadsheetml/2006/main" count="1275" uniqueCount="722">
  <si>
    <t>Parameter</t>
  </si>
  <si>
    <t>Test Conditions</t>
  </si>
  <si>
    <t>Min</t>
  </si>
  <si>
    <t>Typ</t>
  </si>
  <si>
    <t>Max</t>
  </si>
  <si>
    <t>Units</t>
  </si>
  <si>
    <t>VIN shutdown current</t>
  </si>
  <si>
    <t>VIN Supply</t>
  </si>
  <si>
    <t>VIN operating current (no RT resistor)</t>
  </si>
  <si>
    <t>UVLO = 0V</t>
  </si>
  <si>
    <t>UVLO = 2 V, no Switching</t>
  </si>
  <si>
    <t>VCC Regulator</t>
  </si>
  <si>
    <t>Vcc regulation</t>
  </si>
  <si>
    <t>Vcc dropout (VIN to VCC)</t>
  </si>
  <si>
    <t>VCC sourcing current limit</t>
  </si>
  <si>
    <t>VCC operating current</t>
  </si>
  <si>
    <t>VCC undervoltage threshold</t>
  </si>
  <si>
    <t>VCC undervoltage hysteresis</t>
  </si>
  <si>
    <t>Undervoltage Lockout</t>
  </si>
  <si>
    <t>UVLO threshold</t>
  </si>
  <si>
    <t>UVLO hysteresis current</t>
  </si>
  <si>
    <t>UVLO standby enable threshold</t>
  </si>
  <si>
    <t>UVLO standy enable hystersis</t>
  </si>
  <si>
    <t>No load</t>
  </si>
  <si>
    <t>VIN=4.5V, no external load</t>
  </si>
  <si>
    <t>VIN=4.5V, IVCC = 25mA</t>
  </si>
  <si>
    <t>VCC=0V</t>
  </si>
  <si>
    <t>VCC = 8.3V</t>
  </si>
  <si>
    <t>VCC= 12V</t>
  </si>
  <si>
    <t>VCC rising, VIN = 4.5V</t>
  </si>
  <si>
    <t>VCC falling, VIN = 4.5V</t>
  </si>
  <si>
    <t>UVLO rising</t>
  </si>
  <si>
    <t>UVLO = 1.4V</t>
  </si>
  <si>
    <t>A</t>
  </si>
  <si>
    <t>V</t>
  </si>
  <si>
    <t>MODE</t>
  </si>
  <si>
    <t>diode emulation mode threshold</t>
  </si>
  <si>
    <t>diode emulation mode hystersis</t>
  </si>
  <si>
    <t>Default MODE voltage</t>
  </si>
  <si>
    <t>Default skip cycle threshold</t>
  </si>
  <si>
    <t>COMP rising, measured at comp</t>
  </si>
  <si>
    <t>COMP falling, measured at COMP</t>
  </si>
  <si>
    <t>skip cycle hysteresis</t>
  </si>
  <si>
    <t>ERROR AMPLIFIER</t>
  </si>
  <si>
    <t>FB reference voltage</t>
  </si>
  <si>
    <t>FB input bias current</t>
  </si>
  <si>
    <t>COMP output high voltage</t>
  </si>
  <si>
    <t>COMP output low voltage</t>
  </si>
  <si>
    <t>DC gain</t>
  </si>
  <si>
    <t>Unity gain bandwidth</t>
  </si>
  <si>
    <t>slave mode threshold</t>
  </si>
  <si>
    <t>Mode rising</t>
  </si>
  <si>
    <t>mearued at FB, VFB=VCOMP</t>
  </si>
  <si>
    <t>VFB=VREF</t>
  </si>
  <si>
    <t>I source - 2mA, VCC =4.5V</t>
  </si>
  <si>
    <t>I source - 2mA, VCC =12V</t>
  </si>
  <si>
    <t>Isink = 2mA</t>
  </si>
  <si>
    <t>FB rising</t>
  </si>
  <si>
    <t>Oscillator</t>
  </si>
  <si>
    <t>switching frequency 1</t>
  </si>
  <si>
    <t>switching frequency 2</t>
  </si>
  <si>
    <t>RT output voltage</t>
  </si>
  <si>
    <t>RT SYNC rising threshold</t>
  </si>
  <si>
    <t>RT SYNC falling Threshold</t>
  </si>
  <si>
    <t>Minimum sync pulse width</t>
  </si>
  <si>
    <t>RT =20kOhm</t>
  </si>
  <si>
    <t>RT = 10kOhm</t>
  </si>
  <si>
    <t>RT rising</t>
  </si>
  <si>
    <t>RT falling</t>
  </si>
  <si>
    <t>dB</t>
  </si>
  <si>
    <t>Hz</t>
  </si>
  <si>
    <t>s</t>
  </si>
  <si>
    <t>CURRENT SENSE / CYCLE-BY-CYCLE CURRENT LIMIT</t>
  </si>
  <si>
    <t>Bias current matching</t>
  </si>
  <si>
    <t>HICCUP-MODE RESTART</t>
  </si>
  <si>
    <t>Hiccup counter upper threshold</t>
  </si>
  <si>
    <t>Hiccup counter lower threshold</t>
  </si>
  <si>
    <t>HO GATE DRIVER</t>
  </si>
  <si>
    <t>BST charge pump regulation</t>
  </si>
  <si>
    <t>SYNCOUT</t>
  </si>
  <si>
    <t>SYNCOUT high-state voltage</t>
  </si>
  <si>
    <t>SYNCOUT low-state voltage</t>
  </si>
  <si>
    <t>ISYNCOUT = –1 mA</t>
  </si>
  <si>
    <t>ISYNCOUT = 1 mA</t>
  </si>
  <si>
    <t>OPT</t>
  </si>
  <si>
    <t>Synchronization selection threshold</t>
  </si>
  <si>
    <t>OPT rising</t>
  </si>
  <si>
    <t>SLOPE COMPENSATION</t>
  </si>
  <si>
    <t>SLOPE output voltage</t>
  </si>
  <si>
    <t>Slope compensation amplitude</t>
  </si>
  <si>
    <t>RSLOPE = 20 kΩ, fSW = 100 kHz, 50% duty cycle, TJ = –40°C to 125°C</t>
  </si>
  <si>
    <t>RSLOPE= 20 kΩ, fSW= 100 kHz, 50% duty cycle, TJ = 25°C</t>
  </si>
  <si>
    <t>SOFT START</t>
  </si>
  <si>
    <t>SS current source</t>
  </si>
  <si>
    <t>SS discharge switch RDS-ON</t>
  </si>
  <si>
    <t>VSS = 0 V</t>
  </si>
  <si>
    <t>Ohm</t>
  </si>
  <si>
    <t>PWM COMPARATOR</t>
  </si>
  <si>
    <t>Forced LO off-time</t>
  </si>
  <si>
    <t>Minimum LO on-time</t>
  </si>
  <si>
    <t>VVCC = 5.5 V</t>
  </si>
  <si>
    <t>VVCC = 4.5 V</t>
  </si>
  <si>
    <t>RSLOPE = 20 kΩ</t>
  </si>
  <si>
    <t>RSLOPE = 200 kΩ</t>
  </si>
  <si>
    <t>TJ = –40°C to 125°C</t>
  </si>
  <si>
    <t>TJ = 25°C</t>
  </si>
  <si>
    <t>Cycle-by-cycle current limit threshold</t>
  </si>
  <si>
    <t>Zero cross detection threshold</t>
  </si>
  <si>
    <t>Current sense amplifier gain</t>
  </si>
  <si>
    <t>CSP input bias current</t>
  </si>
  <si>
    <t>CSN input bias current</t>
  </si>
  <si>
    <t>CS to LO delay</t>
  </si>
  <si>
    <t>CSP to CSN, TJ = –40°C to 125°C</t>
  </si>
  <si>
    <t>CSP to CSN, TJ = 25°C</t>
  </si>
  <si>
    <t>CSP to CSN, rising</t>
  </si>
  <si>
    <t>CSP to CSN, falling</t>
  </si>
  <si>
    <t>ICSP – ICSN</t>
  </si>
  <si>
    <t>Current sense / current limit delay</t>
  </si>
  <si>
    <t>V/V</t>
  </si>
  <si>
    <t>Restart threshold</t>
  </si>
  <si>
    <t>RES current source1</t>
  </si>
  <si>
    <t>RES current sink1</t>
  </si>
  <si>
    <t>RES current source2</t>
  </si>
  <si>
    <t>RES current sink2</t>
  </si>
  <si>
    <t>Hiccup cycle</t>
  </si>
  <si>
    <t>RES discharge switch RDS-ON</t>
  </si>
  <si>
    <t>Ratio of hiccup mode off-time to restart delay time</t>
  </si>
  <si>
    <t>RES rising</t>
  </si>
  <si>
    <t>RES rising, VVIN = VVCC = 4.5 V</t>
  </si>
  <si>
    <t>RES falling</t>
  </si>
  <si>
    <t>RES falling, VVIN = VVCC = 4.5 V</t>
  </si>
  <si>
    <t>Fault-state charging current</t>
  </si>
  <si>
    <t>Normal-state discharging current</t>
  </si>
  <si>
    <t>Hiccup-mode off-time charging current</t>
  </si>
  <si>
    <t>Hiccup-mode off-time discharging current</t>
  </si>
  <si>
    <t>Cycles</t>
  </si>
  <si>
    <t>DATASHEET Parameters</t>
  </si>
  <si>
    <t>HO high-state voltage drop</t>
  </si>
  <si>
    <t>HO low-state voltage drop</t>
  </si>
  <si>
    <t>HO rise time (10% to 90%)</t>
  </si>
  <si>
    <t>HO fall time (90% to 10%)</t>
  </si>
  <si>
    <t>Peak HO source current</t>
  </si>
  <si>
    <t>Peak HO sink current</t>
  </si>
  <si>
    <t>BST charge pump sourcing current</t>
  </si>
  <si>
    <t>BST to SW undervoltage</t>
  </si>
  <si>
    <t>BST DC bias current</t>
  </si>
  <si>
    <t>IHO = –100 mA, VOHH = VBST –VHO</t>
  </si>
  <si>
    <t>IHO = 100 mA, VOLH = VHO –VSW</t>
  </si>
  <si>
    <t>CLOAD = 4700 pF, VBST = 12 V</t>
  </si>
  <si>
    <t>VHO = 0 V, VSW = 0 V, VBST = 4.5 V</t>
  </si>
  <si>
    <t>VHO = 0 V, VSW = 0 V, VBST = 7.6 V</t>
  </si>
  <si>
    <t>VHO = VBST = 4.5 V</t>
  </si>
  <si>
    <t>VHO = VBST= 7.6 V</t>
  </si>
  <si>
    <t>VVIN = VSW = 9. V , VBST - VSW = 5 V</t>
  </si>
  <si>
    <t>BST to SW, IBST= –70 μA, VVIN = VSW = 9 V</t>
  </si>
  <si>
    <t>BST to SW, IBST = –70 μA, VVIN = VSW = 12 V</t>
  </si>
  <si>
    <t>VBST – VSW = 12 V, VSW = 0 V</t>
  </si>
  <si>
    <t>LO GATE DRIVER</t>
  </si>
  <si>
    <t>LO high-state voltage drop</t>
  </si>
  <si>
    <t>LO low-state voltage drop</t>
  </si>
  <si>
    <t>LO rise time (10% to 90%)</t>
  </si>
  <si>
    <t>LO fall time (90% to 10%)</t>
  </si>
  <si>
    <t>Peak LO source current</t>
  </si>
  <si>
    <t>Peak LO sink current</t>
  </si>
  <si>
    <t>ILO = –100 mA, VOHL = VVCC –VLO</t>
  </si>
  <si>
    <t>ILO = 100 mA, VOLL = VLO</t>
  </si>
  <si>
    <t>CLOAD = 4700 pF</t>
  </si>
  <si>
    <t>VLO = 0 V, VVCC = 4.5 V</t>
  </si>
  <si>
    <t>VLO = 0 V</t>
  </si>
  <si>
    <t>VLO = VVCC = 4.5 V</t>
  </si>
  <si>
    <t>VLO = VVCC</t>
  </si>
  <si>
    <t>SWITCHING CHARACTERISTICS</t>
  </si>
  <si>
    <t>LO fall to HO rise delay</t>
  </si>
  <si>
    <t>HO fall to LO rise delay</t>
  </si>
  <si>
    <t>No load, 50% to 50%</t>
  </si>
  <si>
    <t>About</t>
  </si>
  <si>
    <t>= Input Box</t>
  </si>
  <si>
    <t>TERMS OF USE</t>
  </si>
  <si>
    <t xml:space="preserve"> LM5122 Boost Controller Design Tool</t>
  </si>
  <si>
    <r>
      <t>Maximum Input Supply Voltage (V</t>
    </r>
    <r>
      <rPr>
        <vertAlign val="subscript"/>
        <sz val="11"/>
        <color theme="1"/>
        <rFont val="ＭＳ Ｐゴシック"/>
        <family val="2"/>
        <scheme val="minor"/>
      </rPr>
      <t>IN_MAX</t>
    </r>
    <r>
      <rPr>
        <sz val="11"/>
        <color theme="1"/>
        <rFont val="ＭＳ Ｐゴシック"/>
        <family val="2"/>
        <scheme val="minor"/>
      </rPr>
      <t>)</t>
    </r>
  </si>
  <si>
    <r>
      <t>Typical Input Supply Voltage (V</t>
    </r>
    <r>
      <rPr>
        <vertAlign val="subscript"/>
        <sz val="11"/>
        <color theme="1"/>
        <rFont val="ＭＳ Ｐゴシック"/>
        <family val="2"/>
        <scheme val="minor"/>
      </rPr>
      <t>IN_TYP</t>
    </r>
    <r>
      <rPr>
        <sz val="11"/>
        <color theme="1"/>
        <rFont val="ＭＳ Ｐゴシック"/>
        <family val="2"/>
        <scheme val="minor"/>
      </rPr>
      <t>)</t>
    </r>
  </si>
  <si>
    <r>
      <t>Minimum Input Supply Voltage (V</t>
    </r>
    <r>
      <rPr>
        <vertAlign val="subscript"/>
        <sz val="11"/>
        <color theme="1"/>
        <rFont val="ＭＳ Ｐゴシック"/>
        <family val="2"/>
        <scheme val="minor"/>
      </rPr>
      <t>IN_MIN</t>
    </r>
    <r>
      <rPr>
        <sz val="11"/>
        <color theme="1"/>
        <rFont val="ＭＳ Ｐゴシック"/>
        <family val="2"/>
        <scheme val="minor"/>
      </rPr>
      <t>)</t>
    </r>
  </si>
  <si>
    <r>
      <t>Target Output Voltage (V</t>
    </r>
    <r>
      <rPr>
        <vertAlign val="subscript"/>
        <sz val="11"/>
        <color theme="1"/>
        <rFont val="ＭＳ Ｐゴシック"/>
        <family val="2"/>
        <scheme val="minor"/>
      </rPr>
      <t>OUT</t>
    </r>
    <r>
      <rPr>
        <sz val="11"/>
        <color theme="1"/>
        <rFont val="ＭＳ Ｐゴシック"/>
        <family val="2"/>
        <scheme val="minor"/>
      </rPr>
      <t>)</t>
    </r>
  </si>
  <si>
    <r>
      <t>Number of Phase (n</t>
    </r>
    <r>
      <rPr>
        <vertAlign val="subscript"/>
        <sz val="11"/>
        <color theme="1"/>
        <rFont val="ＭＳ Ｐゴシック"/>
        <family val="2"/>
        <scheme val="minor"/>
      </rPr>
      <t>P</t>
    </r>
    <r>
      <rPr>
        <sz val="11"/>
        <color theme="1"/>
        <rFont val="ＭＳ Ｐゴシック"/>
        <family val="2"/>
        <scheme val="minor"/>
      </rPr>
      <t>)</t>
    </r>
  </si>
  <si>
    <t>Switching Freqeuncy</t>
  </si>
  <si>
    <t>kHz</t>
  </si>
  <si>
    <r>
      <t>Maximum Total Load Current (I</t>
    </r>
    <r>
      <rPr>
        <vertAlign val="subscript"/>
        <sz val="11"/>
        <color theme="1"/>
        <rFont val="ＭＳ Ｐゴシック"/>
        <family val="2"/>
        <scheme val="minor"/>
      </rPr>
      <t>OUT</t>
    </r>
    <r>
      <rPr>
        <sz val="11"/>
        <color theme="1"/>
        <rFont val="ＭＳ Ｐゴシック"/>
        <family val="2"/>
        <scheme val="minor"/>
      </rPr>
      <t>)</t>
    </r>
  </si>
  <si>
    <r>
      <t>Maximum Load Current per Phase (I</t>
    </r>
    <r>
      <rPr>
        <vertAlign val="subscript"/>
        <sz val="11"/>
        <color theme="1"/>
        <rFont val="ＭＳ Ｐゴシック"/>
        <family val="2"/>
        <scheme val="minor"/>
      </rPr>
      <t>OUT</t>
    </r>
    <r>
      <rPr>
        <sz val="11"/>
        <color theme="1"/>
        <rFont val="ＭＳ Ｐゴシック"/>
        <family val="2"/>
        <scheme val="minor"/>
      </rPr>
      <t>/n</t>
    </r>
    <r>
      <rPr>
        <vertAlign val="subscript"/>
        <sz val="11"/>
        <color theme="1"/>
        <rFont val="ＭＳ Ｐゴシック"/>
        <family val="2"/>
        <scheme val="minor"/>
      </rPr>
      <t>P</t>
    </r>
    <r>
      <rPr>
        <sz val="11"/>
        <color theme="1"/>
        <rFont val="ＭＳ Ｐゴシック"/>
        <family val="2"/>
        <scheme val="minor"/>
      </rPr>
      <t>)</t>
    </r>
  </si>
  <si>
    <t>%</t>
  </si>
  <si>
    <r>
      <t>Calculate RT resistor (R</t>
    </r>
    <r>
      <rPr>
        <vertAlign val="subscript"/>
        <sz val="11"/>
        <color theme="1"/>
        <rFont val="ＭＳ Ｐゴシック"/>
        <family val="2"/>
        <scheme val="minor"/>
      </rPr>
      <t>RT</t>
    </r>
    <r>
      <rPr>
        <sz val="11"/>
        <color theme="1"/>
        <rFont val="ＭＳ Ｐゴシック"/>
        <family val="2"/>
        <scheme val="minor"/>
      </rPr>
      <t>)</t>
    </r>
  </si>
  <si>
    <r>
      <t>k</t>
    </r>
    <r>
      <rPr>
        <sz val="11"/>
        <color theme="1"/>
        <rFont val="Calibri"/>
        <family val="2"/>
      </rPr>
      <t>Ω</t>
    </r>
  </si>
  <si>
    <t>Maximum SYNCIN Freqeuncy</t>
  </si>
  <si>
    <t>Minimum SYNCIN Freqeuncy</t>
  </si>
  <si>
    <t>Switching Parameters</t>
  </si>
  <si>
    <t>Flags</t>
  </si>
  <si>
    <t>Maximum on Time</t>
  </si>
  <si>
    <t>Minimum Off time</t>
  </si>
  <si>
    <t>Maximum Duty Cycle (VIN_MIN)</t>
  </si>
  <si>
    <t>Minimum Duty Cycle</t>
  </si>
  <si>
    <t>Minimum on Time</t>
  </si>
  <si>
    <t>Maximum off time</t>
  </si>
  <si>
    <t>Switching Freqeuncy Range</t>
  </si>
  <si>
    <t>Not in datasheet but practical litmits</t>
  </si>
  <si>
    <t>VIN Minimum operation voltage</t>
  </si>
  <si>
    <t>VIN Minimum start-up voltage</t>
  </si>
  <si>
    <t>ABSOLUTE MAXIMUM Ratings</t>
  </si>
  <si>
    <t>VIN, CSP,CSN</t>
  </si>
  <si>
    <t>BST to SW, FB, MODE, UVLO, OPT, VCC</t>
  </si>
  <si>
    <t>SW</t>
  </si>
  <si>
    <t>BST</t>
  </si>
  <si>
    <t>SS, SLOPE, SYNCIN/RT</t>
  </si>
  <si>
    <t>CSP to CSN, PGND</t>
  </si>
  <si>
    <t>Input Pins</t>
  </si>
  <si>
    <t>HO to SW</t>
  </si>
  <si>
    <t xml:space="preserve">LO </t>
  </si>
  <si>
    <t>COMP, RES, SYNCOUT</t>
  </si>
  <si>
    <t>Output Voltage</t>
  </si>
  <si>
    <t>VCC rail Voltage (Typical)</t>
  </si>
  <si>
    <t>VCC rail Voltage (at VIN Min)</t>
  </si>
  <si>
    <t>Selected Switching Freqeuncy</t>
  </si>
  <si>
    <t>Variable Name</t>
  </si>
  <si>
    <t>Desciption</t>
  </si>
  <si>
    <t>VOUT</t>
  </si>
  <si>
    <t>IOUT</t>
  </si>
  <si>
    <t>np</t>
  </si>
  <si>
    <t>IOUT_np</t>
  </si>
  <si>
    <t>fsw</t>
  </si>
  <si>
    <t>Operational Parameters</t>
  </si>
  <si>
    <t>eta</t>
  </si>
  <si>
    <t>VIN_MIN</t>
  </si>
  <si>
    <t>VIN_MAX</t>
  </si>
  <si>
    <t>VCC</t>
  </si>
  <si>
    <t>Freqeuncy Calculations</t>
  </si>
  <si>
    <t>VCC_min</t>
  </si>
  <si>
    <t>RT resistor value based on the datasheet equation</t>
  </si>
  <si>
    <t>R_RT</t>
  </si>
  <si>
    <t>Unit</t>
  </si>
  <si>
    <t>This is the maximum switching frequnecy based SYNCIN freqeuncy range</t>
  </si>
  <si>
    <t>fsw_max</t>
  </si>
  <si>
    <t>max switching freqeuncy based on output voltage and maximum t_off</t>
  </si>
  <si>
    <t>Inductor Selection</t>
  </si>
  <si>
    <t>RR</t>
  </si>
  <si>
    <t>Ripple ratio of inductor current</t>
  </si>
  <si>
    <t>VIN_TYP</t>
  </si>
  <si>
    <t>VIN_TYP used for calculation</t>
  </si>
  <si>
    <t>L_Calc</t>
  </si>
  <si>
    <t>H</t>
  </si>
  <si>
    <t>Lm</t>
  </si>
  <si>
    <t>Selected inductor value (per phase)</t>
  </si>
  <si>
    <t>uH</t>
  </si>
  <si>
    <t>on time at full load and VIN_MAX</t>
  </si>
  <si>
    <t>off time at full load and VIN_MAX</t>
  </si>
  <si>
    <t>off time at full load and VIN_MIN</t>
  </si>
  <si>
    <t>on time at full load and VIN_MIN</t>
  </si>
  <si>
    <t>R_Lm</t>
  </si>
  <si>
    <t>Inductor DCR (used for efficency calcualtions</t>
  </si>
  <si>
    <t>IL_PEAK_VIN_MIN</t>
  </si>
  <si>
    <t>IL_PEAK_VIN_MAX</t>
  </si>
  <si>
    <t>Steps</t>
  </si>
  <si>
    <t>Step Size</t>
  </si>
  <si>
    <t>Index</t>
  </si>
  <si>
    <r>
      <t>Estimated Efficiency (</t>
    </r>
    <r>
      <rPr>
        <sz val="11"/>
        <color theme="1"/>
        <rFont val="Calibri"/>
        <family val="2"/>
      </rPr>
      <t>η</t>
    </r>
    <r>
      <rPr>
        <sz val="11"/>
        <color theme="1"/>
        <rFont val="ＭＳ Ｐゴシック"/>
        <family val="2"/>
        <scheme val="minor"/>
      </rPr>
      <t>) Constant Guess is 94%</t>
    </r>
  </si>
  <si>
    <t>Duty Cycle</t>
  </si>
  <si>
    <t>IOUT(A)</t>
  </si>
  <si>
    <t>VOUT(V)</t>
  </si>
  <si>
    <t>*These are per phase calculations</t>
  </si>
  <si>
    <t>DCM / CCM</t>
  </si>
  <si>
    <t>IIN (A)</t>
  </si>
  <si>
    <t>VIN (A)</t>
  </si>
  <si>
    <t>Ripple Current (A)</t>
  </si>
  <si>
    <t>Peak Current (A)</t>
  </si>
  <si>
    <t>IL_AVG_VIN_MIN</t>
  </si>
  <si>
    <t>IL_AVG_VIN_TYP</t>
  </si>
  <si>
    <t>IL_AVG_VIN_MAX</t>
  </si>
  <si>
    <t>IL_PEAK_VIN_TYP</t>
  </si>
  <si>
    <t>IL_Ripple_VIN_MIN</t>
  </si>
  <si>
    <t>IL_Ripple_VIN_TYP</t>
  </si>
  <si>
    <t>IL_Ripple_VIN_MAX</t>
  </si>
  <si>
    <t>Duty Cycle at VIN_MIN</t>
  </si>
  <si>
    <t>Duty Cycle at VIN_TYP</t>
  </si>
  <si>
    <t>Duty Cycle at VIN_MAX</t>
  </si>
  <si>
    <t>@ IOUT MAX</t>
  </si>
  <si>
    <r>
      <t>Peak Inductor Current at V</t>
    </r>
    <r>
      <rPr>
        <vertAlign val="subscript"/>
        <sz val="11"/>
        <color theme="1"/>
        <rFont val="ＭＳ Ｐゴシック"/>
        <family val="2"/>
        <scheme val="minor"/>
      </rPr>
      <t>IN_MIN</t>
    </r>
    <r>
      <rPr>
        <sz val="11"/>
        <color theme="1"/>
        <rFont val="ＭＳ Ｐゴシック"/>
        <family val="2"/>
        <scheme val="minor"/>
      </rPr>
      <t xml:space="preserve"> (IL</t>
    </r>
    <r>
      <rPr>
        <vertAlign val="subscript"/>
        <sz val="11"/>
        <color theme="1"/>
        <rFont val="ＭＳ Ｐゴシック"/>
        <family val="2"/>
        <scheme val="minor"/>
      </rPr>
      <t>PEAK_VIN_MIN</t>
    </r>
    <r>
      <rPr>
        <sz val="11"/>
        <color theme="1"/>
        <rFont val="ＭＳ Ｐゴシック"/>
        <family val="2"/>
        <scheme val="minor"/>
      </rPr>
      <t>)</t>
    </r>
  </si>
  <si>
    <r>
      <t>Peak Inductor Current at V</t>
    </r>
    <r>
      <rPr>
        <vertAlign val="subscript"/>
        <sz val="11"/>
        <color theme="1"/>
        <rFont val="ＭＳ Ｐゴシック"/>
        <family val="2"/>
        <scheme val="minor"/>
      </rPr>
      <t>IN_MAX</t>
    </r>
    <r>
      <rPr>
        <sz val="11"/>
        <color theme="1"/>
        <rFont val="ＭＳ Ｐゴシック"/>
        <family val="2"/>
        <scheme val="minor"/>
      </rPr>
      <t xml:space="preserve"> (IL</t>
    </r>
    <r>
      <rPr>
        <vertAlign val="subscript"/>
        <sz val="11"/>
        <color theme="1"/>
        <rFont val="ＭＳ Ｐゴシック"/>
        <family val="2"/>
        <scheme val="minor"/>
      </rPr>
      <t>PEAK_VIN_MAX</t>
    </r>
    <r>
      <rPr>
        <sz val="11"/>
        <color theme="1"/>
        <rFont val="ＭＳ Ｐゴシック"/>
        <family val="2"/>
        <scheme val="minor"/>
      </rPr>
      <t>)</t>
    </r>
  </si>
  <si>
    <r>
      <t>Peak Inductor Current at V</t>
    </r>
    <r>
      <rPr>
        <vertAlign val="subscript"/>
        <sz val="11"/>
        <color theme="1"/>
        <rFont val="ＭＳ Ｐゴシック"/>
        <family val="2"/>
        <scheme val="minor"/>
      </rPr>
      <t>IN_TYP</t>
    </r>
    <r>
      <rPr>
        <sz val="11"/>
        <color theme="1"/>
        <rFont val="ＭＳ Ｐゴシック"/>
        <family val="2"/>
        <scheme val="minor"/>
      </rPr>
      <t xml:space="preserve"> (IL</t>
    </r>
    <r>
      <rPr>
        <vertAlign val="subscript"/>
        <sz val="11"/>
        <color theme="1"/>
        <rFont val="ＭＳ Ｐゴシック"/>
        <family val="2"/>
        <scheme val="minor"/>
      </rPr>
      <t>PEAK_VIN_TYP</t>
    </r>
    <r>
      <rPr>
        <sz val="11"/>
        <color theme="1"/>
        <rFont val="ＭＳ Ｐゴシック"/>
        <family val="2"/>
        <scheme val="minor"/>
      </rPr>
      <t>)</t>
    </r>
  </si>
  <si>
    <r>
      <t>Average Inductor Current at V</t>
    </r>
    <r>
      <rPr>
        <vertAlign val="subscript"/>
        <sz val="11"/>
        <color theme="1"/>
        <rFont val="ＭＳ Ｐゴシック"/>
        <family val="2"/>
        <scheme val="minor"/>
      </rPr>
      <t>IN_MIN</t>
    </r>
    <r>
      <rPr>
        <sz val="11"/>
        <color theme="1"/>
        <rFont val="ＭＳ Ｐゴシック"/>
        <family val="2"/>
        <scheme val="minor"/>
      </rPr>
      <t xml:space="preserve"> (IL</t>
    </r>
    <r>
      <rPr>
        <vertAlign val="subscript"/>
        <sz val="11"/>
        <color theme="1"/>
        <rFont val="ＭＳ Ｐゴシック"/>
        <family val="2"/>
        <scheme val="minor"/>
      </rPr>
      <t>AVG_VIN_MIN</t>
    </r>
    <r>
      <rPr>
        <sz val="11"/>
        <color theme="1"/>
        <rFont val="ＭＳ Ｐゴシック"/>
        <family val="2"/>
        <scheme val="minor"/>
      </rPr>
      <t>)</t>
    </r>
  </si>
  <si>
    <r>
      <t>Average Inductor Current at V</t>
    </r>
    <r>
      <rPr>
        <vertAlign val="subscript"/>
        <sz val="11"/>
        <color theme="1"/>
        <rFont val="ＭＳ Ｐゴシック"/>
        <family val="2"/>
        <scheme val="minor"/>
      </rPr>
      <t>IN_TYP</t>
    </r>
    <r>
      <rPr>
        <sz val="11"/>
        <color theme="1"/>
        <rFont val="ＭＳ Ｐゴシック"/>
        <family val="2"/>
        <scheme val="minor"/>
      </rPr>
      <t xml:space="preserve"> (IL</t>
    </r>
    <r>
      <rPr>
        <vertAlign val="subscript"/>
        <sz val="11"/>
        <color theme="1"/>
        <rFont val="ＭＳ Ｐゴシック"/>
        <family val="2"/>
        <scheme val="minor"/>
      </rPr>
      <t>AVG_VIN_TYP</t>
    </r>
    <r>
      <rPr>
        <sz val="11"/>
        <color theme="1"/>
        <rFont val="ＭＳ Ｐゴシック"/>
        <family val="2"/>
        <scheme val="minor"/>
      </rPr>
      <t>)</t>
    </r>
  </si>
  <si>
    <r>
      <t>Average Inductor Current at V</t>
    </r>
    <r>
      <rPr>
        <vertAlign val="subscript"/>
        <sz val="11"/>
        <color theme="1"/>
        <rFont val="ＭＳ Ｐゴシック"/>
        <family val="2"/>
        <scheme val="minor"/>
      </rPr>
      <t>IN_MAX</t>
    </r>
    <r>
      <rPr>
        <sz val="11"/>
        <color theme="1"/>
        <rFont val="ＭＳ Ｐゴシック"/>
        <family val="2"/>
        <scheme val="minor"/>
      </rPr>
      <t xml:space="preserve"> (IL</t>
    </r>
    <r>
      <rPr>
        <vertAlign val="subscript"/>
        <sz val="11"/>
        <color theme="1"/>
        <rFont val="ＭＳ Ｐゴシック"/>
        <family val="2"/>
        <scheme val="minor"/>
      </rPr>
      <t>AVG_VIN_MAX</t>
    </r>
    <r>
      <rPr>
        <sz val="11"/>
        <color theme="1"/>
        <rFont val="ＭＳ Ｐゴシック"/>
        <family val="2"/>
        <scheme val="minor"/>
      </rPr>
      <t>)</t>
    </r>
  </si>
  <si>
    <r>
      <t xml:space="preserve">Inductor Selection </t>
    </r>
    <r>
      <rPr>
        <b/>
        <sz val="10"/>
        <color theme="1"/>
        <rFont val="ＭＳ Ｐゴシック"/>
        <family val="2"/>
        <scheme val="minor"/>
      </rPr>
      <t>(Per Phase Calculations)</t>
    </r>
  </si>
  <si>
    <t>Current Limit Calcualtions</t>
  </si>
  <si>
    <r>
      <t>Selected Inductor Value (L</t>
    </r>
    <r>
      <rPr>
        <vertAlign val="subscript"/>
        <sz val="11"/>
        <color theme="1"/>
        <rFont val="ＭＳ Ｐゴシック"/>
        <family val="2"/>
        <scheme val="minor"/>
      </rPr>
      <t>M</t>
    </r>
    <r>
      <rPr>
        <sz val="11"/>
        <color theme="1"/>
        <rFont val="ＭＳ Ｐゴシック"/>
        <family val="2"/>
        <scheme val="minor"/>
      </rPr>
      <t>)</t>
    </r>
  </si>
  <si>
    <r>
      <t>Calculated Inductor Value (L</t>
    </r>
    <r>
      <rPr>
        <vertAlign val="subscript"/>
        <sz val="11"/>
        <color theme="1"/>
        <rFont val="ＭＳ Ｐゴシック"/>
        <family val="2"/>
        <scheme val="minor"/>
      </rPr>
      <t>CALC</t>
    </r>
    <r>
      <rPr>
        <sz val="11"/>
        <color theme="1"/>
        <rFont val="ＭＳ Ｐゴシック"/>
        <family val="2"/>
        <scheme val="minor"/>
      </rPr>
      <t>)</t>
    </r>
  </si>
  <si>
    <t>Selected Ripple Ratio (RR)</t>
  </si>
  <si>
    <r>
      <t>Selected margin for current limit (M</t>
    </r>
    <r>
      <rPr>
        <vertAlign val="subscript"/>
        <sz val="11"/>
        <color theme="1"/>
        <rFont val="ＭＳ Ｐゴシック"/>
        <family val="2"/>
        <scheme val="minor"/>
      </rPr>
      <t>LIMIT</t>
    </r>
    <r>
      <rPr>
        <sz val="11"/>
        <color theme="1"/>
        <rFont val="ＭＳ Ｐゴシック"/>
        <family val="2"/>
        <scheme val="minor"/>
      </rPr>
      <t>)</t>
    </r>
  </si>
  <si>
    <t>Current Limit Calculations</t>
  </si>
  <si>
    <t>Margin above the maximum peak limit</t>
  </si>
  <si>
    <t>IPEAK_LIMIT</t>
  </si>
  <si>
    <t>M_LIMIT</t>
  </si>
  <si>
    <t>Target Peak Limit Value</t>
  </si>
  <si>
    <t>Rcs_calc</t>
  </si>
  <si>
    <t>Calculated Current Sense Resistor (Typical Peak Current Limit)</t>
  </si>
  <si>
    <t>Rcs</t>
  </si>
  <si>
    <t>Selected Current Sense Resistor</t>
  </si>
  <si>
    <r>
      <t>Target Peak Current Limit (IL</t>
    </r>
    <r>
      <rPr>
        <vertAlign val="subscript"/>
        <sz val="11"/>
        <color theme="1"/>
        <rFont val="ＭＳ Ｐゴシック"/>
        <family val="2"/>
        <scheme val="minor"/>
      </rPr>
      <t>PEAK_LIMIT_TARGET</t>
    </r>
    <r>
      <rPr>
        <sz val="11"/>
        <color theme="1"/>
        <rFont val="ＭＳ Ｐゴシック"/>
        <family val="2"/>
        <scheme val="minor"/>
      </rPr>
      <t>)</t>
    </r>
  </si>
  <si>
    <r>
      <t>Calculated Current Sense Resistor (R</t>
    </r>
    <r>
      <rPr>
        <vertAlign val="subscript"/>
        <sz val="11"/>
        <color theme="1"/>
        <rFont val="ＭＳ Ｐゴシック"/>
        <family val="2"/>
        <scheme val="minor"/>
      </rPr>
      <t>CS_CALC</t>
    </r>
    <r>
      <rPr>
        <sz val="11"/>
        <color theme="1"/>
        <rFont val="ＭＳ Ｐゴシック"/>
        <family val="2"/>
        <scheme val="minor"/>
      </rPr>
      <t>)</t>
    </r>
  </si>
  <si>
    <r>
      <t>m</t>
    </r>
    <r>
      <rPr>
        <sz val="11"/>
        <color theme="1"/>
        <rFont val="Calibri"/>
        <family val="2"/>
      </rPr>
      <t>Ω</t>
    </r>
  </si>
  <si>
    <r>
      <t>Selected Current Sense Resistor (R</t>
    </r>
    <r>
      <rPr>
        <vertAlign val="subscript"/>
        <sz val="11"/>
        <color theme="1"/>
        <rFont val="ＭＳ Ｐゴシック"/>
        <family val="2"/>
        <scheme val="minor"/>
      </rPr>
      <t>CS</t>
    </r>
    <r>
      <rPr>
        <sz val="11"/>
        <color theme="1"/>
        <rFont val="ＭＳ Ｐゴシック"/>
        <family val="2"/>
        <scheme val="minor"/>
      </rPr>
      <t>)</t>
    </r>
  </si>
  <si>
    <t>mΩ</t>
  </si>
  <si>
    <t>Peak Current Limit @ VIN_MIN</t>
  </si>
  <si>
    <t>Peak Current Limit @ VIN_TYP</t>
  </si>
  <si>
    <t>Peak Current Limit @ VIN_MAX</t>
  </si>
  <si>
    <r>
      <t>Limited Peak Inductor Current (IL</t>
    </r>
    <r>
      <rPr>
        <vertAlign val="subscript"/>
        <sz val="11"/>
        <color theme="1"/>
        <rFont val="ＭＳ Ｐゴシック"/>
        <family val="2"/>
        <scheme val="minor"/>
      </rPr>
      <t>PEAK_LIMIT</t>
    </r>
    <r>
      <rPr>
        <sz val="11"/>
        <color theme="1"/>
        <rFont val="ＭＳ Ｐゴシック"/>
        <family val="2"/>
        <scheme val="minor"/>
      </rPr>
      <t>)</t>
    </r>
  </si>
  <si>
    <t>Maximum IOUT when peak current limit occurs @ VIN_MIN</t>
  </si>
  <si>
    <t>Maximum IOUT when peak current limit occurs @ VIN_MAX</t>
  </si>
  <si>
    <t>Maximum IOUT when peak current limit occurs @ VIN_TYP</t>
  </si>
  <si>
    <t>IL_OUT_VIN_MIN</t>
  </si>
  <si>
    <t>IL_OUT_VIN_TYP</t>
  </si>
  <si>
    <t>IL_OUT_VIN_MAX</t>
  </si>
  <si>
    <r>
      <t>Total maximum ouput current at peak current limit (I</t>
    </r>
    <r>
      <rPr>
        <vertAlign val="subscript"/>
        <sz val="11"/>
        <color theme="1"/>
        <rFont val="ＭＳ Ｐゴシック"/>
        <family val="2"/>
        <scheme val="minor"/>
      </rPr>
      <t>OUT_LIMIT_VIN_TYP</t>
    </r>
    <r>
      <rPr>
        <sz val="11"/>
        <color theme="1"/>
        <rFont val="ＭＳ Ｐゴシック"/>
        <family val="2"/>
        <scheme val="minor"/>
      </rPr>
      <t>)</t>
    </r>
  </si>
  <si>
    <r>
      <t>Total maximum ouput current at peak current limit (I</t>
    </r>
    <r>
      <rPr>
        <vertAlign val="subscript"/>
        <sz val="11"/>
        <color theme="1"/>
        <rFont val="ＭＳ Ｐゴシック"/>
        <family val="2"/>
        <scheme val="minor"/>
      </rPr>
      <t>OUT_LIMIT_VIN_MIN</t>
    </r>
    <r>
      <rPr>
        <sz val="11"/>
        <color theme="1"/>
        <rFont val="ＭＳ Ｐゴシック"/>
        <family val="2"/>
        <scheme val="minor"/>
      </rPr>
      <t>)</t>
    </r>
  </si>
  <si>
    <r>
      <t>Total maximum ouput current at peak current limit (I</t>
    </r>
    <r>
      <rPr>
        <vertAlign val="subscript"/>
        <sz val="11"/>
        <color theme="1"/>
        <rFont val="ＭＳ Ｐゴシック"/>
        <family val="2"/>
        <scheme val="minor"/>
      </rPr>
      <t>OUT_LIMIT_VIN_MAX</t>
    </r>
    <r>
      <rPr>
        <sz val="11"/>
        <color theme="1"/>
        <rFont val="ＭＳ Ｐゴシック"/>
        <family val="2"/>
        <scheme val="minor"/>
      </rPr>
      <t>)</t>
    </r>
  </si>
  <si>
    <t>Slope Compensation</t>
  </si>
  <si>
    <t>Slope Compensation k factor</t>
  </si>
  <si>
    <t>Slope Compenstation</t>
  </si>
  <si>
    <r>
      <t>Selected K Factor (K</t>
    </r>
    <r>
      <rPr>
        <vertAlign val="subscript"/>
        <sz val="11"/>
        <color theme="1"/>
        <rFont val="ＭＳ Ｐゴシック"/>
        <family val="2"/>
        <scheme val="minor"/>
      </rPr>
      <t>SLOPE</t>
    </r>
    <r>
      <rPr>
        <sz val="11"/>
        <color theme="1"/>
        <rFont val="ＭＳ Ｐゴシック"/>
        <family val="2"/>
        <scheme val="minor"/>
      </rPr>
      <t>)</t>
    </r>
  </si>
  <si>
    <t>K_slope_selected</t>
  </si>
  <si>
    <t>R_slope_calc</t>
  </si>
  <si>
    <t>Calcualted R slope value for the chossen k Factor</t>
  </si>
  <si>
    <t>R_slope_min</t>
  </si>
  <si>
    <t>Minimum value of the slope resistor</t>
  </si>
  <si>
    <t>kΩ</t>
  </si>
  <si>
    <t>R_slope</t>
  </si>
  <si>
    <t>Selected R Slope Value</t>
  </si>
  <si>
    <t>K_slope @ VIN_MIN</t>
  </si>
  <si>
    <t>K_slope @ VIN_TYP</t>
  </si>
  <si>
    <t>K_slope @ VIN_MAX</t>
  </si>
  <si>
    <t>Acs</t>
  </si>
  <si>
    <t>Current Sense Amplifier Gain</t>
  </si>
  <si>
    <t>VCL_Typ</t>
  </si>
  <si>
    <t>Typical Current Limit Value</t>
  </si>
  <si>
    <t>K slope at VIN_MIN</t>
  </si>
  <si>
    <t>K slope at VIN_MAX</t>
  </si>
  <si>
    <t>K slope at VIN_TYP</t>
  </si>
  <si>
    <t>Sub_Har_VIN_MIN</t>
  </si>
  <si>
    <t>Sub_Har_VIN_TYP</t>
  </si>
  <si>
    <t>Sub_Har_VIN_MAX</t>
  </si>
  <si>
    <t>Check for Subharmonic Osillation</t>
  </si>
  <si>
    <t>OUTPUT Capacitance Selection</t>
  </si>
  <si>
    <t>Specifications</t>
  </si>
  <si>
    <t>Timing Resistor</t>
  </si>
  <si>
    <t>Vout_ripple</t>
  </si>
  <si>
    <t>Desired output ripple</t>
  </si>
  <si>
    <t>mV</t>
  </si>
  <si>
    <t>Output ripple due to capacitive ripple</t>
  </si>
  <si>
    <t>F</t>
  </si>
  <si>
    <t>uF</t>
  </si>
  <si>
    <t>Cout</t>
  </si>
  <si>
    <t>Resr</t>
  </si>
  <si>
    <t>Selected total amount of output capacitance</t>
  </si>
  <si>
    <t>Total series resistance of the output capacitance</t>
  </si>
  <si>
    <r>
      <t>Total sereies resistance of output capacitance (R</t>
    </r>
    <r>
      <rPr>
        <vertAlign val="subscript"/>
        <sz val="11"/>
        <color theme="1"/>
        <rFont val="ＭＳ Ｐゴシック"/>
        <family val="2"/>
        <scheme val="minor"/>
      </rPr>
      <t>ESR</t>
    </r>
    <r>
      <rPr>
        <sz val="11"/>
        <color theme="1"/>
        <rFont val="ＭＳ Ｐゴシック"/>
        <family val="2"/>
        <scheme val="minor"/>
      </rPr>
      <t>)</t>
    </r>
  </si>
  <si>
    <r>
      <t>Selected output capacitance (C</t>
    </r>
    <r>
      <rPr>
        <vertAlign val="subscript"/>
        <sz val="11"/>
        <color theme="1"/>
        <rFont val="ＭＳ Ｐゴシック"/>
        <family val="2"/>
        <scheme val="minor"/>
      </rPr>
      <t>OUT</t>
    </r>
    <r>
      <rPr>
        <sz val="11"/>
        <color theme="1"/>
        <rFont val="ＭＳ Ｐゴシック"/>
        <family val="2"/>
        <scheme val="minor"/>
      </rPr>
      <t>)</t>
    </r>
  </si>
  <si>
    <t>w_RHP</t>
  </si>
  <si>
    <t>RAD/s</t>
  </si>
  <si>
    <t>w_Z_ESR</t>
  </si>
  <si>
    <t xml:space="preserve">Zero due to output capacitance and ESR </t>
  </si>
  <si>
    <t>w_p_low</t>
  </si>
  <si>
    <t>ADC</t>
  </si>
  <si>
    <t>DC gain of the Plant function</t>
  </si>
  <si>
    <t>Qfact</t>
  </si>
  <si>
    <t>Quatility Factor due to slope compensation</t>
  </si>
  <si>
    <t>Control Loop Calculations (@ VIN_MIN)</t>
  </si>
  <si>
    <t>Compensation Calcualtions</t>
  </si>
  <si>
    <r>
      <t>Selected Top Feedback Resistor (R</t>
    </r>
    <r>
      <rPr>
        <vertAlign val="subscript"/>
        <sz val="11"/>
        <color theme="1"/>
        <rFont val="ＭＳ Ｐゴシック"/>
        <family val="2"/>
        <scheme val="minor"/>
      </rPr>
      <t>FB2</t>
    </r>
    <r>
      <rPr>
        <sz val="11"/>
        <color theme="1"/>
        <rFont val="ＭＳ Ｐゴシック"/>
        <family val="2"/>
        <scheme val="minor"/>
      </rPr>
      <t>)</t>
    </r>
  </si>
  <si>
    <r>
      <t>Calculated Bottom Feedback Resistor (R</t>
    </r>
    <r>
      <rPr>
        <vertAlign val="subscript"/>
        <sz val="11"/>
        <color theme="1"/>
        <rFont val="ＭＳ Ｐゴシック"/>
        <family val="2"/>
        <scheme val="minor"/>
      </rPr>
      <t>FB1</t>
    </r>
    <r>
      <rPr>
        <sz val="11"/>
        <color theme="1"/>
        <rFont val="ＭＳ Ｐゴシック"/>
        <family val="2"/>
        <scheme val="minor"/>
      </rPr>
      <t>)</t>
    </r>
  </si>
  <si>
    <r>
      <t>Selected Bottom Feedback Resistor (R</t>
    </r>
    <r>
      <rPr>
        <vertAlign val="subscript"/>
        <sz val="11"/>
        <color theme="1"/>
        <rFont val="ＭＳ Ｐゴシック"/>
        <family val="2"/>
        <scheme val="minor"/>
      </rPr>
      <t>FB1</t>
    </r>
    <r>
      <rPr>
        <sz val="11"/>
        <color theme="1"/>
        <rFont val="ＭＳ Ｐゴシック"/>
        <family val="2"/>
        <scheme val="minor"/>
      </rPr>
      <t>)</t>
    </r>
  </si>
  <si>
    <t>Feedback Resistor Calcualtion</t>
  </si>
  <si>
    <t>RFB_Top</t>
  </si>
  <si>
    <t>RFB_Bottom_Calc</t>
  </si>
  <si>
    <t>Calculated Bottom Feedback Resistor</t>
  </si>
  <si>
    <t>RFB_Bottom</t>
  </si>
  <si>
    <t>Selected Bottom Feedback Resistor</t>
  </si>
  <si>
    <t>Selected Top Feedback resistor</t>
  </si>
  <si>
    <t>VOUT_actual</t>
  </si>
  <si>
    <t>I_FB</t>
  </si>
  <si>
    <t>The set output voltage based on the selected resistors</t>
  </si>
  <si>
    <t>The amount of current that will be drawing during switching</t>
  </si>
  <si>
    <t>Compensation calculations</t>
  </si>
  <si>
    <t>F_cross (1/10 of Fsw? Or 1/4 RHP fz)</t>
  </si>
  <si>
    <t xml:space="preserve">Rcomp </t>
  </si>
  <si>
    <t>ohm</t>
  </si>
  <si>
    <t>Ccomp</t>
  </si>
  <si>
    <t>CHF</t>
  </si>
  <si>
    <t>Rcomp</t>
  </si>
  <si>
    <t>nF</t>
  </si>
  <si>
    <t>pF</t>
  </si>
  <si>
    <t>Soft-start capacitor selection</t>
  </si>
  <si>
    <t>UVLO resistor selection</t>
  </si>
  <si>
    <t>Desired minimum soft-start time @VIN(MAX), TSS [ms]</t>
  </si>
  <si>
    <r>
      <t>Soft-start capacitor, C</t>
    </r>
    <r>
      <rPr>
        <vertAlign val="subscript"/>
        <sz val="11"/>
        <rFont val="ＭＳ Ｐゴシック"/>
        <family val="2"/>
        <scheme val="minor"/>
      </rPr>
      <t>SS</t>
    </r>
    <r>
      <rPr>
        <sz val="11"/>
        <rFont val="ＭＳ Ｐゴシック"/>
        <family val="2"/>
        <scheme val="minor"/>
      </rPr>
      <t xml:space="preserve"> [nF]</t>
    </r>
  </si>
  <si>
    <r>
      <t>Maximum soft-start time @V</t>
    </r>
    <r>
      <rPr>
        <vertAlign val="subscript"/>
        <sz val="11"/>
        <rFont val="ＭＳ Ｐゴシック"/>
        <family val="2"/>
        <scheme val="minor"/>
      </rPr>
      <t>IN(MIN)</t>
    </r>
    <r>
      <rPr>
        <sz val="11"/>
        <rFont val="ＭＳ Ｐゴシック"/>
        <family val="2"/>
        <scheme val="minor"/>
      </rPr>
      <t>, T</t>
    </r>
    <r>
      <rPr>
        <vertAlign val="subscript"/>
        <sz val="11"/>
        <rFont val="ＭＳ Ｐゴシック"/>
        <family val="2"/>
        <scheme val="minor"/>
      </rPr>
      <t>SS</t>
    </r>
    <r>
      <rPr>
        <sz val="11"/>
        <rFont val="ＭＳ Ｐゴシック"/>
        <family val="2"/>
        <scheme val="minor"/>
      </rPr>
      <t xml:space="preserve"> [ms]</t>
    </r>
  </si>
  <si>
    <t xml:space="preserve">ISS = </t>
  </si>
  <si>
    <r>
      <t>Desired start-up voltage, V</t>
    </r>
    <r>
      <rPr>
        <vertAlign val="subscript"/>
        <sz val="11"/>
        <rFont val="ＭＳ Ｐゴシック"/>
        <family val="2"/>
        <scheme val="minor"/>
      </rPr>
      <t>IN(STARTUP)</t>
    </r>
    <r>
      <rPr>
        <sz val="11"/>
        <color theme="1"/>
        <rFont val="ＭＳ Ｐゴシック"/>
        <family val="2"/>
        <scheme val="minor"/>
      </rPr>
      <t xml:space="preserve"> [V]</t>
    </r>
  </si>
  <si>
    <r>
      <t>UVLO shutdown voltage, V</t>
    </r>
    <r>
      <rPr>
        <vertAlign val="subscript"/>
        <sz val="11"/>
        <color theme="1"/>
        <rFont val="ＭＳ Ｐゴシック"/>
        <family val="2"/>
        <scheme val="minor"/>
      </rPr>
      <t>IN(SHUTDOWN)</t>
    </r>
    <r>
      <rPr>
        <sz val="11"/>
        <color theme="1"/>
        <rFont val="ＭＳ Ｐゴシック"/>
        <family val="2"/>
        <scheme val="minor"/>
      </rPr>
      <t xml:space="preserve"> [V]</t>
    </r>
  </si>
  <si>
    <t>IHYS =</t>
  </si>
  <si>
    <t xml:space="preserve">Uvth = </t>
  </si>
  <si>
    <t>IHYSmin =</t>
  </si>
  <si>
    <t>Uvthmin =</t>
  </si>
  <si>
    <r>
      <t>UV hysteresis, V</t>
    </r>
    <r>
      <rPr>
        <vertAlign val="subscript"/>
        <sz val="11"/>
        <rFont val="ＭＳ Ｐゴシック"/>
        <family val="2"/>
        <scheme val="minor"/>
      </rPr>
      <t>HYS</t>
    </r>
    <r>
      <rPr>
        <sz val="11"/>
        <color theme="1"/>
        <rFont val="ＭＳ Ｐゴシック"/>
        <family val="2"/>
        <scheme val="minor"/>
      </rPr>
      <t xml:space="preserve"> [V]</t>
    </r>
  </si>
  <si>
    <r>
      <t>Desired start-up voltage, V</t>
    </r>
    <r>
      <rPr>
        <vertAlign val="subscript"/>
        <sz val="11"/>
        <color theme="1"/>
        <rFont val="ＭＳ Ｐゴシック"/>
        <family val="2"/>
        <scheme val="minor"/>
      </rPr>
      <t>IN(turnoff)</t>
    </r>
    <r>
      <rPr>
        <sz val="11"/>
        <color theme="1"/>
        <rFont val="ＭＳ Ｐゴシック"/>
        <family val="2"/>
        <scheme val="minor"/>
      </rPr>
      <t xml:space="preserve"> [V]</t>
    </r>
  </si>
  <si>
    <r>
      <t>Selected R</t>
    </r>
    <r>
      <rPr>
        <vertAlign val="subscript"/>
        <sz val="11"/>
        <color theme="1"/>
        <rFont val="ＭＳ Ｐゴシック"/>
        <family val="2"/>
        <scheme val="minor"/>
      </rPr>
      <t>UV2</t>
    </r>
    <r>
      <rPr>
        <sz val="11"/>
        <color theme="1"/>
        <rFont val="ＭＳ Ｐゴシック"/>
        <family val="2"/>
        <scheme val="minor"/>
      </rPr>
      <t xml:space="preserve"> [kΩ]</t>
    </r>
  </si>
  <si>
    <t xml:space="preserve">UV_standby = </t>
  </si>
  <si>
    <t>UV_standby_HYS</t>
  </si>
  <si>
    <r>
      <t>(top) Calculated R</t>
    </r>
    <r>
      <rPr>
        <vertAlign val="subscript"/>
        <sz val="11"/>
        <rFont val="ＭＳ Ｐゴシック"/>
        <family val="2"/>
        <scheme val="minor"/>
      </rPr>
      <t>UV2</t>
    </r>
    <r>
      <rPr>
        <sz val="11"/>
        <color theme="1"/>
        <rFont val="ＭＳ Ｐゴシック"/>
        <family val="2"/>
        <scheme val="minor"/>
      </rPr>
      <t xml:space="preserve"> [kΩ]</t>
    </r>
  </si>
  <si>
    <r>
      <t>Calculated R</t>
    </r>
    <r>
      <rPr>
        <vertAlign val="subscript"/>
        <sz val="11"/>
        <rFont val="ＭＳ Ｐゴシック"/>
        <family val="2"/>
        <scheme val="minor"/>
      </rPr>
      <t>UV1</t>
    </r>
    <r>
      <rPr>
        <sz val="11"/>
        <color theme="1"/>
        <rFont val="ＭＳ Ｐゴシック"/>
        <family val="2"/>
        <scheme val="minor"/>
      </rPr>
      <t xml:space="preserve"> [kΩ]</t>
    </r>
  </si>
  <si>
    <t>ratio of Rcomp and RFB2 top determines mid-band gain AFB_MID, so large RFB2 means large Comp, RFB2 should be large enuff to keep power diss small.</t>
  </si>
  <si>
    <t>Low Freqeuncy pole to to ROUT and COUT (dominant load pole)</t>
  </si>
  <si>
    <t>Rload * D' = Vin_min/Iout</t>
  </si>
  <si>
    <t>Feedback DC gain</t>
  </si>
  <si>
    <t>Mid-band gain</t>
  </si>
  <si>
    <t>Low freq zero</t>
  </si>
  <si>
    <t>High Freq pole</t>
  </si>
  <si>
    <t xml:space="preserve"> (mA)</t>
  </si>
  <si>
    <t>RHP Freq</t>
  </si>
  <si>
    <t>ESR zero Freq</t>
  </si>
  <si>
    <t>Low Freq Pole</t>
  </si>
  <si>
    <t>calc. suggested one of the two values</t>
  </si>
  <si>
    <t>Desired Cross over freq</t>
  </si>
  <si>
    <t xml:space="preserve">Ccomp  </t>
  </si>
  <si>
    <t>Selected cross over frequency</t>
  </si>
  <si>
    <t>Suggested Cross over frequency</t>
  </si>
  <si>
    <t>Calculated</t>
  </si>
  <si>
    <t>Selected</t>
  </si>
  <si>
    <r>
      <t>R</t>
    </r>
    <r>
      <rPr>
        <vertAlign val="subscript"/>
        <sz val="11"/>
        <color theme="1"/>
        <rFont val="ＭＳ Ｐゴシック"/>
        <family val="2"/>
        <scheme val="minor"/>
      </rPr>
      <t>COMP</t>
    </r>
  </si>
  <si>
    <r>
      <t>C</t>
    </r>
    <r>
      <rPr>
        <vertAlign val="subscript"/>
        <sz val="11"/>
        <color theme="1"/>
        <rFont val="ＭＳ Ｐゴシック"/>
        <family val="2"/>
        <scheme val="minor"/>
      </rPr>
      <t>COMP</t>
    </r>
  </si>
  <si>
    <r>
      <t>C</t>
    </r>
    <r>
      <rPr>
        <vertAlign val="subscript"/>
        <sz val="11"/>
        <color theme="1"/>
        <rFont val="ＭＳ Ｐゴシック"/>
        <family val="2"/>
        <scheme val="minor"/>
      </rPr>
      <t>HF</t>
    </r>
  </si>
  <si>
    <t>Efficiency / Power Loss Analyzer</t>
  </si>
  <si>
    <t>Low-Side MOSFET Parameters (QLS)</t>
  </si>
  <si>
    <r>
      <t>High-Side MOSFET Parameters (Q</t>
    </r>
    <r>
      <rPr>
        <b/>
        <vertAlign val="subscript"/>
        <sz val="11"/>
        <color theme="2" tint="-0.89996032593768116"/>
        <rFont val="ＭＳ Ｐゴシック"/>
        <family val="2"/>
        <scheme val="minor"/>
      </rPr>
      <t>HS</t>
    </r>
    <r>
      <rPr>
        <b/>
        <sz val="11"/>
        <color theme="2" tint="-0.89999084444715716"/>
        <rFont val="ＭＳ Ｐゴシック"/>
        <family val="2"/>
        <scheme val="minor"/>
      </rPr>
      <t>)</t>
    </r>
  </si>
  <si>
    <t>Value</t>
  </si>
  <si>
    <t>STD Units</t>
  </si>
  <si>
    <t>Notes</t>
  </si>
  <si>
    <t>Input Parameters</t>
  </si>
  <si>
    <t>VIN_min</t>
  </si>
  <si>
    <t>Minimum input voltage</t>
  </si>
  <si>
    <t>VIN_nom</t>
  </si>
  <si>
    <t>Nominal input voltage</t>
  </si>
  <si>
    <t>VIN_max</t>
  </si>
  <si>
    <t>Maximum input voltage</t>
  </si>
  <si>
    <t>Fsw</t>
  </si>
  <si>
    <t xml:space="preserve">Switching frequnecy </t>
  </si>
  <si>
    <t>VIN_VAR</t>
  </si>
  <si>
    <t>Variable input voltage</t>
  </si>
  <si>
    <t>IOUT_VAR</t>
  </si>
  <si>
    <t>Variable output current (Can add this a different revision, not needed right now)</t>
  </si>
  <si>
    <t>Component Selection</t>
  </si>
  <si>
    <t>LM</t>
  </si>
  <si>
    <t>filter Inductor</t>
  </si>
  <si>
    <t>R_cs</t>
  </si>
  <si>
    <t>Ω</t>
  </si>
  <si>
    <t>R_sl</t>
  </si>
  <si>
    <t>Rsl_int</t>
  </si>
  <si>
    <t>Isl</t>
  </si>
  <si>
    <t>Vsl</t>
  </si>
  <si>
    <t>Gcomp</t>
  </si>
  <si>
    <t>Input from user =</t>
  </si>
  <si>
    <t>Output =</t>
  </si>
  <si>
    <t>Constant</t>
  </si>
  <si>
    <t>Maximum Output current (per phase)</t>
  </si>
  <si>
    <t>Kex</t>
  </si>
  <si>
    <t>Km</t>
  </si>
  <si>
    <t>Kd</t>
  </si>
  <si>
    <r>
      <t>Selected V</t>
    </r>
    <r>
      <rPr>
        <vertAlign val="subscript"/>
        <sz val="11"/>
        <color theme="1"/>
        <rFont val="ＭＳ Ｐゴシック"/>
        <family val="2"/>
        <scheme val="minor"/>
      </rPr>
      <t>in</t>
    </r>
  </si>
  <si>
    <t>DC gain of plant function with Vin_vari</t>
  </si>
  <si>
    <t>Slope compensation parameters. Will change pole and DC gain equation</t>
  </si>
  <si>
    <r>
      <t>External Slope Compensation Resistor</t>
    </r>
    <r>
      <rPr>
        <b/>
        <sz val="11"/>
        <color theme="1"/>
        <rFont val="ＭＳ Ｐゴシック"/>
        <family val="2"/>
        <scheme val="minor"/>
      </rPr>
      <t xml:space="preserve"> </t>
    </r>
  </si>
  <si>
    <t>wp_lf</t>
  </si>
  <si>
    <t>wz_rhp</t>
  </si>
  <si>
    <t>wz_esr</t>
  </si>
  <si>
    <t>Se</t>
  </si>
  <si>
    <t>Sn</t>
  </si>
  <si>
    <t>wsl</t>
  </si>
  <si>
    <t>Q</t>
  </si>
  <si>
    <t>Rad/s</t>
  </si>
  <si>
    <t>same as usual not dependant on Vin</t>
  </si>
  <si>
    <t>Low Frequency Pole</t>
  </si>
  <si>
    <t>RHPz zero of boost converter with Vin_vari</t>
  </si>
  <si>
    <t>ESR zero cause by output capacitance</t>
  </si>
  <si>
    <t>Down slope at the selected input voltage</t>
  </si>
  <si>
    <t>Rad</t>
  </si>
  <si>
    <t>Error Amplifier</t>
  </si>
  <si>
    <t>Compensation Components</t>
  </si>
  <si>
    <t>RFBT</t>
  </si>
  <si>
    <t>RFBB</t>
  </si>
  <si>
    <t>RCOMP</t>
  </si>
  <si>
    <t>CCOMP</t>
  </si>
  <si>
    <t>Adc_ea</t>
  </si>
  <si>
    <t>wz_ea</t>
  </si>
  <si>
    <t>wp0_ea</t>
  </si>
  <si>
    <t>wp1_ea</t>
  </si>
  <si>
    <t>Top feedback resistor</t>
  </si>
  <si>
    <t>Bottom feedback resistor</t>
  </si>
  <si>
    <t>Type II compensation Resistort</t>
  </si>
  <si>
    <t>Type II compensation Capacitor</t>
  </si>
  <si>
    <t>Type II high frequency capacitor</t>
  </si>
  <si>
    <t>Error Amplifier Zero</t>
  </si>
  <si>
    <t>Error Amplifier pole at the origin</t>
  </si>
  <si>
    <t>Error Amplifier pole at high frequencies</t>
  </si>
  <si>
    <t>F_Cross selected</t>
  </si>
  <si>
    <t>Operating mode</t>
  </si>
  <si>
    <t>CCM Plant Transfer Function</t>
  </si>
  <si>
    <t>Sampling</t>
  </si>
  <si>
    <t>Total</t>
  </si>
  <si>
    <t>Complex</t>
  </si>
  <si>
    <t>Gain</t>
  </si>
  <si>
    <t>Phase</t>
  </si>
  <si>
    <t>COMPLEX</t>
  </si>
  <si>
    <t>Frcoss (VIN)min</t>
  </si>
  <si>
    <t>Fcross (VINvar)</t>
  </si>
  <si>
    <t>wz_RHP</t>
  </si>
  <si>
    <t>Kex_VINmin</t>
  </si>
  <si>
    <t>Km_VINmin</t>
  </si>
  <si>
    <t>Kd_VINmin</t>
  </si>
  <si>
    <t>ADC_VINmin</t>
  </si>
  <si>
    <t>wp_lf_VINmin</t>
  </si>
  <si>
    <t>rad</t>
  </si>
  <si>
    <t>Low frequency pole based on the minimum input voltage</t>
  </si>
  <si>
    <t>fp_lf_VINmin</t>
  </si>
  <si>
    <r>
      <t xml:space="preserve">Plant low frequency pole. </t>
    </r>
    <r>
      <rPr>
        <b/>
        <sz val="11"/>
        <color theme="1"/>
        <rFont val="ＭＳ Ｐゴシック"/>
        <family val="2"/>
        <scheme val="minor"/>
      </rPr>
      <t>IN Hz!!!</t>
    </r>
  </si>
  <si>
    <t>wz_esr_VINmin</t>
  </si>
  <si>
    <t>raf</t>
  </si>
  <si>
    <t>ESR zero based on the minimum input voltage</t>
  </si>
  <si>
    <t>fz_esr_VINmin</t>
  </si>
  <si>
    <r>
      <t xml:space="preserve">Plant capacitor ESR zero </t>
    </r>
    <r>
      <rPr>
        <b/>
        <sz val="11"/>
        <color theme="1"/>
        <rFont val="ＭＳ Ｐゴシック"/>
        <family val="2"/>
        <scheme val="minor"/>
      </rPr>
      <t>(In Hz)</t>
    </r>
  </si>
  <si>
    <t>wz_RHP_VINmin</t>
  </si>
  <si>
    <t>RHP_zero location based on the minimum input voltage</t>
  </si>
  <si>
    <t>fz_rhp_VINmin</t>
  </si>
  <si>
    <r>
      <t xml:space="preserve">Plant RHP Zero, </t>
    </r>
    <r>
      <rPr>
        <b/>
        <sz val="11"/>
        <color theme="1"/>
        <rFont val="ＭＳ Ｐゴシック"/>
        <family val="2"/>
        <scheme val="minor"/>
      </rPr>
      <t>(IN Hz)</t>
    </r>
  </si>
  <si>
    <t>1/10 the swictching frequency</t>
  </si>
  <si>
    <t>Select the lower crossover frequency</t>
  </si>
  <si>
    <t>Se_VINmin</t>
  </si>
  <si>
    <t>Slope compensation (VSL is refered to the current sense resistor)</t>
  </si>
  <si>
    <t>Sn_VINmin</t>
  </si>
  <si>
    <t>wsl_VINmin</t>
  </si>
  <si>
    <t>Sampling pole</t>
  </si>
  <si>
    <t>Q_VINmin</t>
  </si>
  <si>
    <t>Q factor of the inductor sampling curve</t>
  </si>
  <si>
    <t>CCM Open Loop Response</t>
  </si>
  <si>
    <t>Displayed Loop Calclation</t>
  </si>
  <si>
    <t>ADC_ea</t>
  </si>
  <si>
    <t xml:space="preserve">Gain </t>
  </si>
  <si>
    <t>Cout_Calc_Ripple_VINmin</t>
  </si>
  <si>
    <r>
      <t xml:space="preserve">Output Capacitance </t>
    </r>
    <r>
      <rPr>
        <vertAlign val="subscript"/>
        <sz val="16"/>
        <color theme="1"/>
        <rFont val="ＭＳ Ｐゴシック"/>
        <family val="2"/>
        <scheme val="minor"/>
      </rPr>
      <t>(per phase)</t>
    </r>
  </si>
  <si>
    <t>ms</t>
  </si>
  <si>
    <r>
      <t>Calculated soft-start capacitor (C</t>
    </r>
    <r>
      <rPr>
        <vertAlign val="subscript"/>
        <sz val="11"/>
        <color theme="1"/>
        <rFont val="ＭＳ Ｐゴシック"/>
        <family val="2"/>
        <scheme val="minor"/>
      </rPr>
      <t>SS</t>
    </r>
    <r>
      <rPr>
        <sz val="11"/>
        <color theme="1"/>
        <rFont val="ＭＳ Ｐゴシック"/>
        <family val="2"/>
        <scheme val="minor"/>
      </rPr>
      <t>)</t>
    </r>
  </si>
  <si>
    <t>Soft-Start Capacitor Calculation</t>
  </si>
  <si>
    <t>Feedback Resistor Calculations</t>
  </si>
  <si>
    <r>
      <t>Desired minimum soft-start time at maximum input voltage (T</t>
    </r>
    <r>
      <rPr>
        <vertAlign val="subscript"/>
        <sz val="11"/>
        <color theme="1"/>
        <rFont val="ＭＳ Ｐゴシック"/>
        <family val="2"/>
        <scheme val="minor"/>
      </rPr>
      <t>SS_MIN</t>
    </r>
    <r>
      <rPr>
        <sz val="11"/>
        <color theme="1"/>
        <rFont val="ＭＳ Ｐゴシック"/>
        <family val="2"/>
        <scheme val="minor"/>
      </rPr>
      <t>)</t>
    </r>
  </si>
  <si>
    <r>
      <t>Maximum soft-start time at minimum input voltage (T</t>
    </r>
    <r>
      <rPr>
        <vertAlign val="subscript"/>
        <sz val="11"/>
        <color theme="1"/>
        <rFont val="ＭＳ Ｐゴシック"/>
        <family val="2"/>
        <scheme val="minor"/>
      </rPr>
      <t>SS_MAX</t>
    </r>
    <r>
      <rPr>
        <sz val="11"/>
        <color theme="1"/>
        <rFont val="ＭＳ Ｐゴシック"/>
        <family val="2"/>
        <scheme val="minor"/>
      </rPr>
      <t>)</t>
    </r>
  </si>
  <si>
    <t>Light load operation switching mode</t>
  </si>
  <si>
    <r>
      <t xml:space="preserve"> Output Power Per Phase, P</t>
    </r>
    <r>
      <rPr>
        <vertAlign val="subscript"/>
        <sz val="10"/>
        <color theme="1"/>
        <rFont val="ＭＳ Ｐゴシック"/>
        <family val="2"/>
        <scheme val="minor"/>
      </rPr>
      <t>OUT</t>
    </r>
    <r>
      <rPr>
        <sz val="10"/>
        <color theme="1"/>
        <rFont val="ＭＳ Ｐゴシック"/>
        <family val="2"/>
        <scheme val="minor"/>
      </rPr>
      <t xml:space="preserve"> </t>
    </r>
  </si>
  <si>
    <r>
      <t>Total Output Power, P</t>
    </r>
    <r>
      <rPr>
        <vertAlign val="subscript"/>
        <sz val="10"/>
        <color theme="1"/>
        <rFont val="ＭＳ Ｐゴシック"/>
        <family val="2"/>
        <scheme val="minor"/>
      </rPr>
      <t>OUT</t>
    </r>
    <r>
      <rPr>
        <sz val="10"/>
        <color theme="1"/>
        <rFont val="ＭＳ Ｐゴシック"/>
        <family val="2"/>
        <scheme val="minor"/>
      </rPr>
      <t xml:space="preserve"> </t>
    </r>
  </si>
  <si>
    <t>selected switching mode (1 = SKIP, 2 = DEM, 3 =FPWM) Will change the effieciency calculations accordingly</t>
  </si>
  <si>
    <t>W</t>
  </si>
  <si>
    <t>SW_mode</t>
  </si>
  <si>
    <t>SKIP</t>
  </si>
  <si>
    <t>DEM</t>
  </si>
  <si>
    <t>FPWM</t>
  </si>
  <si>
    <t>DC_VIN_var_DCM</t>
  </si>
  <si>
    <t>Fm_DCM</t>
  </si>
  <si>
    <t>ADC_VIN_min_DCM</t>
  </si>
  <si>
    <t>wp_lf_DCM</t>
  </si>
  <si>
    <t>wz1_dcm</t>
  </si>
  <si>
    <t>wz2_dcm</t>
  </si>
  <si>
    <t>DCM Operation Loop Model</t>
  </si>
  <si>
    <t>DCM Open Loop Response</t>
  </si>
  <si>
    <t>DEM_DCM_mode</t>
  </si>
  <si>
    <t>Selected VIN</t>
  </si>
  <si>
    <t>DCM Plant Transfer Function</t>
  </si>
  <si>
    <t>Frequency</t>
  </si>
  <si>
    <t>Gain(dB)</t>
  </si>
  <si>
    <t>Phase (deg)</t>
  </si>
  <si>
    <r>
      <t>On-State Resistance, R</t>
    </r>
    <r>
      <rPr>
        <vertAlign val="subscript"/>
        <sz val="10"/>
        <color theme="2" tint="-0.89999084444715716"/>
        <rFont val="Arial"/>
        <family val="2"/>
      </rPr>
      <t>DS(on)</t>
    </r>
    <r>
      <rPr>
        <sz val="10"/>
        <color theme="2" tint="-0.89999084444715716"/>
        <rFont val="Arial"/>
        <family val="2"/>
      </rPr>
      <t xml:space="preserve"> </t>
    </r>
  </si>
  <si>
    <t>mΩ</t>
  </si>
  <si>
    <r>
      <t>Total Gate Charge, Q</t>
    </r>
    <r>
      <rPr>
        <vertAlign val="subscript"/>
        <sz val="10"/>
        <color theme="2" tint="-0.89999084444715716"/>
        <rFont val="Arial"/>
        <family val="2"/>
      </rPr>
      <t>G</t>
    </r>
    <r>
      <rPr>
        <sz val="10"/>
        <color theme="2" tint="-0.89999084444715716"/>
        <rFont val="Arial"/>
        <family val="2"/>
      </rPr>
      <t xml:space="preserve"> </t>
    </r>
  </si>
  <si>
    <t>nC</t>
  </si>
  <si>
    <r>
      <t>Gate-Drain Charge, Q</t>
    </r>
    <r>
      <rPr>
        <vertAlign val="subscript"/>
        <sz val="10"/>
        <color theme="2" tint="-0.89999084444715716"/>
        <rFont val="Arial"/>
        <family val="2"/>
      </rPr>
      <t>GD</t>
    </r>
    <r>
      <rPr>
        <sz val="10"/>
        <color theme="2" tint="-0.89999084444715716"/>
        <rFont val="Arial"/>
        <family val="2"/>
      </rPr>
      <t xml:space="preserve"> </t>
    </r>
  </si>
  <si>
    <r>
      <t>Gate-Source Charge, Q</t>
    </r>
    <r>
      <rPr>
        <vertAlign val="subscript"/>
        <sz val="10"/>
        <color theme="2" tint="-0.89999084444715716"/>
        <rFont val="Arial"/>
        <family val="2"/>
      </rPr>
      <t>GS</t>
    </r>
    <r>
      <rPr>
        <sz val="10"/>
        <color theme="2" tint="-0.89999084444715716"/>
        <rFont val="Arial"/>
        <family val="2"/>
      </rPr>
      <t xml:space="preserve"> </t>
    </r>
  </si>
  <si>
    <r>
      <t>Gate Resistance, R</t>
    </r>
    <r>
      <rPr>
        <vertAlign val="subscript"/>
        <sz val="10"/>
        <color theme="2" tint="-0.89999084444715716"/>
        <rFont val="Arial"/>
        <family val="2"/>
      </rPr>
      <t>G</t>
    </r>
    <r>
      <rPr>
        <sz val="10"/>
        <color theme="2" tint="-0.89999084444715716"/>
        <rFont val="Arial"/>
        <family val="2"/>
      </rPr>
      <t xml:space="preserve"> </t>
    </r>
  </si>
  <si>
    <t>Ω</t>
  </si>
  <si>
    <r>
      <t>Gate-Source Threshold Voltage, V</t>
    </r>
    <r>
      <rPr>
        <vertAlign val="subscript"/>
        <sz val="10"/>
        <color theme="2" tint="-0.89999084444715716"/>
        <rFont val="Arial"/>
        <family val="2"/>
      </rPr>
      <t>TH</t>
    </r>
    <r>
      <rPr>
        <sz val="10"/>
        <color theme="2" tint="-0.89999084444715716"/>
        <rFont val="Arial"/>
        <family val="2"/>
      </rPr>
      <t xml:space="preserve"> </t>
    </r>
  </si>
  <si>
    <r>
      <t>On-State Resistance, (R</t>
    </r>
    <r>
      <rPr>
        <vertAlign val="subscript"/>
        <sz val="10"/>
        <color theme="2" tint="-0.89999084444715716"/>
        <rFont val="Arial"/>
        <family val="2"/>
      </rPr>
      <t>DS(on)</t>
    </r>
    <r>
      <rPr>
        <sz val="10"/>
        <color theme="2" tint="-0.89999084444715716"/>
        <rFont val="Arial"/>
        <family val="2"/>
      </rPr>
      <t>)</t>
    </r>
  </si>
  <si>
    <r>
      <t>Total Gate Charge, (Q</t>
    </r>
    <r>
      <rPr>
        <vertAlign val="subscript"/>
        <sz val="10"/>
        <color theme="2" tint="-0.89999084444715716"/>
        <rFont val="Arial"/>
        <family val="2"/>
      </rPr>
      <t>G</t>
    </r>
    <r>
      <rPr>
        <sz val="10"/>
        <color theme="2" tint="-0.89999084444715716"/>
        <rFont val="Arial"/>
        <family val="2"/>
      </rPr>
      <t>)</t>
    </r>
  </si>
  <si>
    <r>
      <t>Gate-Drain Charge, (Q</t>
    </r>
    <r>
      <rPr>
        <vertAlign val="subscript"/>
        <sz val="10"/>
        <color theme="2" tint="-0.89999084444715716"/>
        <rFont val="Arial"/>
        <family val="2"/>
      </rPr>
      <t>GD</t>
    </r>
    <r>
      <rPr>
        <sz val="10"/>
        <color theme="2" tint="-0.89999084444715716"/>
        <rFont val="Arial"/>
        <family val="2"/>
      </rPr>
      <t>)</t>
    </r>
  </si>
  <si>
    <r>
      <t>Gate-Source Charge, (Q</t>
    </r>
    <r>
      <rPr>
        <vertAlign val="subscript"/>
        <sz val="10"/>
        <color theme="2" tint="-0.89999084444715716"/>
        <rFont val="Arial"/>
        <family val="2"/>
      </rPr>
      <t>GS</t>
    </r>
    <r>
      <rPr>
        <sz val="10"/>
        <color theme="2" tint="-0.89999084444715716"/>
        <rFont val="Arial"/>
        <family val="2"/>
      </rPr>
      <t>)</t>
    </r>
  </si>
  <si>
    <r>
      <t>Gate Resistance, (R</t>
    </r>
    <r>
      <rPr>
        <vertAlign val="subscript"/>
        <sz val="10"/>
        <color theme="2" tint="-0.89999084444715716"/>
        <rFont val="Arial"/>
        <family val="2"/>
      </rPr>
      <t>G</t>
    </r>
    <r>
      <rPr>
        <sz val="10"/>
        <color theme="2" tint="-0.89999084444715716"/>
        <rFont val="Arial"/>
        <family val="2"/>
      </rPr>
      <t>)</t>
    </r>
  </si>
  <si>
    <r>
      <t>Gate-Source Threshold Voltage, (V</t>
    </r>
    <r>
      <rPr>
        <vertAlign val="subscript"/>
        <sz val="10"/>
        <color theme="2" tint="-0.89999084444715716"/>
        <rFont val="Arial"/>
        <family val="2"/>
      </rPr>
      <t>TH</t>
    </r>
    <r>
      <rPr>
        <sz val="10"/>
        <color theme="2" tint="-0.89999084444715716"/>
        <rFont val="Arial"/>
        <family val="2"/>
      </rPr>
      <t>)</t>
    </r>
  </si>
  <si>
    <r>
      <t>Body Diode Reverse Recovery Charge (Q</t>
    </r>
    <r>
      <rPr>
        <vertAlign val="subscript"/>
        <sz val="11"/>
        <color theme="2" tint="-0.89996032593768116"/>
        <rFont val="ＭＳ Ｐゴシック"/>
        <family val="2"/>
        <scheme val="minor"/>
      </rPr>
      <t>RR</t>
    </r>
    <r>
      <rPr>
        <sz val="11"/>
        <color theme="2" tint="-0.89999084444715716"/>
        <rFont val="ＭＳ Ｐゴシック"/>
        <family val="2"/>
        <scheme val="minor"/>
      </rPr>
      <t>)</t>
    </r>
  </si>
  <si>
    <r>
      <t>Body Diode Forward Voltage Drop (V</t>
    </r>
    <r>
      <rPr>
        <vertAlign val="subscript"/>
        <sz val="11"/>
        <color theme="2" tint="-0.89996032593768116"/>
        <rFont val="ＭＳ Ｐゴシック"/>
        <family val="2"/>
        <scheme val="minor"/>
      </rPr>
      <t>D_BD</t>
    </r>
    <r>
      <rPr>
        <sz val="11"/>
        <color theme="2" tint="-0.89999084444715716"/>
        <rFont val="ＭＳ Ｐゴシック"/>
        <family val="2"/>
        <scheme val="minor"/>
      </rPr>
      <t>)</t>
    </r>
  </si>
  <si>
    <t>EXCEL Variables Names/Calculations</t>
  </si>
  <si>
    <t>Operation Variables</t>
  </si>
  <si>
    <t>Inductor</t>
  </si>
  <si>
    <t>Low-Side MOSFET</t>
  </si>
  <si>
    <t>High-Side MOSFET Losses</t>
  </si>
  <si>
    <t>Other Losses</t>
  </si>
  <si>
    <t>Total Losses</t>
  </si>
  <si>
    <t>VIN</t>
  </si>
  <si>
    <t>IIN</t>
  </si>
  <si>
    <t>DCM/CCM</t>
  </si>
  <si>
    <t>DC</t>
  </si>
  <si>
    <t>DC_off</t>
  </si>
  <si>
    <t>dIL</t>
  </si>
  <si>
    <r>
      <t>IL</t>
    </r>
    <r>
      <rPr>
        <vertAlign val="subscript"/>
        <sz val="11"/>
        <color theme="1"/>
        <rFont val="ＭＳ Ｐゴシック"/>
        <family val="2"/>
        <scheme val="minor"/>
      </rPr>
      <t>PEAK</t>
    </r>
  </si>
  <si>
    <r>
      <t>IL</t>
    </r>
    <r>
      <rPr>
        <vertAlign val="subscript"/>
        <sz val="11"/>
        <color theme="1"/>
        <rFont val="ＭＳ Ｐゴシック"/>
        <family val="2"/>
        <scheme val="minor"/>
      </rPr>
      <t>RMS</t>
    </r>
  </si>
  <si>
    <r>
      <t>P</t>
    </r>
    <r>
      <rPr>
        <vertAlign val="subscript"/>
        <sz val="11"/>
        <color theme="1"/>
        <rFont val="ＭＳ Ｐゴシック"/>
        <family val="2"/>
        <scheme val="minor"/>
      </rPr>
      <t>Lac</t>
    </r>
    <r>
      <rPr>
        <sz val="11"/>
        <color theme="1"/>
        <rFont val="ＭＳ Ｐゴシック"/>
        <family val="2"/>
        <scheme val="minor"/>
      </rPr>
      <t xml:space="preserve"> (W)</t>
    </r>
  </si>
  <si>
    <r>
      <t>P</t>
    </r>
    <r>
      <rPr>
        <vertAlign val="subscript"/>
        <sz val="11"/>
        <color theme="1"/>
        <rFont val="ＭＳ Ｐゴシック"/>
        <family val="2"/>
        <scheme val="minor"/>
      </rPr>
      <t>L_DCR</t>
    </r>
    <r>
      <rPr>
        <sz val="11"/>
        <color theme="1"/>
        <rFont val="ＭＳ Ｐゴシック"/>
        <family val="2"/>
        <scheme val="minor"/>
      </rPr>
      <t xml:space="preserve"> (W)</t>
    </r>
  </si>
  <si>
    <r>
      <t>P</t>
    </r>
    <r>
      <rPr>
        <vertAlign val="subscript"/>
        <sz val="11"/>
        <color theme="1"/>
        <rFont val="ＭＳ Ｐゴシック"/>
        <family val="2"/>
        <scheme val="minor"/>
      </rPr>
      <t>L_tot</t>
    </r>
    <r>
      <rPr>
        <sz val="11"/>
        <color theme="1"/>
        <rFont val="ＭＳ Ｐゴシック"/>
        <family val="2"/>
        <scheme val="minor"/>
      </rPr>
      <t xml:space="preserve"> (W)</t>
    </r>
  </si>
  <si>
    <r>
      <t>ISW</t>
    </r>
    <r>
      <rPr>
        <vertAlign val="subscript"/>
        <sz val="11"/>
        <color theme="1"/>
        <rFont val="ＭＳ Ｐゴシック"/>
        <family val="2"/>
        <scheme val="minor"/>
      </rPr>
      <t xml:space="preserve">AVG </t>
    </r>
    <r>
      <rPr>
        <sz val="11"/>
        <color theme="1"/>
        <rFont val="ＭＳ Ｐゴシック"/>
        <family val="2"/>
        <scheme val="minor"/>
      </rPr>
      <t>(A)</t>
    </r>
  </si>
  <si>
    <r>
      <t>ISW</t>
    </r>
    <r>
      <rPr>
        <vertAlign val="subscript"/>
        <sz val="11"/>
        <color theme="1"/>
        <rFont val="ＭＳ Ｐゴシック"/>
        <family val="2"/>
        <scheme val="minor"/>
      </rPr>
      <t>RMS</t>
    </r>
  </si>
  <si>
    <r>
      <t>P</t>
    </r>
    <r>
      <rPr>
        <vertAlign val="subscript"/>
        <sz val="11"/>
        <color theme="1"/>
        <rFont val="ＭＳ Ｐゴシック"/>
        <family val="2"/>
        <scheme val="minor"/>
      </rPr>
      <t xml:space="preserve">Q_COND </t>
    </r>
    <r>
      <rPr>
        <sz val="11"/>
        <color theme="1"/>
        <rFont val="ＭＳ Ｐゴシック"/>
        <family val="2"/>
        <scheme val="minor"/>
      </rPr>
      <t>(W)</t>
    </r>
  </si>
  <si>
    <r>
      <t>P</t>
    </r>
    <r>
      <rPr>
        <vertAlign val="subscript"/>
        <sz val="11"/>
        <color theme="1"/>
        <rFont val="ＭＳ Ｐゴシック"/>
        <family val="2"/>
        <scheme val="minor"/>
      </rPr>
      <t xml:space="preserve">Q_SW </t>
    </r>
    <r>
      <rPr>
        <sz val="11"/>
        <color theme="1"/>
        <rFont val="ＭＳ Ｐゴシック"/>
        <family val="2"/>
        <scheme val="minor"/>
      </rPr>
      <t>(W)</t>
    </r>
  </si>
  <si>
    <r>
      <t>P</t>
    </r>
    <r>
      <rPr>
        <vertAlign val="subscript"/>
        <sz val="11"/>
        <color theme="1"/>
        <rFont val="ＭＳ Ｐゴシック"/>
        <family val="2"/>
        <scheme val="minor"/>
      </rPr>
      <t xml:space="preserve">Q_tot </t>
    </r>
    <r>
      <rPr>
        <sz val="11"/>
        <color theme="1"/>
        <rFont val="ＭＳ Ｐゴシック"/>
        <family val="2"/>
        <scheme val="minor"/>
      </rPr>
      <t>(W)</t>
    </r>
  </si>
  <si>
    <r>
      <t>ID</t>
    </r>
    <r>
      <rPr>
        <vertAlign val="subscript"/>
        <sz val="11"/>
        <color theme="1"/>
        <rFont val="ＭＳ Ｐゴシック"/>
        <family val="2"/>
        <scheme val="minor"/>
      </rPr>
      <t xml:space="preserve">AVG </t>
    </r>
    <r>
      <rPr>
        <sz val="11"/>
        <color theme="1"/>
        <rFont val="ＭＳ Ｐゴシック"/>
        <family val="2"/>
        <scheme val="minor"/>
      </rPr>
      <t>(A)</t>
    </r>
  </si>
  <si>
    <r>
      <t>IHS</t>
    </r>
    <r>
      <rPr>
        <vertAlign val="subscript"/>
        <sz val="11"/>
        <color theme="1"/>
        <rFont val="ＭＳ Ｐゴシック"/>
        <family val="2"/>
        <scheme val="minor"/>
      </rPr>
      <t>RMS</t>
    </r>
  </si>
  <si>
    <r>
      <t>P</t>
    </r>
    <r>
      <rPr>
        <vertAlign val="subscript"/>
        <sz val="11"/>
        <color theme="1"/>
        <rFont val="ＭＳ Ｐゴシック"/>
        <family val="2"/>
        <scheme val="minor"/>
      </rPr>
      <t xml:space="preserve">D_COND </t>
    </r>
    <r>
      <rPr>
        <sz val="11"/>
        <color theme="1"/>
        <rFont val="ＭＳ Ｐゴシック"/>
        <family val="2"/>
        <scheme val="minor"/>
      </rPr>
      <t>(W)</t>
    </r>
  </si>
  <si>
    <r>
      <t>P</t>
    </r>
    <r>
      <rPr>
        <vertAlign val="subscript"/>
        <sz val="11"/>
        <color theme="1"/>
        <rFont val="ＭＳ Ｐゴシック"/>
        <family val="2"/>
        <scheme val="minor"/>
      </rPr>
      <t xml:space="preserve">D_SW </t>
    </r>
    <r>
      <rPr>
        <sz val="11"/>
        <color theme="1"/>
        <rFont val="ＭＳ Ｐゴシック"/>
        <family val="2"/>
        <scheme val="minor"/>
      </rPr>
      <t>(W)</t>
    </r>
  </si>
  <si>
    <t>Dead Time losses</t>
  </si>
  <si>
    <r>
      <t>P</t>
    </r>
    <r>
      <rPr>
        <vertAlign val="subscript"/>
        <sz val="11"/>
        <color theme="1"/>
        <rFont val="ＭＳ Ｐゴシック"/>
        <family val="2"/>
        <scheme val="minor"/>
      </rPr>
      <t xml:space="preserve">HS_tot </t>
    </r>
    <r>
      <rPr>
        <sz val="11"/>
        <color theme="1"/>
        <rFont val="ＭＳ Ｐゴシック"/>
        <family val="2"/>
        <scheme val="minor"/>
      </rPr>
      <t>(W)</t>
    </r>
  </si>
  <si>
    <r>
      <t>P</t>
    </r>
    <r>
      <rPr>
        <vertAlign val="subscript"/>
        <sz val="11"/>
        <color theme="1"/>
        <rFont val="ＭＳ Ｐゴシック"/>
        <family val="2"/>
        <scheme val="minor"/>
      </rPr>
      <t>RCS</t>
    </r>
    <r>
      <rPr>
        <sz val="11"/>
        <color theme="1"/>
        <rFont val="ＭＳ Ｐゴシック"/>
        <family val="2"/>
        <scheme val="minor"/>
      </rPr>
      <t xml:space="preserve"> (W)</t>
    </r>
  </si>
  <si>
    <r>
      <t>P</t>
    </r>
    <r>
      <rPr>
        <vertAlign val="subscript"/>
        <sz val="11"/>
        <color theme="1"/>
        <rFont val="ＭＳ Ｐゴシック"/>
        <family val="2"/>
        <scheme val="minor"/>
      </rPr>
      <t>L_CORE</t>
    </r>
    <r>
      <rPr>
        <sz val="11"/>
        <color theme="1"/>
        <rFont val="ＭＳ Ｐゴシック"/>
        <family val="2"/>
        <scheme val="minor"/>
      </rPr>
      <t xml:space="preserve"> (W)</t>
    </r>
  </si>
  <si>
    <r>
      <t>P</t>
    </r>
    <r>
      <rPr>
        <vertAlign val="subscript"/>
        <sz val="11"/>
        <color theme="1"/>
        <rFont val="ＭＳ Ｐゴシック"/>
        <family val="2"/>
        <scheme val="minor"/>
      </rPr>
      <t>G_drv</t>
    </r>
    <r>
      <rPr>
        <sz val="11"/>
        <color theme="1"/>
        <rFont val="ＭＳ Ｐゴシック"/>
        <family val="2"/>
        <scheme val="minor"/>
      </rPr>
      <t xml:space="preserve"> (W)</t>
    </r>
  </si>
  <si>
    <r>
      <t>P</t>
    </r>
    <r>
      <rPr>
        <vertAlign val="subscript"/>
        <sz val="11"/>
        <color theme="1"/>
        <rFont val="ＭＳ Ｐゴシック"/>
        <family val="2"/>
        <scheme val="minor"/>
      </rPr>
      <t>IQ</t>
    </r>
    <r>
      <rPr>
        <sz val="11"/>
        <color theme="1"/>
        <rFont val="ＭＳ Ｐゴシック"/>
        <family val="2"/>
        <scheme val="minor"/>
      </rPr>
      <t xml:space="preserve"> (W)</t>
    </r>
  </si>
  <si>
    <r>
      <t>P</t>
    </r>
    <r>
      <rPr>
        <vertAlign val="subscript"/>
        <sz val="11"/>
        <color theme="1"/>
        <rFont val="ＭＳ Ｐゴシック"/>
        <family val="2"/>
        <scheme val="minor"/>
      </rPr>
      <t>TOTAL</t>
    </r>
    <r>
      <rPr>
        <sz val="11"/>
        <color theme="1"/>
        <rFont val="ＭＳ Ｐゴシック"/>
        <family val="2"/>
        <scheme val="minor"/>
      </rPr>
      <t xml:space="preserve"> (W)</t>
    </r>
  </si>
  <si>
    <r>
      <t>P</t>
    </r>
    <r>
      <rPr>
        <vertAlign val="subscript"/>
        <sz val="11"/>
        <color theme="1"/>
        <rFont val="ＭＳ Ｐゴシック"/>
        <family val="2"/>
        <scheme val="minor"/>
      </rPr>
      <t>OUT</t>
    </r>
    <r>
      <rPr>
        <sz val="11"/>
        <color theme="1"/>
        <rFont val="ＭＳ Ｐゴシック"/>
        <family val="2"/>
        <scheme val="minor"/>
      </rPr>
      <t xml:space="preserve"> (W)</t>
    </r>
  </si>
  <si>
    <t>Eff</t>
  </si>
  <si>
    <t>Step size</t>
  </si>
  <si>
    <t>Diode Parameters</t>
  </si>
  <si>
    <t>Id_AVG</t>
  </si>
  <si>
    <t xml:space="preserve">Suggested average current rating of diode. </t>
  </si>
  <si>
    <t>LOW Side MOSFET Parameters</t>
  </si>
  <si>
    <t>RDS_on</t>
  </si>
  <si>
    <r>
      <t>On-State Resistance, R</t>
    </r>
    <r>
      <rPr>
        <vertAlign val="subscript"/>
        <sz val="10"/>
        <rFont val="Arial"/>
        <family val="2"/>
      </rPr>
      <t>DS(on)</t>
    </r>
    <r>
      <rPr>
        <sz val="10"/>
        <rFont val="Arial"/>
        <family val="2"/>
      </rPr>
      <t xml:space="preserve"> </t>
    </r>
  </si>
  <si>
    <t>Qg_tot</t>
  </si>
  <si>
    <r>
      <t>Total Gate Charge, Q</t>
    </r>
    <r>
      <rPr>
        <vertAlign val="subscript"/>
        <sz val="10"/>
        <rFont val="Arial"/>
        <family val="2"/>
      </rPr>
      <t>G</t>
    </r>
    <r>
      <rPr>
        <sz val="10"/>
        <rFont val="Arial"/>
        <family val="2"/>
      </rPr>
      <t xml:space="preserve"> </t>
    </r>
  </si>
  <si>
    <t>Qgd</t>
  </si>
  <si>
    <r>
      <t>Gate-Drain Charge, Q</t>
    </r>
    <r>
      <rPr>
        <vertAlign val="subscript"/>
        <sz val="10"/>
        <rFont val="Arial"/>
        <family val="2"/>
      </rPr>
      <t>GD</t>
    </r>
    <r>
      <rPr>
        <sz val="10"/>
        <rFont val="Arial"/>
        <family val="2"/>
      </rPr>
      <t xml:space="preserve"> </t>
    </r>
  </si>
  <si>
    <t>Qgs</t>
  </si>
  <si>
    <r>
      <t>Gate-Source Charge, Q</t>
    </r>
    <r>
      <rPr>
        <vertAlign val="subscript"/>
        <sz val="10"/>
        <rFont val="Arial"/>
        <family val="2"/>
      </rPr>
      <t>GS</t>
    </r>
    <r>
      <rPr>
        <sz val="10"/>
        <rFont val="Arial"/>
        <family val="2"/>
      </rPr>
      <t xml:space="preserve"> </t>
    </r>
  </si>
  <si>
    <t>Rgate</t>
  </si>
  <si>
    <r>
      <t>Gate Resistance, R</t>
    </r>
    <r>
      <rPr>
        <vertAlign val="subscript"/>
        <sz val="10"/>
        <rFont val="Arial"/>
        <family val="2"/>
      </rPr>
      <t>G</t>
    </r>
    <r>
      <rPr>
        <sz val="10"/>
        <rFont val="Arial"/>
        <family val="2"/>
      </rPr>
      <t xml:space="preserve"> </t>
    </r>
  </si>
  <si>
    <t>Rgate_int</t>
  </si>
  <si>
    <t>Internal Gate resistance of the MOSFET driver.</t>
  </si>
  <si>
    <t>gfs</t>
  </si>
  <si>
    <t>S</t>
  </si>
  <si>
    <r>
      <t>Transconductance, g</t>
    </r>
    <r>
      <rPr>
        <vertAlign val="subscript"/>
        <sz val="10"/>
        <rFont val="Arial"/>
        <family val="2"/>
      </rPr>
      <t>FS</t>
    </r>
    <r>
      <rPr>
        <sz val="10"/>
        <rFont val="Arial"/>
        <family val="2"/>
      </rPr>
      <t xml:space="preserve"> </t>
    </r>
  </si>
  <si>
    <t>Vth</t>
  </si>
  <si>
    <r>
      <t>Gate-Source Threshold Voltage, V</t>
    </r>
    <r>
      <rPr>
        <vertAlign val="subscript"/>
        <sz val="10"/>
        <rFont val="Arial"/>
        <family val="2"/>
      </rPr>
      <t>TH</t>
    </r>
    <r>
      <rPr>
        <sz val="10"/>
        <rFont val="Arial"/>
        <family val="2"/>
      </rPr>
      <t xml:space="preserve"> </t>
    </r>
  </si>
  <si>
    <t xml:space="preserve">VCC voltage. Can be changed with external bias. </t>
  </si>
  <si>
    <t>Vsp</t>
  </si>
  <si>
    <t>Gate voltage when MOSFET begins conducting current</t>
  </si>
  <si>
    <t>tr_sw</t>
  </si>
  <si>
    <t>Rise time of the switch node</t>
  </si>
  <si>
    <t>tf_sw</t>
  </si>
  <si>
    <t>Fall time of the switch node</t>
  </si>
  <si>
    <t>High Side MOSFET Parameters</t>
  </si>
  <si>
    <t>Qrr</t>
  </si>
  <si>
    <t>C</t>
  </si>
  <si>
    <t>Body Diode Reverse recovery charge</t>
  </si>
  <si>
    <t>Vd_rect</t>
  </si>
  <si>
    <t>Body Diode Forward drop</t>
  </si>
  <si>
    <t>EFF_est</t>
  </si>
  <si>
    <t>Est. Eff 100% for simplicity Eff calculations</t>
  </si>
  <si>
    <r>
      <t>Selected Slope Compensation Resistor (R</t>
    </r>
    <r>
      <rPr>
        <vertAlign val="subscript"/>
        <sz val="11"/>
        <color theme="1"/>
        <rFont val="ＭＳ Ｐゴシック"/>
        <family val="2"/>
        <scheme val="minor"/>
      </rPr>
      <t>SL</t>
    </r>
    <r>
      <rPr>
        <sz val="11"/>
        <color theme="1"/>
        <rFont val="ＭＳ Ｐゴシック"/>
        <family val="2"/>
        <scheme val="minor"/>
      </rPr>
      <t>)</t>
    </r>
  </si>
  <si>
    <r>
      <t>Calculated slope Compensation Resistor (R</t>
    </r>
    <r>
      <rPr>
        <vertAlign val="subscript"/>
        <sz val="11"/>
        <color theme="1"/>
        <rFont val="ＭＳ Ｐゴシック"/>
        <family val="2"/>
        <scheme val="minor"/>
      </rPr>
      <t>SL_calc</t>
    </r>
    <r>
      <rPr>
        <sz val="11"/>
        <color theme="1"/>
        <rFont val="ＭＳ Ｐゴシック"/>
        <family val="2"/>
        <scheme val="minor"/>
      </rPr>
      <t>)</t>
    </r>
  </si>
  <si>
    <r>
      <t>Minimum slope compensation resistor (R</t>
    </r>
    <r>
      <rPr>
        <vertAlign val="subscript"/>
        <sz val="11"/>
        <color theme="1"/>
        <rFont val="ＭＳ Ｐゴシック"/>
        <family val="2"/>
        <scheme val="minor"/>
      </rPr>
      <t>SL_MIN</t>
    </r>
    <r>
      <rPr>
        <sz val="11"/>
        <color theme="1"/>
        <rFont val="ＭＳ Ｐゴシック"/>
        <family val="2"/>
        <scheme val="minor"/>
      </rPr>
      <t>)</t>
    </r>
  </si>
  <si>
    <r>
      <t>Desired voltage On (V</t>
    </r>
    <r>
      <rPr>
        <vertAlign val="subscript"/>
        <sz val="11"/>
        <color theme="1"/>
        <rFont val="ＭＳ Ｐゴシック"/>
        <family val="2"/>
        <scheme val="minor"/>
      </rPr>
      <t>UVLO_ON</t>
    </r>
    <r>
      <rPr>
        <sz val="11"/>
        <color theme="1"/>
        <rFont val="ＭＳ Ｐゴシック"/>
        <family val="2"/>
        <scheme val="minor"/>
      </rPr>
      <t>)</t>
    </r>
  </si>
  <si>
    <r>
      <t>Desired voltage OFF (V</t>
    </r>
    <r>
      <rPr>
        <vertAlign val="subscript"/>
        <sz val="11"/>
        <color theme="1"/>
        <rFont val="ＭＳ Ｐゴシック"/>
        <family val="2"/>
        <scheme val="minor"/>
      </rPr>
      <t>UVLO_OFF</t>
    </r>
    <r>
      <rPr>
        <sz val="11"/>
        <color theme="1"/>
        <rFont val="ＭＳ Ｐゴシック"/>
        <family val="2"/>
        <scheme val="minor"/>
      </rPr>
      <t>)</t>
    </r>
  </si>
  <si>
    <r>
      <t>Calculated top UVLO resistor value (R</t>
    </r>
    <r>
      <rPr>
        <vertAlign val="subscript"/>
        <sz val="11"/>
        <color theme="1"/>
        <rFont val="ＭＳ Ｐゴシック"/>
        <family val="2"/>
        <scheme val="minor"/>
      </rPr>
      <t>UVT_CALC</t>
    </r>
    <r>
      <rPr>
        <sz val="11"/>
        <color theme="1"/>
        <rFont val="ＭＳ Ｐゴシック"/>
        <family val="2"/>
        <scheme val="minor"/>
      </rPr>
      <t>)</t>
    </r>
  </si>
  <si>
    <r>
      <t>Selected top UVLO resistor value (R</t>
    </r>
    <r>
      <rPr>
        <vertAlign val="subscript"/>
        <sz val="11"/>
        <color theme="1"/>
        <rFont val="ＭＳ Ｐゴシック"/>
        <family val="2"/>
        <scheme val="minor"/>
      </rPr>
      <t>UVT</t>
    </r>
    <r>
      <rPr>
        <sz val="11"/>
        <color theme="1"/>
        <rFont val="ＭＳ Ｐゴシック"/>
        <family val="2"/>
        <scheme val="minor"/>
      </rPr>
      <t>)</t>
    </r>
  </si>
  <si>
    <r>
      <t>Bottom UVLO Resistor (R</t>
    </r>
    <r>
      <rPr>
        <vertAlign val="subscript"/>
        <sz val="11"/>
        <color theme="1"/>
        <rFont val="ＭＳ Ｐゴシック"/>
        <family val="2"/>
        <scheme val="minor"/>
      </rPr>
      <t>UVB</t>
    </r>
    <r>
      <rPr>
        <sz val="11"/>
        <color theme="1"/>
        <rFont val="ＭＳ Ｐゴシック"/>
        <family val="2"/>
        <scheme val="minor"/>
      </rPr>
      <t>)</t>
    </r>
  </si>
  <si>
    <t>UVLO Resistor Divider Selection</t>
  </si>
  <si>
    <t>Cout_Calc_FRHP</t>
  </si>
  <si>
    <t>Based on Itransient and Fcrossover from LM5123</t>
  </si>
  <si>
    <r>
      <t>Selected Inductor (R</t>
    </r>
    <r>
      <rPr>
        <vertAlign val="subscript"/>
        <sz val="11"/>
        <color theme="1"/>
        <rFont val="ＭＳ Ｐゴシック"/>
        <family val="2"/>
        <scheme val="minor"/>
      </rPr>
      <t>LM</t>
    </r>
    <r>
      <rPr>
        <sz val="11"/>
        <color theme="1"/>
        <rFont val="ＭＳ Ｐゴシック"/>
        <family val="2"/>
        <scheme val="minor"/>
      </rPr>
      <t>)</t>
    </r>
  </si>
  <si>
    <t>Cout_Calc</t>
  </si>
  <si>
    <t>Calculated minimum output capacitance</t>
  </si>
  <si>
    <r>
      <t>Calculated output capacitance at VIN MIN and IOUT max from Datasheet (</t>
    </r>
    <r>
      <rPr>
        <b/>
        <sz val="11"/>
        <color theme="1"/>
        <rFont val="ＭＳ Ｐゴシック"/>
        <family val="2"/>
        <scheme val="minor"/>
      </rPr>
      <t>not used</t>
    </r>
    <r>
      <rPr>
        <sz val="11"/>
        <color theme="1"/>
        <rFont val="ＭＳ Ｐゴシック"/>
        <family val="2"/>
        <scheme val="minor"/>
      </rPr>
      <t>)</t>
    </r>
  </si>
  <si>
    <t>Output capacitance at VIN MIN and IOUT max</t>
  </si>
  <si>
    <t>calc (Vin based on I82 is used)</t>
  </si>
  <si>
    <t>Vin</t>
  </si>
  <si>
    <t>Right half plane zero at VIN_MIN and IOUT_MAX</t>
  </si>
  <si>
    <r>
      <t>Transconductance, g</t>
    </r>
    <r>
      <rPr>
        <b/>
        <vertAlign val="subscript"/>
        <sz val="10"/>
        <rFont val="Arial"/>
        <family val="2"/>
      </rPr>
      <t>FS</t>
    </r>
    <r>
      <rPr>
        <b/>
        <sz val="10"/>
        <rFont val="Arial"/>
        <family val="2"/>
      </rPr>
      <t xml:space="preserve"> </t>
    </r>
  </si>
  <si>
    <t>Current sense amplifier gain (datasheet)</t>
  </si>
  <si>
    <t>Current sense resistor</t>
  </si>
  <si>
    <t>Internal Slope Compensation Resistor</t>
  </si>
  <si>
    <t>Internal Slope Compensation current</t>
  </si>
  <si>
    <t>EVM2PH reference</t>
  </si>
  <si>
    <t>XOVER SEARCH</t>
  </si>
  <si>
    <t>xover</t>
  </si>
  <si>
    <t>phase margin</t>
  </si>
  <si>
    <t>Gain Cross</t>
  </si>
  <si>
    <t>Phase Cross</t>
  </si>
  <si>
    <t>Slope output voltage (datasheet)</t>
  </si>
  <si>
    <t>Gain of Error Amplifier</t>
  </si>
  <si>
    <t>Feedback DC Gain</t>
  </si>
  <si>
    <t>DCM Plant Parameters</t>
  </si>
  <si>
    <t>Selection:</t>
  </si>
  <si>
    <t>ALWAYS SET TO CCM. (No DCM calculation for LM5122 required)</t>
  </si>
  <si>
    <r>
      <t>Typical Input Supply Voltage (V</t>
    </r>
    <r>
      <rPr>
        <vertAlign val="subscript"/>
        <sz val="11"/>
        <color theme="1"/>
        <rFont val="ＭＳ Ｐゴシック"/>
        <family val="2"/>
        <scheme val="minor"/>
      </rPr>
      <t>IN_Typ</t>
    </r>
    <r>
      <rPr>
        <sz val="11"/>
        <color theme="1"/>
        <rFont val="ＭＳ Ｐゴシック"/>
        <family val="2"/>
        <scheme val="minor"/>
      </rPr>
      <t>)</t>
    </r>
  </si>
  <si>
    <t>Version Number</t>
  </si>
  <si>
    <t>Version History</t>
  </si>
  <si>
    <t>Version</t>
  </si>
  <si>
    <t>Change List Description</t>
  </si>
  <si>
    <t>1.0.0</t>
  </si>
  <si>
    <t>Initial Release</t>
  </si>
  <si>
    <t>Eff_Graph</t>
  </si>
  <si>
    <t xml:space="preserve">selected Efficency graph (1 = Iout, 2 = Vin) </t>
  </si>
  <si>
    <t>http://www.ti.com/product/lm5122</t>
  </si>
  <si>
    <t>Efficiency vs VIN Plot</t>
  </si>
  <si>
    <t>Efficiency vs IOUT Plot</t>
  </si>
  <si>
    <t>1.1.0</t>
  </si>
  <si>
    <t>Adjusted compensation network calculation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</si>
</sst>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
    <numFmt numFmtId="177" formatCode="0.000E+00"/>
    <numFmt numFmtId="178" formatCode="0.0000"/>
    <numFmt numFmtId="179" formatCode="0.0"/>
    <numFmt numFmtId="180" formatCode="0.000000"/>
    <numFmt numFmtId="181" formatCode="0.000000000"/>
  </numFmts>
  <fonts count="49" x14ac:knownFonts="1">
    <font>
      <sz val="11"/>
      <color theme="1"/>
      <name val="ＭＳ Ｐゴシック"/>
      <family val="2"/>
      <scheme val="minor"/>
    </font>
    <font>
      <sz val="11"/>
      <color theme="1"/>
      <name val="ＭＳ Ｐゴシック"/>
      <family val="2"/>
      <scheme val="minor"/>
    </font>
    <font>
      <b/>
      <sz val="11"/>
      <color theme="1"/>
      <name val="ＭＳ Ｐゴシック"/>
      <family val="2"/>
      <scheme val="minor"/>
    </font>
    <font>
      <sz val="11"/>
      <color theme="0"/>
      <name val="ＭＳ Ｐゴシック"/>
      <family val="2"/>
      <scheme val="minor"/>
    </font>
    <font>
      <sz val="10"/>
      <name val="Arial"/>
      <family val="2"/>
    </font>
    <font>
      <sz val="28"/>
      <color theme="0"/>
      <name val="ＭＳ Ｐゴシック"/>
      <family val="2"/>
      <scheme val="minor"/>
    </font>
    <font>
      <b/>
      <sz val="12"/>
      <color indexed="9"/>
      <name val="ＭＳ Ｐゴシック"/>
      <family val="2"/>
      <scheme val="minor"/>
    </font>
    <font>
      <b/>
      <sz val="10"/>
      <color indexed="9"/>
      <name val="ＭＳ Ｐゴシック"/>
      <family val="2"/>
      <scheme val="minor"/>
    </font>
    <font>
      <b/>
      <sz val="12"/>
      <color indexed="10"/>
      <name val="Tahoma"/>
      <family val="2"/>
    </font>
    <font>
      <b/>
      <sz val="8"/>
      <color indexed="81"/>
      <name val="Tahoma"/>
      <family val="2"/>
    </font>
    <font>
      <sz val="9"/>
      <color indexed="81"/>
      <name val="Tahoma"/>
      <family val="2"/>
    </font>
    <font>
      <vertAlign val="subscript"/>
      <sz val="11"/>
      <color theme="1"/>
      <name val="ＭＳ Ｐゴシック"/>
      <family val="2"/>
      <scheme val="minor"/>
    </font>
    <font>
      <sz val="11"/>
      <color theme="1"/>
      <name val="Calibri"/>
      <family val="2"/>
    </font>
    <font>
      <b/>
      <sz val="9"/>
      <color indexed="81"/>
      <name val="Tahoma"/>
      <family val="2"/>
    </font>
    <font>
      <b/>
      <sz val="18"/>
      <color theme="1"/>
      <name val="ＭＳ Ｐゴシック"/>
      <family val="2"/>
      <scheme val="minor"/>
    </font>
    <font>
      <sz val="16"/>
      <color theme="1"/>
      <name val="ＭＳ Ｐゴシック"/>
      <family val="2"/>
      <scheme val="minor"/>
    </font>
    <font>
      <b/>
      <sz val="10"/>
      <color theme="1"/>
      <name val="ＭＳ Ｐゴシック"/>
      <family val="2"/>
      <scheme val="minor"/>
    </font>
    <font>
      <sz val="11"/>
      <name val="ＭＳ Ｐゴシック"/>
      <family val="2"/>
      <scheme val="minor"/>
    </font>
    <font>
      <vertAlign val="subscript"/>
      <sz val="11"/>
      <name val="ＭＳ Ｐゴシック"/>
      <family val="2"/>
      <scheme val="minor"/>
    </font>
    <font>
      <sz val="8"/>
      <color theme="1"/>
      <name val="ＭＳ Ｐゴシック"/>
      <family val="2"/>
      <scheme val="minor"/>
    </font>
    <font>
      <b/>
      <sz val="11"/>
      <color theme="2" tint="-0.89999084444715716"/>
      <name val="ＭＳ Ｐゴシック"/>
      <family val="2"/>
      <scheme val="minor"/>
    </font>
    <font>
      <b/>
      <vertAlign val="subscript"/>
      <sz val="11"/>
      <color theme="2" tint="-0.89996032593768116"/>
      <name val="ＭＳ Ｐゴシック"/>
      <family val="2"/>
      <scheme val="minor"/>
    </font>
    <font>
      <b/>
      <sz val="10"/>
      <name val="Arial"/>
      <family val="2"/>
    </font>
    <font>
      <b/>
      <sz val="10"/>
      <color rgb="FF00B0F0"/>
      <name val="Arial"/>
      <family val="2"/>
    </font>
    <font>
      <b/>
      <sz val="12"/>
      <color rgb="FF00B0F0"/>
      <name val="ＭＳ Ｐゴシック"/>
      <family val="2"/>
      <scheme val="minor"/>
    </font>
    <font>
      <u/>
      <sz val="11"/>
      <color theme="1"/>
      <name val="ＭＳ Ｐゴシック"/>
      <family val="2"/>
      <scheme val="minor"/>
    </font>
    <font>
      <vertAlign val="subscript"/>
      <sz val="16"/>
      <color theme="1"/>
      <name val="ＭＳ Ｐゴシック"/>
      <family val="2"/>
      <scheme val="minor"/>
    </font>
    <font>
      <sz val="10"/>
      <color theme="1"/>
      <name val="ＭＳ Ｐゴシック"/>
      <family val="2"/>
      <scheme val="minor"/>
    </font>
    <font>
      <vertAlign val="subscript"/>
      <sz val="10"/>
      <color theme="1"/>
      <name val="ＭＳ Ｐゴシック"/>
      <family val="2"/>
      <scheme val="minor"/>
    </font>
    <font>
      <b/>
      <sz val="11"/>
      <color rgb="FF00B0F0"/>
      <name val="ＭＳ Ｐゴシック"/>
      <family val="2"/>
      <scheme val="minor"/>
    </font>
    <font>
      <sz val="11"/>
      <color theme="2" tint="-0.89999084444715716"/>
      <name val="ＭＳ Ｐゴシック"/>
      <family val="2"/>
      <scheme val="minor"/>
    </font>
    <font>
      <sz val="10"/>
      <color theme="2" tint="-0.89999084444715716"/>
      <name val="Arial"/>
      <family val="2"/>
    </font>
    <font>
      <vertAlign val="subscript"/>
      <sz val="10"/>
      <color theme="2" tint="-0.89999084444715716"/>
      <name val="Arial"/>
      <family val="2"/>
    </font>
    <font>
      <vertAlign val="subscript"/>
      <sz val="11"/>
      <color theme="2" tint="-0.89996032593768116"/>
      <name val="ＭＳ Ｐゴシック"/>
      <family val="2"/>
      <scheme val="minor"/>
    </font>
    <font>
      <sz val="18"/>
      <color theme="1"/>
      <name val="ＭＳ Ｐゴシック"/>
      <family val="2"/>
      <scheme val="minor"/>
    </font>
    <font>
      <b/>
      <sz val="22"/>
      <color indexed="44"/>
      <name val="Arial"/>
      <family val="2"/>
    </font>
    <font>
      <b/>
      <sz val="11"/>
      <name val="ＭＳ Ｐゴシック"/>
      <family val="2"/>
      <scheme val="minor"/>
    </font>
    <font>
      <b/>
      <sz val="18"/>
      <name val="ＭＳ Ｐゴシック"/>
      <family val="2"/>
      <scheme val="minor"/>
    </font>
    <font>
      <vertAlign val="subscript"/>
      <sz val="10"/>
      <name val="Arial"/>
      <family val="2"/>
    </font>
    <font>
      <b/>
      <vertAlign val="subscript"/>
      <sz val="10"/>
      <name val="Arial"/>
      <family val="2"/>
    </font>
    <font>
      <sz val="11"/>
      <color theme="1"/>
      <name val="Arial"/>
      <family val="2"/>
    </font>
    <font>
      <b/>
      <sz val="10"/>
      <color theme="1"/>
      <name val="Arial"/>
      <family val="2"/>
    </font>
    <font>
      <sz val="10"/>
      <color theme="1"/>
      <name val="Arial"/>
      <family val="2"/>
    </font>
    <font>
      <u/>
      <sz val="11"/>
      <color theme="10"/>
      <name val="ＭＳ Ｐゴシック"/>
      <family val="2"/>
      <scheme val="minor"/>
    </font>
    <font>
      <b/>
      <u/>
      <sz val="10"/>
      <color theme="10"/>
      <name val="Arial"/>
      <family val="2"/>
    </font>
    <font>
      <b/>
      <sz val="10"/>
      <color theme="0"/>
      <name val="Arial"/>
      <family val="2"/>
    </font>
    <font>
      <b/>
      <u/>
      <sz val="11"/>
      <color theme="10"/>
      <name val="Arial"/>
      <family val="2"/>
    </font>
    <font>
      <sz val="18"/>
      <color theme="0"/>
      <name val="ＭＳ Ｐゴシック"/>
      <family val="2"/>
      <scheme val="minor"/>
    </font>
    <font>
      <sz val="6"/>
      <name val="ＭＳ Ｐゴシック"/>
      <family val="3"/>
      <charset val="128"/>
      <scheme val="minor"/>
    </font>
  </fonts>
  <fills count="19">
    <fill>
      <patternFill patternType="none"/>
    </fill>
    <fill>
      <patternFill patternType="gray125"/>
    </fill>
    <fill>
      <patternFill patternType="solid">
        <fgColor rgb="FFFF0000"/>
        <bgColor indexed="64"/>
      </patternFill>
    </fill>
    <fill>
      <patternFill patternType="solid">
        <fgColor theme="0" tint="-0.499984740745262"/>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tint="-0.249977111117893"/>
        <bgColor indexed="64"/>
      </patternFill>
    </fill>
    <fill>
      <patternFill patternType="solid">
        <fgColor theme="0"/>
        <bgColor indexed="64"/>
      </patternFill>
    </fill>
    <fill>
      <patternFill patternType="solid">
        <fgColor indexed="22"/>
        <bgColor indexed="64"/>
      </patternFill>
    </fill>
    <fill>
      <patternFill patternType="solid">
        <fgColor indexed="52"/>
        <bgColor indexed="64"/>
      </patternFill>
    </fill>
    <fill>
      <patternFill patternType="solid">
        <fgColor indexed="50"/>
        <bgColor indexed="64"/>
      </patternFill>
    </fill>
    <fill>
      <patternFill patternType="solid">
        <fgColor indexed="8"/>
        <bgColor indexed="64"/>
      </patternFill>
    </fill>
    <fill>
      <patternFill patternType="solid">
        <fgColor theme="5" tint="0.79998168889431442"/>
        <bgColor indexed="64"/>
      </patternFill>
    </fill>
    <fill>
      <patternFill patternType="solid">
        <fgColor rgb="FF00B050"/>
        <bgColor indexed="64"/>
      </patternFill>
    </fill>
    <fill>
      <patternFill patternType="solid">
        <fgColor indexed="44"/>
        <bgColor indexed="64"/>
      </patternFill>
    </fill>
    <fill>
      <patternFill patternType="solid">
        <fgColor rgb="FFDE0000"/>
        <bgColor indexed="64"/>
      </patternFill>
    </fill>
    <fill>
      <patternFill patternType="solid">
        <fgColor theme="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4" fillId="0" borderId="0"/>
    <xf numFmtId="0" fontId="4" fillId="0" borderId="0"/>
    <xf numFmtId="0" fontId="43" fillId="0" borderId="0" applyNumberFormat="0" applyFill="0" applyBorder="0" applyAlignment="0" applyProtection="0"/>
  </cellStyleXfs>
  <cellXfs count="271">
    <xf numFmtId="0" fontId="0" fillId="0" borderId="0" xfId="0"/>
    <xf numFmtId="0" fontId="0" fillId="0" borderId="1" xfId="0" applyBorder="1"/>
    <xf numFmtId="0" fontId="0" fillId="0" borderId="1" xfId="0" applyBorder="1" applyAlignment="1">
      <alignment vertical="center"/>
    </xf>
    <xf numFmtId="0" fontId="1" fillId="3" borderId="7" xfId="0" applyFont="1" applyFill="1" applyBorder="1"/>
    <xf numFmtId="0" fontId="1" fillId="3" borderId="0" xfId="0" applyFont="1" applyFill="1"/>
    <xf numFmtId="0" fontId="1" fillId="3" borderId="0" xfId="0" applyFont="1" applyFill="1" applyAlignment="1">
      <alignment horizontal="center" vertical="center"/>
    </xf>
    <xf numFmtId="0" fontId="3" fillId="3" borderId="0" xfId="0" applyFont="1" applyFill="1"/>
    <xf numFmtId="0" fontId="6" fillId="3" borderId="7" xfId="1" applyFont="1" applyFill="1" applyBorder="1" applyAlignment="1">
      <alignment horizontal="left" vertical="center"/>
    </xf>
    <xf numFmtId="0" fontId="7" fillId="3" borderId="0" xfId="2" applyFont="1" applyFill="1" applyAlignment="1">
      <alignment vertical="center"/>
    </xf>
    <xf numFmtId="0" fontId="7" fillId="4" borderId="0" xfId="2" applyFont="1" applyFill="1" applyAlignment="1">
      <alignment vertical="center"/>
    </xf>
    <xf numFmtId="0" fontId="6" fillId="3" borderId="0" xfId="2" quotePrefix="1" applyFont="1" applyFill="1" applyAlignment="1">
      <alignment vertical="center"/>
    </xf>
    <xf numFmtId="0" fontId="1" fillId="3" borderId="8" xfId="0" applyFont="1" applyFill="1" applyBorder="1"/>
    <xf numFmtId="0" fontId="1" fillId="3" borderId="9" xfId="0" applyFont="1" applyFill="1" applyBorder="1"/>
    <xf numFmtId="0" fontId="1" fillId="3" borderId="9" xfId="0" applyFont="1" applyFill="1" applyBorder="1" applyAlignment="1">
      <alignment horizontal="center" vertical="center"/>
    </xf>
    <xf numFmtId="0" fontId="3" fillId="3" borderId="9" xfId="0" applyFont="1" applyFill="1" applyBorder="1"/>
    <xf numFmtId="0" fontId="0" fillId="0" borderId="0" xfId="0" applyAlignment="1">
      <alignment horizontal="right"/>
    </xf>
    <xf numFmtId="0" fontId="0" fillId="0" borderId="0" xfId="0" applyAlignment="1">
      <alignment vertical="top"/>
    </xf>
    <xf numFmtId="0" fontId="0" fillId="4" borderId="1" xfId="0" applyFill="1" applyBorder="1"/>
    <xf numFmtId="0" fontId="0" fillId="4" borderId="0" xfId="0" applyFill="1" applyAlignment="1">
      <alignment vertical="top"/>
    </xf>
    <xf numFmtId="0" fontId="0" fillId="0" borderId="0" xfId="0" applyAlignment="1">
      <alignment horizontal="left"/>
    </xf>
    <xf numFmtId="0" fontId="14" fillId="0" borderId="0" xfId="0" applyFont="1"/>
    <xf numFmtId="0" fontId="0" fillId="5" borderId="0" xfId="0" applyFill="1"/>
    <xf numFmtId="0" fontId="0" fillId="6" borderId="0" xfId="0" applyFill="1"/>
    <xf numFmtId="0" fontId="0" fillId="7" borderId="0" xfId="0" applyFill="1"/>
    <xf numFmtId="0" fontId="14" fillId="0" borderId="0" xfId="0" applyFont="1" applyAlignment="1">
      <alignment horizontal="left"/>
    </xf>
    <xf numFmtId="0" fontId="0" fillId="0" borderId="0" xfId="0" applyAlignment="1">
      <alignment wrapText="1"/>
    </xf>
    <xf numFmtId="1" fontId="0" fillId="7" borderId="0" xfId="0" applyNumberFormat="1" applyFill="1"/>
    <xf numFmtId="11" fontId="0" fillId="7" borderId="0" xfId="0" applyNumberFormat="1" applyFill="1"/>
    <xf numFmtId="177" fontId="0" fillId="7" borderId="0" xfId="0" applyNumberFormat="1" applyFill="1"/>
    <xf numFmtId="0" fontId="0" fillId="8" borderId="0" xfId="0" applyFill="1"/>
    <xf numFmtId="0" fontId="1" fillId="3" borderId="0" xfId="0" applyFont="1" applyFill="1" applyAlignment="1">
      <alignment horizontal="right"/>
    </xf>
    <xf numFmtId="0" fontId="1" fillId="3" borderId="9" xfId="0" applyFont="1" applyFill="1" applyBorder="1" applyAlignment="1">
      <alignment horizontal="right"/>
    </xf>
    <xf numFmtId="178" fontId="0" fillId="0" borderId="0" xfId="0" applyNumberFormat="1"/>
    <xf numFmtId="11" fontId="0" fillId="6" borderId="0" xfId="0" applyNumberFormat="1" applyFill="1"/>
    <xf numFmtId="0" fontId="0" fillId="0" borderId="0" xfId="0" quotePrefix="1"/>
    <xf numFmtId="0" fontId="0" fillId="0" borderId="0" xfId="0" applyAlignment="1">
      <alignment horizontal="center" vertical="center" wrapText="1"/>
    </xf>
    <xf numFmtId="2" fontId="0" fillId="0" borderId="0" xfId="0" applyNumberFormat="1"/>
    <xf numFmtId="176" fontId="0" fillId="0" borderId="0" xfId="0" applyNumberFormat="1"/>
    <xf numFmtId="176" fontId="0" fillId="7" borderId="0" xfId="0" applyNumberFormat="1" applyFill="1"/>
    <xf numFmtId="178" fontId="0" fillId="7" borderId="0" xfId="0" applyNumberFormat="1" applyFill="1"/>
    <xf numFmtId="176" fontId="0" fillId="5" borderId="0" xfId="0" applyNumberFormat="1" applyFill="1"/>
    <xf numFmtId="2" fontId="0" fillId="7" borderId="0" xfId="0" applyNumberFormat="1" applyFill="1"/>
    <xf numFmtId="0" fontId="17" fillId="0" borderId="0" xfId="0" applyFont="1" applyAlignment="1">
      <alignment horizontal="right"/>
    </xf>
    <xf numFmtId="0" fontId="3" fillId="0" borderId="0" xfId="0" applyFont="1"/>
    <xf numFmtId="179" fontId="0" fillId="9" borderId="12" xfId="0" applyNumberFormat="1" applyFill="1" applyBorder="1" applyProtection="1">
      <protection hidden="1"/>
    </xf>
    <xf numFmtId="0" fontId="12" fillId="9" borderId="12" xfId="0" applyFont="1" applyFill="1" applyBorder="1" applyAlignment="1" applyProtection="1">
      <alignment horizontal="left"/>
      <protection hidden="1"/>
    </xf>
    <xf numFmtId="0" fontId="12" fillId="9" borderId="11" xfId="0" applyFont="1" applyFill="1" applyBorder="1" applyProtection="1">
      <protection hidden="1"/>
    </xf>
    <xf numFmtId="0" fontId="0" fillId="9" borderId="11" xfId="0" applyFill="1" applyBorder="1" applyProtection="1">
      <protection hidden="1"/>
    </xf>
    <xf numFmtId="1" fontId="0" fillId="9" borderId="8" xfId="0" applyNumberFormat="1" applyFill="1" applyBorder="1" applyProtection="1">
      <protection hidden="1"/>
    </xf>
    <xf numFmtId="0" fontId="0" fillId="9" borderId="8" xfId="0" applyFill="1" applyBorder="1" applyAlignment="1" applyProtection="1">
      <alignment horizontal="left"/>
      <protection hidden="1"/>
    </xf>
    <xf numFmtId="0" fontId="0" fillId="9" borderId="15" xfId="0" applyFill="1" applyBorder="1" applyProtection="1">
      <protection hidden="1"/>
    </xf>
    <xf numFmtId="0" fontId="0" fillId="9" borderId="5" xfId="0" applyFill="1" applyBorder="1" applyProtection="1">
      <protection hidden="1"/>
    </xf>
    <xf numFmtId="0" fontId="0" fillId="9" borderId="6" xfId="0" applyFill="1" applyBorder="1" applyAlignment="1" applyProtection="1">
      <alignment horizontal="center"/>
      <protection hidden="1"/>
    </xf>
    <xf numFmtId="0" fontId="0" fillId="9" borderId="16" xfId="0" applyFill="1" applyBorder="1" applyAlignment="1" applyProtection="1">
      <alignment horizontal="center"/>
      <protection hidden="1"/>
    </xf>
    <xf numFmtId="0" fontId="0" fillId="9" borderId="17" xfId="0" applyFill="1" applyBorder="1" applyAlignment="1" applyProtection="1">
      <alignment horizontal="center"/>
      <protection hidden="1"/>
    </xf>
    <xf numFmtId="0" fontId="0" fillId="0" borderId="5" xfId="0" applyBorder="1"/>
    <xf numFmtId="0" fontId="0" fillId="0" borderId="6" xfId="0" applyBorder="1"/>
    <xf numFmtId="0" fontId="0" fillId="0" borderId="17" xfId="0" applyBorder="1"/>
    <xf numFmtId="0" fontId="0" fillId="0" borderId="7" xfId="0" applyBorder="1"/>
    <xf numFmtId="0" fontId="0" fillId="4" borderId="0" xfId="0" applyFill="1"/>
    <xf numFmtId="0" fontId="0" fillId="0" borderId="11" xfId="0" applyBorder="1"/>
    <xf numFmtId="0" fontId="0" fillId="0" borderId="8" xfId="0" applyBorder="1"/>
    <xf numFmtId="0" fontId="0" fillId="0" borderId="9" xfId="0" applyBorder="1"/>
    <xf numFmtId="0" fontId="0" fillId="0" borderId="15" xfId="0" applyBorder="1"/>
    <xf numFmtId="176" fontId="0" fillId="0" borderId="9" xfId="0" applyNumberFormat="1" applyBorder="1"/>
    <xf numFmtId="0" fontId="20" fillId="9" borderId="0" xfId="0" applyFont="1" applyFill="1" applyAlignment="1" applyProtection="1">
      <alignment horizontal="left"/>
      <protection hidden="1"/>
    </xf>
    <xf numFmtId="0" fontId="22" fillId="0" borderId="0" xfId="2" applyFont="1"/>
    <xf numFmtId="0" fontId="4" fillId="0" borderId="0" xfId="2"/>
    <xf numFmtId="0" fontId="22" fillId="0" borderId="0" xfId="2" applyFont="1" applyAlignment="1">
      <alignment horizontal="center"/>
    </xf>
    <xf numFmtId="0" fontId="23" fillId="0" borderId="0" xfId="2" applyFont="1"/>
    <xf numFmtId="0" fontId="12" fillId="0" borderId="0" xfId="0" applyFont="1"/>
    <xf numFmtId="0" fontId="22" fillId="10" borderId="0" xfId="2" applyFont="1" applyFill="1" applyAlignment="1">
      <alignment horizontal="center"/>
    </xf>
    <xf numFmtId="0" fontId="22" fillId="11" borderId="0" xfId="2" applyFont="1" applyFill="1" applyAlignment="1">
      <alignment horizontal="center"/>
    </xf>
    <xf numFmtId="0" fontId="22" fillId="12" borderId="0" xfId="2" applyFont="1" applyFill="1" applyAlignment="1">
      <alignment horizontal="center"/>
    </xf>
    <xf numFmtId="0" fontId="24" fillId="0" borderId="0" xfId="0" applyFont="1"/>
    <xf numFmtId="0" fontId="0" fillId="0" borderId="13" xfId="0" applyBorder="1"/>
    <xf numFmtId="0" fontId="0" fillId="0" borderId="18" xfId="0" applyBorder="1"/>
    <xf numFmtId="0" fontId="0" fillId="0" borderId="20" xfId="0" applyBorder="1"/>
    <xf numFmtId="0" fontId="4" fillId="0" borderId="12" xfId="2" applyBorder="1"/>
    <xf numFmtId="0" fontId="0" fillId="0" borderId="19" xfId="0" applyBorder="1"/>
    <xf numFmtId="0" fontId="4" fillId="0" borderId="19" xfId="2" applyBorder="1"/>
    <xf numFmtId="0" fontId="4" fillId="0" borderId="18" xfId="2" applyBorder="1"/>
    <xf numFmtId="176" fontId="4" fillId="0" borderId="19" xfId="2" applyNumberFormat="1" applyBorder="1"/>
    <xf numFmtId="176" fontId="0" fillId="0" borderId="19" xfId="0" applyNumberFormat="1" applyBorder="1"/>
    <xf numFmtId="0" fontId="0" fillId="0" borderId="16" xfId="0" applyBorder="1"/>
    <xf numFmtId="1" fontId="0" fillId="0" borderId="17" xfId="0" applyNumberFormat="1" applyBorder="1"/>
    <xf numFmtId="176" fontId="4" fillId="0" borderId="6" xfId="2" applyNumberFormat="1" applyBorder="1"/>
    <xf numFmtId="0" fontId="4" fillId="0" borderId="6" xfId="2" applyBorder="1"/>
    <xf numFmtId="0" fontId="4" fillId="0" borderId="5" xfId="2" applyBorder="1"/>
    <xf numFmtId="176" fontId="0" fillId="0" borderId="6" xfId="0" applyNumberFormat="1" applyBorder="1"/>
    <xf numFmtId="1" fontId="0" fillId="0" borderId="11" xfId="0" applyNumberFormat="1" applyBorder="1"/>
    <xf numFmtId="176" fontId="4" fillId="0" borderId="0" xfId="2" applyNumberFormat="1"/>
    <xf numFmtId="0" fontId="4" fillId="0" borderId="7" xfId="2" applyBorder="1"/>
    <xf numFmtId="0" fontId="0" fillId="0" borderId="14" xfId="0" applyBorder="1"/>
    <xf numFmtId="1" fontId="0" fillId="0" borderId="15" xfId="0" applyNumberFormat="1" applyBorder="1"/>
    <xf numFmtId="176" fontId="4" fillId="0" borderId="9" xfId="2" applyNumberFormat="1" applyBorder="1"/>
    <xf numFmtId="0" fontId="4" fillId="0" borderId="9" xfId="2" applyBorder="1"/>
    <xf numFmtId="0" fontId="4" fillId="0" borderId="8" xfId="2" applyBorder="1"/>
    <xf numFmtId="0" fontId="25" fillId="0" borderId="0" xfId="0" applyFont="1"/>
    <xf numFmtId="0" fontId="0" fillId="0" borderId="12" xfId="0" applyBorder="1"/>
    <xf numFmtId="176" fontId="0" fillId="0" borderId="7" xfId="0" applyNumberFormat="1" applyBorder="1"/>
    <xf numFmtId="0" fontId="0" fillId="0" borderId="0" xfId="0" applyAlignment="1">
      <alignment horizontal="center"/>
    </xf>
    <xf numFmtId="0" fontId="0" fillId="4" borderId="0" xfId="0" applyFill="1" applyAlignment="1">
      <alignment horizontal="left"/>
    </xf>
    <xf numFmtId="180" fontId="0" fillId="7" borderId="0" xfId="0" applyNumberFormat="1" applyFill="1"/>
    <xf numFmtId="0" fontId="27" fillId="9" borderId="0" xfId="2" applyFont="1" applyFill="1" applyAlignment="1" applyProtection="1">
      <alignment horizontal="right"/>
      <protection hidden="1"/>
    </xf>
    <xf numFmtId="0" fontId="29" fillId="0" borderId="0" xfId="0" applyFont="1"/>
    <xf numFmtId="2" fontId="0" fillId="0" borderId="12" xfId="0" applyNumberFormat="1" applyBorder="1"/>
    <xf numFmtId="2" fontId="0" fillId="0" borderId="7" xfId="0" applyNumberFormat="1" applyBorder="1"/>
    <xf numFmtId="2" fontId="0" fillId="0" borderId="8" xfId="0" applyNumberFormat="1" applyBorder="1"/>
    <xf numFmtId="0" fontId="4" fillId="0" borderId="15" xfId="2" applyBorder="1"/>
    <xf numFmtId="0" fontId="4" fillId="0" borderId="11" xfId="2" applyBorder="1"/>
    <xf numFmtId="0" fontId="30" fillId="9" borderId="5" xfId="0" applyFont="1" applyFill="1" applyBorder="1" applyProtection="1">
      <protection hidden="1"/>
    </xf>
    <xf numFmtId="0" fontId="30" fillId="9" borderId="6" xfId="0" applyFont="1" applyFill="1" applyBorder="1" applyProtection="1">
      <protection hidden="1"/>
    </xf>
    <xf numFmtId="0" fontId="31" fillId="9" borderId="6" xfId="2" applyFont="1" applyFill="1" applyBorder="1" applyAlignment="1" applyProtection="1">
      <alignment horizontal="right"/>
      <protection hidden="1"/>
    </xf>
    <xf numFmtId="0" fontId="31" fillId="9" borderId="17" xfId="2" applyFont="1" applyFill="1" applyBorder="1" applyProtection="1">
      <protection hidden="1"/>
    </xf>
    <xf numFmtId="0" fontId="20" fillId="9" borderId="7" xfId="0" applyFont="1" applyFill="1" applyBorder="1" applyProtection="1">
      <protection hidden="1"/>
    </xf>
    <xf numFmtId="0" fontId="30" fillId="9" borderId="0" xfId="0" applyFont="1" applyFill="1" applyProtection="1">
      <protection hidden="1"/>
    </xf>
    <xf numFmtId="0" fontId="31" fillId="9" borderId="0" xfId="2" applyFont="1" applyFill="1" applyAlignment="1" applyProtection="1">
      <alignment horizontal="right"/>
      <protection hidden="1"/>
    </xf>
    <xf numFmtId="0" fontId="31" fillId="9" borderId="11" xfId="2" applyFont="1" applyFill="1" applyBorder="1" applyProtection="1">
      <protection hidden="1"/>
    </xf>
    <xf numFmtId="0" fontId="30" fillId="9" borderId="7" xfId="0" applyFont="1" applyFill="1" applyBorder="1" applyProtection="1">
      <protection hidden="1"/>
    </xf>
    <xf numFmtId="0" fontId="30" fillId="9" borderId="8" xfId="0" applyFont="1" applyFill="1" applyBorder="1" applyProtection="1">
      <protection hidden="1"/>
    </xf>
    <xf numFmtId="0" fontId="30" fillId="9" borderId="9" xfId="0" applyFont="1" applyFill="1" applyBorder="1" applyProtection="1">
      <protection hidden="1"/>
    </xf>
    <xf numFmtId="0" fontId="31" fillId="9" borderId="9" xfId="2" applyFont="1" applyFill="1" applyBorder="1" applyAlignment="1" applyProtection="1">
      <alignment horizontal="right"/>
      <protection hidden="1"/>
    </xf>
    <xf numFmtId="0" fontId="31" fillId="9" borderId="15" xfId="2" applyFont="1" applyFill="1" applyBorder="1" applyProtection="1">
      <protection hidden="1"/>
    </xf>
    <xf numFmtId="0" fontId="30" fillId="9" borderId="0" xfId="0" applyFont="1" applyFill="1" applyAlignment="1" applyProtection="1">
      <alignment horizontal="right"/>
      <protection hidden="1"/>
    </xf>
    <xf numFmtId="0" fontId="30" fillId="9" borderId="11" xfId="0" applyFont="1" applyFill="1" applyBorder="1" applyProtection="1">
      <protection hidden="1"/>
    </xf>
    <xf numFmtId="0" fontId="30" fillId="9" borderId="9" xfId="0" applyFont="1" applyFill="1" applyBorder="1" applyAlignment="1" applyProtection="1">
      <alignment horizontal="right"/>
      <protection hidden="1"/>
    </xf>
    <xf numFmtId="0" fontId="30" fillId="9" borderId="15" xfId="0" applyFont="1" applyFill="1" applyBorder="1" applyProtection="1">
      <protection hidden="1"/>
    </xf>
    <xf numFmtId="0" fontId="0" fillId="0" borderId="21" xfId="0" applyBorder="1"/>
    <xf numFmtId="0" fontId="0" fillId="0" borderId="22" xfId="0" applyBorder="1" applyAlignment="1">
      <alignment horizontal="center" wrapText="1"/>
    </xf>
    <xf numFmtId="0" fontId="0" fillId="0" borderId="23" xfId="0" applyBorder="1"/>
    <xf numFmtId="0" fontId="0" fillId="0" borderId="24" xfId="0" applyBorder="1"/>
    <xf numFmtId="0" fontId="0" fillId="0" borderId="27" xfId="0" applyBorder="1"/>
    <xf numFmtId="0" fontId="0" fillId="0" borderId="28" xfId="0" applyBorder="1"/>
    <xf numFmtId="0" fontId="0" fillId="14" borderId="1" xfId="0" applyFill="1" applyBorder="1"/>
    <xf numFmtId="0" fontId="0" fillId="14" borderId="28" xfId="0" applyFill="1" applyBorder="1"/>
    <xf numFmtId="0" fontId="0" fillId="0" borderId="2" xfId="0" applyBorder="1"/>
    <xf numFmtId="0" fontId="0" fillId="0" borderId="4" xfId="0" applyBorder="1"/>
    <xf numFmtId="0" fontId="0" fillId="0" borderId="29" xfId="0" applyBorder="1"/>
    <xf numFmtId="0" fontId="0" fillId="0" borderId="30" xfId="0" applyBorder="1"/>
    <xf numFmtId="0" fontId="0" fillId="0" borderId="31" xfId="0" applyBorder="1"/>
    <xf numFmtId="0" fontId="17" fillId="0" borderId="0" xfId="0" applyFont="1"/>
    <xf numFmtId="0" fontId="36" fillId="0" borderId="0" xfId="0" applyFont="1"/>
    <xf numFmtId="0" fontId="37" fillId="0" borderId="0" xfId="0" applyFont="1"/>
    <xf numFmtId="0" fontId="4" fillId="0" borderId="0" xfId="2" applyAlignment="1">
      <alignment horizontal="left"/>
    </xf>
    <xf numFmtId="0" fontId="0" fillId="15" borderId="0" xfId="0" applyFill="1"/>
    <xf numFmtId="0" fontId="4" fillId="0" borderId="9" xfId="2" applyBorder="1" applyAlignment="1">
      <alignment horizontal="left"/>
    </xf>
    <xf numFmtId="176" fontId="0" fillId="8" borderId="0" xfId="0" applyNumberFormat="1" applyFill="1"/>
    <xf numFmtId="181" fontId="0" fillId="8" borderId="0" xfId="0" applyNumberFormat="1" applyFill="1"/>
    <xf numFmtId="0" fontId="0" fillId="9" borderId="17" xfId="0" applyFill="1" applyBorder="1" applyProtection="1">
      <protection hidden="1"/>
    </xf>
    <xf numFmtId="0" fontId="0" fillId="4" borderId="20" xfId="0" applyFill="1" applyBorder="1" applyProtection="1">
      <protection locked="0" hidden="1"/>
    </xf>
    <xf numFmtId="2" fontId="0" fillId="0" borderId="20" xfId="0" applyNumberFormat="1" applyBorder="1" applyProtection="1">
      <protection hidden="1"/>
    </xf>
    <xf numFmtId="0" fontId="12" fillId="9" borderId="15" xfId="0" applyFont="1" applyFill="1" applyBorder="1" applyProtection="1">
      <protection hidden="1"/>
    </xf>
    <xf numFmtId="0" fontId="0" fillId="9" borderId="5" xfId="0" applyFill="1" applyBorder="1"/>
    <xf numFmtId="0" fontId="0" fillId="9" borderId="6" xfId="0" applyFill="1" applyBorder="1"/>
    <xf numFmtId="0" fontId="0" fillId="9" borderId="6" xfId="0" applyFill="1" applyBorder="1" applyAlignment="1">
      <alignment horizontal="right"/>
    </xf>
    <xf numFmtId="0" fontId="0" fillId="9" borderId="17" xfId="0" applyFill="1" applyBorder="1"/>
    <xf numFmtId="0" fontId="0" fillId="9" borderId="7" xfId="0" applyFill="1" applyBorder="1"/>
    <xf numFmtId="0" fontId="0" fillId="9" borderId="0" xfId="0" applyFill="1"/>
    <xf numFmtId="0" fontId="0" fillId="9" borderId="0" xfId="0" applyFill="1" applyAlignment="1">
      <alignment horizontal="right"/>
    </xf>
    <xf numFmtId="0" fontId="0" fillId="9" borderId="11" xfId="0" applyFill="1" applyBorder="1"/>
    <xf numFmtId="0" fontId="0" fillId="9" borderId="8" xfId="0" applyFill="1" applyBorder="1"/>
    <xf numFmtId="0" fontId="0" fillId="9" borderId="9" xfId="0" applyFill="1" applyBorder="1"/>
    <xf numFmtId="0" fontId="0" fillId="9" borderId="15" xfId="0" applyFill="1" applyBorder="1"/>
    <xf numFmtId="0" fontId="0" fillId="9" borderId="9" xfId="0" applyFill="1" applyBorder="1" applyAlignment="1">
      <alignment horizontal="right"/>
    </xf>
    <xf numFmtId="0" fontId="19" fillId="0" borderId="0" xfId="0" applyFont="1" applyAlignment="1">
      <alignment horizontal="center" wrapText="1"/>
    </xf>
    <xf numFmtId="0" fontId="2" fillId="0" borderId="0" xfId="0" applyFont="1"/>
    <xf numFmtId="0" fontId="22" fillId="0" borderId="0" xfId="2" applyFont="1" applyAlignment="1">
      <alignment horizontal="left"/>
    </xf>
    <xf numFmtId="0" fontId="0" fillId="16" borderId="0" xfId="0" applyFill="1"/>
    <xf numFmtId="0" fontId="0" fillId="0" borderId="0" xfId="0" applyProtection="1">
      <protection hidden="1"/>
    </xf>
    <xf numFmtId="0" fontId="0" fillId="9" borderId="7" xfId="0" applyFill="1" applyBorder="1" applyAlignment="1" applyProtection="1">
      <alignment horizontal="right"/>
      <protection hidden="1"/>
    </xf>
    <xf numFmtId="0" fontId="0" fillId="9" borderId="0" xfId="0" applyFill="1" applyAlignment="1" applyProtection="1">
      <alignment horizontal="right"/>
      <protection hidden="1"/>
    </xf>
    <xf numFmtId="0" fontId="0" fillId="9" borderId="8" xfId="0" applyFill="1" applyBorder="1" applyAlignment="1" applyProtection="1">
      <alignment horizontal="right"/>
      <protection hidden="1"/>
    </xf>
    <xf numFmtId="0" fontId="0" fillId="9" borderId="9" xfId="0" applyFill="1" applyBorder="1" applyAlignment="1" applyProtection="1">
      <alignment horizontal="right"/>
      <protection hidden="1"/>
    </xf>
    <xf numFmtId="0" fontId="17" fillId="8" borderId="0" xfId="0" applyFont="1" applyFill="1"/>
    <xf numFmtId="0" fontId="45" fillId="18" borderId="0" xfId="0" applyFont="1" applyFill="1" applyAlignment="1">
      <alignment horizontal="center"/>
    </xf>
    <xf numFmtId="0" fontId="2" fillId="9" borderId="0" xfId="0" applyFont="1" applyFill="1"/>
    <xf numFmtId="0" fontId="15" fillId="9" borderId="0" xfId="0" applyFont="1" applyFill="1"/>
    <xf numFmtId="0" fontId="0" fillId="9" borderId="17" xfId="0" applyFill="1" applyBorder="1" applyAlignment="1">
      <alignment horizontal="left" vertical="center"/>
    </xf>
    <xf numFmtId="0" fontId="0" fillId="9" borderId="6" xfId="0" applyFill="1" applyBorder="1" applyAlignment="1">
      <alignment horizontal="left" vertical="center"/>
    </xf>
    <xf numFmtId="0" fontId="0" fillId="9" borderId="6" xfId="0" applyFill="1" applyBorder="1" applyAlignment="1">
      <alignment horizontal="right" vertical="center"/>
    </xf>
    <xf numFmtId="0" fontId="0" fillId="9" borderId="0" xfId="0" applyFill="1" applyAlignment="1">
      <alignment horizontal="center"/>
    </xf>
    <xf numFmtId="0" fontId="5" fillId="2" borderId="5" xfId="1" applyFont="1" applyFill="1" applyBorder="1" applyAlignment="1">
      <alignment vertical="center"/>
    </xf>
    <xf numFmtId="0" fontId="5" fillId="2" borderId="6" xfId="1" applyFont="1" applyFill="1" applyBorder="1" applyAlignment="1">
      <alignment vertical="center"/>
    </xf>
    <xf numFmtId="0" fontId="0" fillId="2" borderId="0" xfId="0" applyFill="1"/>
    <xf numFmtId="0" fontId="5" fillId="2" borderId="0" xfId="1" applyFont="1" applyFill="1" applyAlignment="1">
      <alignment vertical="center"/>
    </xf>
    <xf numFmtId="0" fontId="0" fillId="3" borderId="0" xfId="0" applyFill="1"/>
    <xf numFmtId="0" fontId="0" fillId="3" borderId="0" xfId="0" applyFill="1" applyAlignment="1">
      <alignment horizontal="right"/>
    </xf>
    <xf numFmtId="0" fontId="0" fillId="18" borderId="0" xfId="0" applyFill="1"/>
    <xf numFmtId="0" fontId="0" fillId="18" borderId="0" xfId="0" applyFill="1" applyAlignment="1">
      <alignment horizontal="right"/>
    </xf>
    <xf numFmtId="0" fontId="34" fillId="18" borderId="0" xfId="0" applyFont="1" applyFill="1"/>
    <xf numFmtId="0" fontId="47" fillId="18" borderId="0" xfId="0" applyFont="1" applyFill="1"/>
    <xf numFmtId="0" fontId="0" fillId="9" borderId="20" xfId="0" applyFill="1" applyBorder="1"/>
    <xf numFmtId="0" fontId="0" fillId="9" borderId="16" xfId="0" applyFill="1" applyBorder="1" applyAlignment="1">
      <alignment horizontal="right" vertical="center"/>
    </xf>
    <xf numFmtId="0" fontId="0" fillId="9" borderId="14" xfId="0" applyFill="1" applyBorder="1"/>
    <xf numFmtId="1" fontId="0" fillId="9" borderId="20" xfId="0" applyNumberFormat="1" applyFill="1" applyBorder="1"/>
    <xf numFmtId="0" fontId="42" fillId="9" borderId="0" xfId="0" applyFont="1" applyFill="1" applyAlignment="1">
      <alignment horizontal="center"/>
    </xf>
    <xf numFmtId="0" fontId="40" fillId="9" borderId="0" xfId="0" applyFont="1" applyFill="1"/>
    <xf numFmtId="49" fontId="42" fillId="9" borderId="0" xfId="0" applyNumberFormat="1" applyFont="1" applyFill="1" applyAlignment="1">
      <alignment horizontal="center"/>
    </xf>
    <xf numFmtId="0" fontId="42" fillId="9" borderId="0" xfId="0" applyFont="1" applyFill="1" applyAlignment="1">
      <alignment wrapText="1"/>
    </xf>
    <xf numFmtId="0" fontId="46" fillId="9" borderId="0" xfId="3" applyFont="1" applyFill="1" applyBorder="1" applyAlignment="1">
      <alignment vertical="center"/>
    </xf>
    <xf numFmtId="0" fontId="40" fillId="9" borderId="0" xfId="0" applyFont="1" applyFill="1" applyAlignment="1">
      <alignment horizontal="center"/>
    </xf>
    <xf numFmtId="0" fontId="40" fillId="9" borderId="0" xfId="0" applyFont="1" applyFill="1" applyAlignment="1">
      <alignment horizontal="left"/>
    </xf>
    <xf numFmtId="0" fontId="41" fillId="9" borderId="0" xfId="0" applyFont="1" applyFill="1" applyAlignment="1">
      <alignment horizontal="center"/>
    </xf>
    <xf numFmtId="49" fontId="41" fillId="9" borderId="0" xfId="0" applyNumberFormat="1" applyFont="1" applyFill="1" applyAlignment="1">
      <alignment horizontal="left"/>
    </xf>
    <xf numFmtId="0" fontId="42" fillId="9" borderId="0" xfId="0" applyFont="1" applyFill="1"/>
    <xf numFmtId="0" fontId="44" fillId="9" borderId="0" xfId="3" applyFont="1" applyFill="1" applyBorder="1" applyAlignment="1">
      <alignment vertical="center"/>
    </xf>
    <xf numFmtId="0" fontId="44" fillId="9" borderId="0" xfId="3" applyFont="1" applyFill="1" applyBorder="1" applyAlignment="1">
      <alignment horizontal="right" vertical="center"/>
    </xf>
    <xf numFmtId="0" fontId="41" fillId="9" borderId="0" xfId="0" applyFont="1" applyFill="1" applyAlignment="1">
      <alignment horizontal="left"/>
    </xf>
    <xf numFmtId="0" fontId="4" fillId="9" borderId="0" xfId="0" applyFont="1" applyFill="1"/>
    <xf numFmtId="0" fontId="0" fillId="4" borderId="16" xfId="0" applyFill="1" applyBorder="1" applyProtection="1">
      <protection locked="0"/>
    </xf>
    <xf numFmtId="0" fontId="0" fillId="4" borderId="20" xfId="0" applyFill="1" applyBorder="1" applyProtection="1">
      <protection locked="0"/>
    </xf>
    <xf numFmtId="0" fontId="0" fillId="4" borderId="14" xfId="0" applyFill="1" applyBorder="1" applyProtection="1">
      <protection locked="0"/>
    </xf>
    <xf numFmtId="0" fontId="0" fillId="4" borderId="13" xfId="0" applyFill="1" applyBorder="1" applyProtection="1">
      <protection locked="0"/>
    </xf>
    <xf numFmtId="0" fontId="30" fillId="4" borderId="16" xfId="0" applyFont="1" applyFill="1" applyBorder="1" applyProtection="1">
      <protection locked="0"/>
    </xf>
    <xf numFmtId="0" fontId="30" fillId="4" borderId="20" xfId="0" applyFont="1" applyFill="1" applyBorder="1" applyProtection="1">
      <protection locked="0"/>
    </xf>
    <xf numFmtId="0" fontId="30" fillId="4" borderId="14" xfId="0" applyFont="1" applyFill="1" applyBorder="1" applyProtection="1">
      <protection locked="0"/>
    </xf>
    <xf numFmtId="2" fontId="0" fillId="9" borderId="20" xfId="0" applyNumberFormat="1" applyFill="1" applyBorder="1"/>
    <xf numFmtId="0" fontId="4" fillId="0" borderId="0" xfId="0" applyFont="1" applyAlignment="1">
      <alignment horizontal="right"/>
    </xf>
    <xf numFmtId="2" fontId="0" fillId="9" borderId="14" xfId="0" applyNumberFormat="1" applyFill="1" applyBorder="1"/>
    <xf numFmtId="2" fontId="0" fillId="0" borderId="16" xfId="0" applyNumberFormat="1" applyBorder="1"/>
    <xf numFmtId="2" fontId="0" fillId="0" borderId="20" xfId="0" applyNumberFormat="1" applyBorder="1"/>
    <xf numFmtId="2" fontId="0" fillId="0" borderId="14" xfId="0" applyNumberFormat="1" applyBorder="1" applyProtection="1">
      <protection hidden="1"/>
    </xf>
    <xf numFmtId="0" fontId="0" fillId="3" borderId="9" xfId="0" applyFill="1" applyBorder="1"/>
    <xf numFmtId="0" fontId="0" fillId="9" borderId="7" xfId="0" applyFill="1" applyBorder="1" applyAlignment="1" applyProtection="1">
      <alignment horizontal="right"/>
      <protection hidden="1"/>
    </xf>
    <xf numFmtId="0" fontId="0" fillId="9" borderId="0" xfId="0" applyFill="1" applyAlignment="1" applyProtection="1">
      <alignment horizontal="right"/>
      <protection hidden="1"/>
    </xf>
    <xf numFmtId="0" fontId="0" fillId="9" borderId="11" xfId="0" applyFill="1" applyBorder="1" applyAlignment="1" applyProtection="1">
      <alignment horizontal="right"/>
      <protection hidden="1"/>
    </xf>
    <xf numFmtId="0" fontId="0" fillId="9" borderId="8" xfId="0" applyFill="1" applyBorder="1" applyAlignment="1" applyProtection="1">
      <alignment horizontal="right"/>
      <protection hidden="1"/>
    </xf>
    <xf numFmtId="0" fontId="0" fillId="9" borderId="9" xfId="0" applyFill="1" applyBorder="1" applyAlignment="1" applyProtection="1">
      <alignment horizontal="right"/>
      <protection hidden="1"/>
    </xf>
    <xf numFmtId="0" fontId="0" fillId="9" borderId="15" xfId="0" applyFill="1" applyBorder="1" applyAlignment="1" applyProtection="1">
      <alignment horizontal="right"/>
      <protection hidden="1"/>
    </xf>
    <xf numFmtId="0" fontId="43" fillId="3" borderId="0" xfId="3" applyFill="1" applyBorder="1" applyAlignment="1" applyProtection="1">
      <alignment horizontal="center" vertical="center"/>
      <protection locked="0" hidden="1"/>
    </xf>
    <xf numFmtId="0" fontId="0" fillId="9" borderId="0" xfId="0" applyFill="1" applyAlignment="1">
      <alignment horizontal="center"/>
    </xf>
    <xf numFmtId="0" fontId="0" fillId="9" borderId="5" xfId="0" applyFill="1" applyBorder="1" applyAlignment="1" applyProtection="1">
      <alignment horizontal="right"/>
      <protection hidden="1"/>
    </xf>
    <xf numFmtId="0" fontId="0" fillId="9" borderId="6" xfId="0" applyFill="1" applyBorder="1" applyAlignment="1" applyProtection="1">
      <alignment horizontal="right"/>
      <protection hidden="1"/>
    </xf>
    <xf numFmtId="0" fontId="0" fillId="9" borderId="17" xfId="0" applyFill="1" applyBorder="1" applyAlignment="1" applyProtection="1">
      <alignment horizontal="right"/>
      <protection hidden="1"/>
    </xf>
    <xf numFmtId="0" fontId="43" fillId="3" borderId="0" xfId="3" applyFill="1" applyBorder="1" applyAlignment="1" applyProtection="1">
      <alignment horizontal="center"/>
      <protection locked="0" hidden="1"/>
    </xf>
    <xf numFmtId="0" fontId="40" fillId="0" borderId="0" xfId="0" applyFont="1" applyAlignment="1">
      <alignment horizontal="center"/>
    </xf>
    <xf numFmtId="0" fontId="40" fillId="17" borderId="0" xfId="0" applyFont="1" applyFill="1" applyAlignment="1">
      <alignment horizontal="center"/>
    </xf>
    <xf numFmtId="0" fontId="45" fillId="18" borderId="0" xfId="0" applyFont="1" applyFill="1" applyAlignment="1">
      <alignment horizontal="left"/>
    </xf>
    <xf numFmtId="0" fontId="42" fillId="9" borderId="0" xfId="0" applyFont="1" applyFill="1" applyAlignment="1">
      <alignment horizontal="left"/>
    </xf>
    <xf numFmtId="0" fontId="42" fillId="9" borderId="0" xfId="0" applyFont="1" applyFill="1" applyAlignment="1">
      <alignment wrapText="1"/>
    </xf>
    <xf numFmtId="0" fontId="0" fillId="0" borderId="22" xfId="0" applyBorder="1" applyAlignment="1">
      <alignment horizontal="center" wrapText="1"/>
    </xf>
    <xf numFmtId="0" fontId="0" fillId="0" borderId="26" xfId="0" applyBorder="1" applyAlignment="1">
      <alignment horizontal="center" wrapText="1"/>
    </xf>
    <xf numFmtId="0" fontId="0" fillId="0" borderId="23" xfId="0" applyBorder="1" applyAlignment="1">
      <alignment horizontal="center" wrapText="1"/>
    </xf>
    <xf numFmtId="0" fontId="0" fillId="0" borderId="24" xfId="0" applyBorder="1" applyAlignment="1">
      <alignment horizontal="center" wrapText="1"/>
    </xf>
    <xf numFmtId="0" fontId="35" fillId="13" borderId="0" xfId="2" applyFont="1" applyFill="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1" xfId="0" applyBorder="1" applyAlignment="1">
      <alignment horizontal="left" vertical="center"/>
    </xf>
    <xf numFmtId="0" fontId="2" fillId="0" borderId="1" xfId="0" applyFont="1" applyBorder="1" applyAlignment="1">
      <alignment horizontal="left"/>
    </xf>
    <xf numFmtId="0" fontId="0" fillId="0" borderId="0" xfId="0" applyAlignment="1">
      <alignment horizontal="center" vertical="top"/>
    </xf>
    <xf numFmtId="0" fontId="0" fillId="0" borderId="10" xfId="0" applyBorder="1" applyAlignment="1">
      <alignment horizontal="center" vertical="top"/>
    </xf>
    <xf numFmtId="0" fontId="0" fillId="0" borderId="1" xfId="0" applyBorder="1" applyAlignment="1">
      <alignment horizontal="center"/>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2" fillId="0" borderId="0" xfId="2" applyFont="1" applyAlignment="1">
      <alignment horizontal="center"/>
    </xf>
    <xf numFmtId="0" fontId="2" fillId="0" borderId="19" xfId="0" applyFont="1" applyBorder="1" applyAlignment="1">
      <alignment horizontal="center"/>
    </xf>
    <xf numFmtId="0" fontId="2" fillId="0" borderId="18" xfId="0" applyFont="1" applyBorder="1" applyAlignment="1">
      <alignment horizontal="center"/>
    </xf>
    <xf numFmtId="0" fontId="4" fillId="0" borderId="0" xfId="2" applyAlignment="1">
      <alignment horizontal="center"/>
    </xf>
    <xf numFmtId="0" fontId="0" fillId="0" borderId="0" xfId="0" applyAlignment="1">
      <alignment horizontal="center"/>
    </xf>
    <xf numFmtId="0" fontId="0" fillId="0" borderId="7" xfId="0" applyBorder="1" applyAlignment="1">
      <alignment horizontal="center"/>
    </xf>
    <xf numFmtId="0" fontId="0" fillId="0" borderId="11" xfId="0" applyBorder="1" applyAlignment="1">
      <alignment horizontal="center"/>
    </xf>
    <xf numFmtId="0" fontId="2" fillId="0" borderId="12" xfId="0" applyFont="1" applyBorder="1" applyAlignment="1">
      <alignment horizontal="center"/>
    </xf>
    <xf numFmtId="0" fontId="2" fillId="0" borderId="5" xfId="0" applyFont="1" applyBorder="1" applyAlignment="1">
      <alignment horizontal="center"/>
    </xf>
    <xf numFmtId="0" fontId="2" fillId="0" borderId="17" xfId="0" applyFont="1" applyBorder="1" applyAlignment="1">
      <alignment horizontal="center"/>
    </xf>
    <xf numFmtId="0" fontId="0" fillId="0" borderId="6" xfId="0" applyBorder="1" applyAlignment="1">
      <alignment horizontal="center"/>
    </xf>
    <xf numFmtId="0" fontId="0" fillId="0" borderId="5" xfId="0" applyBorder="1" applyAlignment="1">
      <alignment horizontal="center"/>
    </xf>
    <xf numFmtId="0" fontId="0" fillId="0" borderId="17" xfId="0" applyBorder="1" applyAlignment="1">
      <alignment horizontal="center"/>
    </xf>
  </cellXfs>
  <cellStyles count="4">
    <cellStyle name="Normal 2" xfId="2" xr:uid="{00000000-0005-0000-0000-000001000000}"/>
    <cellStyle name="Normal 4" xfId="1" xr:uid="{00000000-0005-0000-0000-000002000000}"/>
    <cellStyle name="ハイパーリンク" xfId="3" builtinId="8"/>
    <cellStyle name="標準" xfId="0" builtinId="0"/>
  </cellStyles>
  <dxfs count="7">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aseline="0"/>
              <a:t>Bode Plot</a:t>
            </a:r>
          </a:p>
        </c:rich>
      </c:tx>
      <c:overlay val="0"/>
    </c:title>
    <c:autoTitleDeleted val="0"/>
    <c:plotArea>
      <c:layout/>
      <c:scatterChart>
        <c:scatterStyle val="smoothMarker"/>
        <c:varyColors val="0"/>
        <c:ser>
          <c:idx val="0"/>
          <c:order val="0"/>
          <c:spPr>
            <a:ln w="38100">
              <a:solidFill>
                <a:srgbClr val="FF0000"/>
              </a:solidFill>
            </a:ln>
          </c:spPr>
          <c:marker>
            <c:symbol val="none"/>
          </c:marker>
          <c:xVal>
            <c:numRef>
              <c:f>Control_Loop_Tables!$N$19:$N$560</c:f>
              <c:numCache>
                <c:formatCode>0.00</c:formatCode>
                <c:ptCount val="542"/>
                <c:pt idx="0">
                  <c:v>10.232929922807543</c:v>
                </c:pt>
                <c:pt idx="1">
                  <c:v>10.471285480509</c:v>
                </c:pt>
                <c:pt idx="2">
                  <c:v>10.715193052376069</c:v>
                </c:pt>
                <c:pt idx="3">
                  <c:v>10.964781961431854</c:v>
                </c:pt>
                <c:pt idx="4">
                  <c:v>11.220184543019636</c:v>
                </c:pt>
                <c:pt idx="5">
                  <c:v>11.481536214968834</c:v>
                </c:pt>
                <c:pt idx="6">
                  <c:v>11.748975549395301</c:v>
                </c:pt>
                <c:pt idx="7">
                  <c:v>12.022644346174133</c:v>
                </c:pt>
                <c:pt idx="8">
                  <c:v>12.302687708123818</c:v>
                </c:pt>
                <c:pt idx="9">
                  <c:v>12.58925411794168</c:v>
                </c:pt>
                <c:pt idx="10">
                  <c:v>12.882495516931346</c:v>
                </c:pt>
                <c:pt idx="11">
                  <c:v>13.182567385564075</c:v>
                </c:pt>
                <c:pt idx="12">
                  <c:v>13.489628825916535</c:v>
                </c:pt>
                <c:pt idx="13">
                  <c:v>13.803842646028857</c:v>
                </c:pt>
                <c:pt idx="14">
                  <c:v>14.125375446227544</c:v>
                </c:pt>
                <c:pt idx="15">
                  <c:v>14.454397707459275</c:v>
                </c:pt>
                <c:pt idx="16">
                  <c:v>14.791083881682074</c:v>
                </c:pt>
                <c:pt idx="17">
                  <c:v>15.135612484362087</c:v>
                </c:pt>
                <c:pt idx="18">
                  <c:v>15.488166189124817</c:v>
                </c:pt>
                <c:pt idx="19">
                  <c:v>15.848931924611136</c:v>
                </c:pt>
                <c:pt idx="20">
                  <c:v>16.218100973589298</c:v>
                </c:pt>
                <c:pt idx="21">
                  <c:v>16.595869074375614</c:v>
                </c:pt>
                <c:pt idx="22">
                  <c:v>16.982436524617448</c:v>
                </c:pt>
                <c:pt idx="23">
                  <c:v>17.378008287493756</c:v>
                </c:pt>
                <c:pt idx="24">
                  <c:v>17.782794100389236</c:v>
                </c:pt>
                <c:pt idx="25">
                  <c:v>18.197008586099841</c:v>
                </c:pt>
                <c:pt idx="26">
                  <c:v>18.62087136662868</c:v>
                </c:pt>
                <c:pt idx="27">
                  <c:v>19.054607179632477</c:v>
                </c:pt>
                <c:pt idx="28">
                  <c:v>19.498445997580465</c:v>
                </c:pt>
                <c:pt idx="29">
                  <c:v>19.952623149688804</c:v>
                </c:pt>
                <c:pt idx="30">
                  <c:v>20.4173794466953</c:v>
                </c:pt>
                <c:pt idx="31">
                  <c:v>20.8929613085404</c:v>
                </c:pt>
                <c:pt idx="32">
                  <c:v>21.379620895022335</c:v>
                </c:pt>
                <c:pt idx="33">
                  <c:v>21.877616239495538</c:v>
                </c:pt>
                <c:pt idx="34">
                  <c:v>22.387211385683404</c:v>
                </c:pt>
                <c:pt idx="35">
                  <c:v>22.908676527677727</c:v>
                </c:pt>
                <c:pt idx="36">
                  <c:v>23.442288153199236</c:v>
                </c:pt>
                <c:pt idx="37">
                  <c:v>23.988329190194907</c:v>
                </c:pt>
                <c:pt idx="38">
                  <c:v>24.547089156850316</c:v>
                </c:pt>
                <c:pt idx="39">
                  <c:v>25.118864315095799</c:v>
                </c:pt>
                <c:pt idx="40">
                  <c:v>25.703957827688647</c:v>
                </c:pt>
                <c:pt idx="41">
                  <c:v>26.302679918953825</c:v>
                </c:pt>
                <c:pt idx="42">
                  <c:v>26.915348039269158</c:v>
                </c:pt>
                <c:pt idx="43">
                  <c:v>27.542287033381665</c:v>
                </c:pt>
                <c:pt idx="44">
                  <c:v>28.183829312644548</c:v>
                </c:pt>
                <c:pt idx="45">
                  <c:v>28.840315031266066</c:v>
                </c:pt>
                <c:pt idx="46">
                  <c:v>29.512092266663863</c:v>
                </c:pt>
                <c:pt idx="47">
                  <c:v>30.199517204020164</c:v>
                </c:pt>
                <c:pt idx="48">
                  <c:v>30.902954325135919</c:v>
                </c:pt>
                <c:pt idx="49">
                  <c:v>31.622776601683803</c:v>
                </c:pt>
                <c:pt idx="50">
                  <c:v>32.359365692962832</c:v>
                </c:pt>
                <c:pt idx="51">
                  <c:v>33.113112148259127</c:v>
                </c:pt>
                <c:pt idx="52">
                  <c:v>33.884415613920268</c:v>
                </c:pt>
                <c:pt idx="53">
                  <c:v>34.67368504525318</c:v>
                </c:pt>
                <c:pt idx="54">
                  <c:v>35.481338923357555</c:v>
                </c:pt>
                <c:pt idx="55">
                  <c:v>36.307805477010156</c:v>
                </c:pt>
                <c:pt idx="56">
                  <c:v>37.15352290971726</c:v>
                </c:pt>
                <c:pt idx="57">
                  <c:v>38.018939632056139</c:v>
                </c:pt>
                <c:pt idx="58">
                  <c:v>38.904514499428053</c:v>
                </c:pt>
                <c:pt idx="59">
                  <c:v>39.810717055349755</c:v>
                </c:pt>
                <c:pt idx="60">
                  <c:v>40.738027780411279</c:v>
                </c:pt>
                <c:pt idx="61">
                  <c:v>41.686938347033561</c:v>
                </c:pt>
                <c:pt idx="62">
                  <c:v>42.657951880159267</c:v>
                </c:pt>
                <c:pt idx="63">
                  <c:v>43.651583224016633</c:v>
                </c:pt>
                <c:pt idx="64">
                  <c:v>44.668359215096324</c:v>
                </c:pt>
                <c:pt idx="65">
                  <c:v>45.70881896148753</c:v>
                </c:pt>
                <c:pt idx="66">
                  <c:v>46.773514128719818</c:v>
                </c:pt>
                <c:pt idx="67">
                  <c:v>47.863009232263877</c:v>
                </c:pt>
                <c:pt idx="68">
                  <c:v>48.977881936844632</c:v>
                </c:pt>
                <c:pt idx="69">
                  <c:v>50.118723362727238</c:v>
                </c:pt>
                <c:pt idx="70">
                  <c:v>51.28613839913649</c:v>
                </c:pt>
                <c:pt idx="71">
                  <c:v>52.480746024977286</c:v>
                </c:pt>
                <c:pt idx="72">
                  <c:v>53.703179637025293</c:v>
                </c:pt>
                <c:pt idx="73">
                  <c:v>54.95408738576247</c:v>
                </c:pt>
                <c:pt idx="74">
                  <c:v>56.234132519034915</c:v>
                </c:pt>
                <c:pt idx="75">
                  <c:v>57.543993733715695</c:v>
                </c:pt>
                <c:pt idx="76">
                  <c:v>58.884365535558949</c:v>
                </c:pt>
                <c:pt idx="77">
                  <c:v>60.255958607435822</c:v>
                </c:pt>
                <c:pt idx="78">
                  <c:v>61.659500186148257</c:v>
                </c:pt>
                <c:pt idx="79">
                  <c:v>63.095734448019364</c:v>
                </c:pt>
                <c:pt idx="80">
                  <c:v>64.565422903465588</c:v>
                </c:pt>
                <c:pt idx="81">
                  <c:v>66.069344800759623</c:v>
                </c:pt>
                <c:pt idx="82">
                  <c:v>67.60829753919819</c:v>
                </c:pt>
                <c:pt idx="83">
                  <c:v>69.183097091893657</c:v>
                </c:pt>
                <c:pt idx="84">
                  <c:v>70.794578438413865</c:v>
                </c:pt>
                <c:pt idx="85">
                  <c:v>72.443596007499011</c:v>
                </c:pt>
                <c:pt idx="86">
                  <c:v>74.131024130091816</c:v>
                </c:pt>
                <c:pt idx="87">
                  <c:v>75.857757502918361</c:v>
                </c:pt>
                <c:pt idx="88">
                  <c:v>77.624711662869217</c:v>
                </c:pt>
                <c:pt idx="89">
                  <c:v>79.432823472428197</c:v>
                </c:pt>
                <c:pt idx="90">
                  <c:v>81.283051616409963</c:v>
                </c:pt>
                <c:pt idx="91">
                  <c:v>83.176377110267126</c:v>
                </c:pt>
                <c:pt idx="92">
                  <c:v>85.113803820237734</c:v>
                </c:pt>
                <c:pt idx="93">
                  <c:v>87.096358995608071</c:v>
                </c:pt>
                <c:pt idx="94">
                  <c:v>89.125093813374562</c:v>
                </c:pt>
                <c:pt idx="95">
                  <c:v>91.201083935590972</c:v>
                </c:pt>
                <c:pt idx="96">
                  <c:v>93.325430079699174</c:v>
                </c:pt>
                <c:pt idx="97">
                  <c:v>95.499258602143655</c:v>
                </c:pt>
                <c:pt idx="98">
                  <c:v>97.723722095581124</c:v>
                </c:pt>
                <c:pt idx="99">
                  <c:v>100</c:v>
                </c:pt>
                <c:pt idx="100">
                  <c:v>102.32929922807544</c:v>
                </c:pt>
                <c:pt idx="101">
                  <c:v>104.71285480508998</c:v>
                </c:pt>
                <c:pt idx="102">
                  <c:v>107.15193052376065</c:v>
                </c:pt>
                <c:pt idx="103">
                  <c:v>109.64781961431861</c:v>
                </c:pt>
                <c:pt idx="104">
                  <c:v>112.20184543019634</c:v>
                </c:pt>
                <c:pt idx="105">
                  <c:v>114.81536214968835</c:v>
                </c:pt>
                <c:pt idx="106">
                  <c:v>117.48975549395293</c:v>
                </c:pt>
                <c:pt idx="107">
                  <c:v>120.22644346174135</c:v>
                </c:pt>
                <c:pt idx="108">
                  <c:v>123.02687708123821</c:v>
                </c:pt>
                <c:pt idx="109">
                  <c:v>125.89254117941677</c:v>
                </c:pt>
                <c:pt idx="110">
                  <c:v>128.82495516931343</c:v>
                </c:pt>
                <c:pt idx="111">
                  <c:v>131.82567385564084</c:v>
                </c:pt>
                <c:pt idx="112">
                  <c:v>134.89628825916537</c:v>
                </c:pt>
                <c:pt idx="113">
                  <c:v>138.0384264602886</c:v>
                </c:pt>
                <c:pt idx="114">
                  <c:v>141.25375446227542</c:v>
                </c:pt>
                <c:pt idx="115">
                  <c:v>144.54397707459285</c:v>
                </c:pt>
                <c:pt idx="116">
                  <c:v>147.91083881682084</c:v>
                </c:pt>
                <c:pt idx="117">
                  <c:v>151.3561248436209</c:v>
                </c:pt>
                <c:pt idx="118">
                  <c:v>154.8816618912482</c:v>
                </c:pt>
                <c:pt idx="119">
                  <c:v>158.48931924611153</c:v>
                </c:pt>
                <c:pt idx="120">
                  <c:v>162.18100973589304</c:v>
                </c:pt>
                <c:pt idx="121">
                  <c:v>165.95869074375622</c:v>
                </c:pt>
                <c:pt idx="122">
                  <c:v>169.82436524617444</c:v>
                </c:pt>
                <c:pt idx="123">
                  <c:v>173.78008287493768</c:v>
                </c:pt>
                <c:pt idx="124">
                  <c:v>177.82794100389242</c:v>
                </c:pt>
                <c:pt idx="125">
                  <c:v>181.9700858609983</c:v>
                </c:pt>
                <c:pt idx="126">
                  <c:v>186.20871366628685</c:v>
                </c:pt>
                <c:pt idx="127">
                  <c:v>190.54607179632498</c:v>
                </c:pt>
                <c:pt idx="128">
                  <c:v>194.98445997580458</c:v>
                </c:pt>
                <c:pt idx="129">
                  <c:v>199.52623149688802</c:v>
                </c:pt>
                <c:pt idx="130">
                  <c:v>204.17379446695315</c:v>
                </c:pt>
                <c:pt idx="131">
                  <c:v>208.92961308540396</c:v>
                </c:pt>
                <c:pt idx="132">
                  <c:v>213.79620895022339</c:v>
                </c:pt>
                <c:pt idx="133">
                  <c:v>218.77616239495524</c:v>
                </c:pt>
                <c:pt idx="134">
                  <c:v>223.87211385683412</c:v>
                </c:pt>
                <c:pt idx="135">
                  <c:v>229.08676527677744</c:v>
                </c:pt>
                <c:pt idx="136">
                  <c:v>234.42288153199232</c:v>
                </c:pt>
                <c:pt idx="137">
                  <c:v>239.88329190194912</c:v>
                </c:pt>
                <c:pt idx="138">
                  <c:v>245.4708915685033</c:v>
                </c:pt>
                <c:pt idx="139">
                  <c:v>251.18864315095806</c:v>
                </c:pt>
                <c:pt idx="140">
                  <c:v>257.03957827688663</c:v>
                </c:pt>
                <c:pt idx="141">
                  <c:v>263.02679918953817</c:v>
                </c:pt>
                <c:pt idx="142">
                  <c:v>269.15348039269179</c:v>
                </c:pt>
                <c:pt idx="143">
                  <c:v>275.42287033381683</c:v>
                </c:pt>
                <c:pt idx="144">
                  <c:v>281.83829312644554</c:v>
                </c:pt>
                <c:pt idx="145">
                  <c:v>288.40315031266073</c:v>
                </c:pt>
                <c:pt idx="146">
                  <c:v>295.12092266663871</c:v>
                </c:pt>
                <c:pt idx="147">
                  <c:v>301.99517204020168</c:v>
                </c:pt>
                <c:pt idx="148">
                  <c:v>309.02954325135937</c:v>
                </c:pt>
                <c:pt idx="149">
                  <c:v>316.22776601683825</c:v>
                </c:pt>
                <c:pt idx="150">
                  <c:v>323.59365692962825</c:v>
                </c:pt>
                <c:pt idx="151">
                  <c:v>331.13112148259137</c:v>
                </c:pt>
                <c:pt idx="152">
                  <c:v>338.84415613920277</c:v>
                </c:pt>
                <c:pt idx="153">
                  <c:v>346.73685045253183</c:v>
                </c:pt>
                <c:pt idx="154">
                  <c:v>354.81338923357566</c:v>
                </c:pt>
                <c:pt idx="155">
                  <c:v>363.07805477010152</c:v>
                </c:pt>
                <c:pt idx="156">
                  <c:v>371.53522909717265</c:v>
                </c:pt>
                <c:pt idx="157">
                  <c:v>380.18939632056163</c:v>
                </c:pt>
                <c:pt idx="158">
                  <c:v>389.04514499428063</c:v>
                </c:pt>
                <c:pt idx="159">
                  <c:v>398.10717055349761</c:v>
                </c:pt>
                <c:pt idx="160">
                  <c:v>407.38027780411272</c:v>
                </c:pt>
                <c:pt idx="161">
                  <c:v>416.86938347033572</c:v>
                </c:pt>
                <c:pt idx="162">
                  <c:v>426.57951880159294</c:v>
                </c:pt>
                <c:pt idx="163">
                  <c:v>436.51583224016622</c:v>
                </c:pt>
                <c:pt idx="164">
                  <c:v>446.68359215096331</c:v>
                </c:pt>
                <c:pt idx="165">
                  <c:v>457.0881896148756</c:v>
                </c:pt>
                <c:pt idx="166">
                  <c:v>467.7351412871983</c:v>
                </c:pt>
                <c:pt idx="167">
                  <c:v>478.63009232263886</c:v>
                </c:pt>
                <c:pt idx="168">
                  <c:v>489.77881936844625</c:v>
                </c:pt>
                <c:pt idx="169">
                  <c:v>501.18723362727269</c:v>
                </c:pt>
                <c:pt idx="170">
                  <c:v>512.86138399136519</c:v>
                </c:pt>
                <c:pt idx="171">
                  <c:v>524.80746024977248</c:v>
                </c:pt>
                <c:pt idx="172">
                  <c:v>537.03179637025301</c:v>
                </c:pt>
                <c:pt idx="173">
                  <c:v>549.54087385762534</c:v>
                </c:pt>
                <c:pt idx="174">
                  <c:v>562.34132519034927</c:v>
                </c:pt>
                <c:pt idx="175">
                  <c:v>575.43993733715706</c:v>
                </c:pt>
                <c:pt idx="176">
                  <c:v>588.84365535558959</c:v>
                </c:pt>
                <c:pt idx="177">
                  <c:v>602.55958607435832</c:v>
                </c:pt>
                <c:pt idx="178">
                  <c:v>616.59500186148273</c:v>
                </c:pt>
                <c:pt idx="179">
                  <c:v>630.95734448019323</c:v>
                </c:pt>
                <c:pt idx="180">
                  <c:v>645.65422903465594</c:v>
                </c:pt>
                <c:pt idx="181">
                  <c:v>660.69344800759643</c:v>
                </c:pt>
                <c:pt idx="182">
                  <c:v>676.08297539198213</c:v>
                </c:pt>
                <c:pt idx="183">
                  <c:v>691.83097091893671</c:v>
                </c:pt>
                <c:pt idx="184">
                  <c:v>707.94578438413873</c:v>
                </c:pt>
                <c:pt idx="185">
                  <c:v>724.43596007499025</c:v>
                </c:pt>
                <c:pt idx="186">
                  <c:v>741.31024130091828</c:v>
                </c:pt>
                <c:pt idx="187">
                  <c:v>758.57757502918378</c:v>
                </c:pt>
                <c:pt idx="188">
                  <c:v>776.24711662869231</c:v>
                </c:pt>
                <c:pt idx="189">
                  <c:v>794.32823472428208</c:v>
                </c:pt>
                <c:pt idx="190">
                  <c:v>812.83051616409978</c:v>
                </c:pt>
                <c:pt idx="191">
                  <c:v>831.7637711026714</c:v>
                </c:pt>
                <c:pt idx="192">
                  <c:v>851.13803820237763</c:v>
                </c:pt>
                <c:pt idx="193">
                  <c:v>870.96358995608091</c:v>
                </c:pt>
                <c:pt idx="194">
                  <c:v>891.25093813374656</c:v>
                </c:pt>
                <c:pt idx="195">
                  <c:v>912.01083935590987</c:v>
                </c:pt>
                <c:pt idx="196">
                  <c:v>933.25430079699106</c:v>
                </c:pt>
                <c:pt idx="197">
                  <c:v>954.99258602143675</c:v>
                </c:pt>
                <c:pt idx="198">
                  <c:v>977.23722095581138</c:v>
                </c:pt>
                <c:pt idx="199">
                  <c:v>1000</c:v>
                </c:pt>
                <c:pt idx="200">
                  <c:v>1023.2929922807547</c:v>
                </c:pt>
                <c:pt idx="201">
                  <c:v>1047.1285480509</c:v>
                </c:pt>
                <c:pt idx="202">
                  <c:v>1071.5193052376069</c:v>
                </c:pt>
                <c:pt idx="203">
                  <c:v>1096.4781961431863</c:v>
                </c:pt>
                <c:pt idx="204">
                  <c:v>1122.0184543019636</c:v>
                </c:pt>
                <c:pt idx="205">
                  <c:v>1148.1536214968839</c:v>
                </c:pt>
                <c:pt idx="206">
                  <c:v>1174.8975549395295</c:v>
                </c:pt>
                <c:pt idx="207">
                  <c:v>1202.2644346174138</c:v>
                </c:pt>
                <c:pt idx="208">
                  <c:v>1230.2687708123824</c:v>
                </c:pt>
                <c:pt idx="209">
                  <c:v>1258.925411794168</c:v>
                </c:pt>
                <c:pt idx="210">
                  <c:v>1288.2495516931347</c:v>
                </c:pt>
                <c:pt idx="211">
                  <c:v>1318.2567385564089</c:v>
                </c:pt>
                <c:pt idx="212">
                  <c:v>1348.9628825916541</c:v>
                </c:pt>
                <c:pt idx="213">
                  <c:v>1380.3842646028863</c:v>
                </c:pt>
                <c:pt idx="214">
                  <c:v>1412.5375446227545</c:v>
                </c:pt>
                <c:pt idx="215">
                  <c:v>1445.4397707459289</c:v>
                </c:pt>
                <c:pt idx="216">
                  <c:v>1479.1083881682086</c:v>
                </c:pt>
                <c:pt idx="217">
                  <c:v>1513.5612484362093</c:v>
                </c:pt>
                <c:pt idx="218">
                  <c:v>1548.8166189124822</c:v>
                </c:pt>
                <c:pt idx="219">
                  <c:v>1584.8931924611156</c:v>
                </c:pt>
                <c:pt idx="220">
                  <c:v>1621.8100973589308</c:v>
                </c:pt>
                <c:pt idx="221">
                  <c:v>1659.5869074375626</c:v>
                </c:pt>
                <c:pt idx="222">
                  <c:v>1698.2436524617447</c:v>
                </c:pt>
                <c:pt idx="223">
                  <c:v>1737.8008287493772</c:v>
                </c:pt>
                <c:pt idx="224">
                  <c:v>1778.2794100389244</c:v>
                </c:pt>
                <c:pt idx="225">
                  <c:v>1819.7008586099832</c:v>
                </c:pt>
                <c:pt idx="226">
                  <c:v>1862.0871366628687</c:v>
                </c:pt>
                <c:pt idx="227">
                  <c:v>1905.4607179632501</c:v>
                </c:pt>
                <c:pt idx="228">
                  <c:v>1949.8445997580463</c:v>
                </c:pt>
                <c:pt idx="229">
                  <c:v>1995.2623149688804</c:v>
                </c:pt>
                <c:pt idx="230">
                  <c:v>2041.7379446695318</c:v>
                </c:pt>
                <c:pt idx="231">
                  <c:v>2089.2961308540398</c:v>
                </c:pt>
                <c:pt idx="232">
                  <c:v>2137.9620895022344</c:v>
                </c:pt>
                <c:pt idx="233">
                  <c:v>2187.7616239495528</c:v>
                </c:pt>
                <c:pt idx="234">
                  <c:v>2238.7211385683418</c:v>
                </c:pt>
                <c:pt idx="235">
                  <c:v>2290.8676527677749</c:v>
                </c:pt>
                <c:pt idx="236">
                  <c:v>2344.2288153199238</c:v>
                </c:pt>
                <c:pt idx="237">
                  <c:v>2398.8329190194918</c:v>
                </c:pt>
                <c:pt idx="238">
                  <c:v>2454.7089156850338</c:v>
                </c:pt>
                <c:pt idx="239">
                  <c:v>2511.8864315095811</c:v>
                </c:pt>
                <c:pt idx="240">
                  <c:v>2570.3957827688669</c:v>
                </c:pt>
                <c:pt idx="241">
                  <c:v>2630.2679918953822</c:v>
                </c:pt>
                <c:pt idx="242">
                  <c:v>2691.5348039269184</c:v>
                </c:pt>
                <c:pt idx="243">
                  <c:v>2754.228703338169</c:v>
                </c:pt>
                <c:pt idx="244">
                  <c:v>2818.3829312644561</c:v>
                </c:pt>
                <c:pt idx="245">
                  <c:v>2884.0315031266077</c:v>
                </c:pt>
                <c:pt idx="246">
                  <c:v>2951.2092266663876</c:v>
                </c:pt>
                <c:pt idx="247">
                  <c:v>3019.9517204020176</c:v>
                </c:pt>
                <c:pt idx="248">
                  <c:v>3090.295432513592</c:v>
                </c:pt>
                <c:pt idx="249">
                  <c:v>3162.2776601683804</c:v>
                </c:pt>
                <c:pt idx="250">
                  <c:v>3235.9365692962833</c:v>
                </c:pt>
                <c:pt idx="251">
                  <c:v>3311.3112148259115</c:v>
                </c:pt>
                <c:pt idx="252">
                  <c:v>3388.4415613920314</c:v>
                </c:pt>
                <c:pt idx="253">
                  <c:v>3467.3685045253224</c:v>
                </c:pt>
                <c:pt idx="254">
                  <c:v>3548.1338923357539</c:v>
                </c:pt>
                <c:pt idx="255">
                  <c:v>3630.7805477010188</c:v>
                </c:pt>
                <c:pt idx="256">
                  <c:v>3715.352290971724</c:v>
                </c:pt>
                <c:pt idx="257">
                  <c:v>3801.8939632056172</c:v>
                </c:pt>
                <c:pt idx="258">
                  <c:v>3890.451449942811</c:v>
                </c:pt>
                <c:pt idx="259">
                  <c:v>3981.0717055349769</c:v>
                </c:pt>
                <c:pt idx="260">
                  <c:v>4073.8027780411317</c:v>
                </c:pt>
                <c:pt idx="261">
                  <c:v>4168.6938347033583</c:v>
                </c:pt>
                <c:pt idx="262">
                  <c:v>4265.7951880159299</c:v>
                </c:pt>
                <c:pt idx="263">
                  <c:v>4365.1583224016631</c:v>
                </c:pt>
                <c:pt idx="264">
                  <c:v>4466.8359215096343</c:v>
                </c:pt>
                <c:pt idx="265">
                  <c:v>4570.8818961487532</c:v>
                </c:pt>
                <c:pt idx="266">
                  <c:v>4677.3514128719844</c:v>
                </c:pt>
                <c:pt idx="267">
                  <c:v>4786.3009232263848</c:v>
                </c:pt>
                <c:pt idx="268">
                  <c:v>4897.7881936844633</c:v>
                </c:pt>
                <c:pt idx="269">
                  <c:v>5011.8723362727324</c:v>
                </c:pt>
                <c:pt idx="270">
                  <c:v>5128.6138399136489</c:v>
                </c:pt>
                <c:pt idx="271">
                  <c:v>5248.0746024977261</c:v>
                </c:pt>
                <c:pt idx="272">
                  <c:v>5370.3179637025269</c:v>
                </c:pt>
                <c:pt idx="273">
                  <c:v>5495.4087385762541</c:v>
                </c:pt>
                <c:pt idx="274">
                  <c:v>5623.4132519034993</c:v>
                </c:pt>
                <c:pt idx="275">
                  <c:v>5754.399373371567</c:v>
                </c:pt>
                <c:pt idx="276">
                  <c:v>5888.4365535558973</c:v>
                </c:pt>
                <c:pt idx="277">
                  <c:v>6025.595860743585</c:v>
                </c:pt>
                <c:pt idx="278">
                  <c:v>6165.9500186148289</c:v>
                </c:pt>
                <c:pt idx="279">
                  <c:v>6309.5734448019384</c:v>
                </c:pt>
                <c:pt idx="280">
                  <c:v>6456.5422903465615</c:v>
                </c:pt>
                <c:pt idx="281">
                  <c:v>6606.9344800759654</c:v>
                </c:pt>
                <c:pt idx="282">
                  <c:v>6760.8297539198229</c:v>
                </c:pt>
                <c:pt idx="283">
                  <c:v>6918.3097091893687</c:v>
                </c:pt>
                <c:pt idx="284">
                  <c:v>7079.4578438413828</c:v>
                </c:pt>
                <c:pt idx="285">
                  <c:v>7244.3596007499036</c:v>
                </c:pt>
                <c:pt idx="286">
                  <c:v>7413.1024130091773</c:v>
                </c:pt>
                <c:pt idx="287">
                  <c:v>7585.7757502918394</c:v>
                </c:pt>
                <c:pt idx="288">
                  <c:v>7762.4711662869322</c:v>
                </c:pt>
                <c:pt idx="289">
                  <c:v>7943.2823472428154</c:v>
                </c:pt>
                <c:pt idx="290">
                  <c:v>8128.3051616410066</c:v>
                </c:pt>
                <c:pt idx="291">
                  <c:v>8317.6377110267094</c:v>
                </c:pt>
                <c:pt idx="292">
                  <c:v>8511.3803820237772</c:v>
                </c:pt>
                <c:pt idx="293">
                  <c:v>8709.6358995608189</c:v>
                </c:pt>
                <c:pt idx="294">
                  <c:v>8912.5093813374679</c:v>
                </c:pt>
                <c:pt idx="295">
                  <c:v>9120.1083935591087</c:v>
                </c:pt>
                <c:pt idx="296">
                  <c:v>9332.5430079699217</c:v>
                </c:pt>
                <c:pt idx="297">
                  <c:v>9549.9258602143691</c:v>
                </c:pt>
                <c:pt idx="298">
                  <c:v>9772.3722095581161</c:v>
                </c:pt>
                <c:pt idx="299">
                  <c:v>10000</c:v>
                </c:pt>
                <c:pt idx="300">
                  <c:v>10232.929922807549</c:v>
                </c:pt>
                <c:pt idx="301">
                  <c:v>10471.285480509003</c:v>
                </c:pt>
                <c:pt idx="302">
                  <c:v>10715.193052376071</c:v>
                </c:pt>
                <c:pt idx="303">
                  <c:v>10964.781961431856</c:v>
                </c:pt>
                <c:pt idx="304">
                  <c:v>11220.184543019639</c:v>
                </c:pt>
                <c:pt idx="305">
                  <c:v>11481.536214968832</c:v>
                </c:pt>
                <c:pt idx="306">
                  <c:v>11748.975549395318</c:v>
                </c:pt>
                <c:pt idx="307">
                  <c:v>12022.644346174151</c:v>
                </c:pt>
                <c:pt idx="308">
                  <c:v>12302.687708123816</c:v>
                </c:pt>
                <c:pt idx="309">
                  <c:v>12589.254117941671</c:v>
                </c:pt>
                <c:pt idx="310">
                  <c:v>12882.49551693136</c:v>
                </c:pt>
                <c:pt idx="311">
                  <c:v>13182.567385564091</c:v>
                </c:pt>
                <c:pt idx="312">
                  <c:v>13489.628825916556</c:v>
                </c:pt>
                <c:pt idx="313">
                  <c:v>13803.842646028841</c:v>
                </c:pt>
                <c:pt idx="314">
                  <c:v>14125.375446227561</c:v>
                </c:pt>
                <c:pt idx="315">
                  <c:v>14454.397707459291</c:v>
                </c:pt>
                <c:pt idx="316">
                  <c:v>14791.083881682089</c:v>
                </c:pt>
                <c:pt idx="317">
                  <c:v>15135.612484362096</c:v>
                </c:pt>
                <c:pt idx="318">
                  <c:v>15488.166189124853</c:v>
                </c:pt>
                <c:pt idx="319">
                  <c:v>15848.931924611146</c:v>
                </c:pt>
                <c:pt idx="320">
                  <c:v>16218.100973589309</c:v>
                </c:pt>
                <c:pt idx="321">
                  <c:v>16595.869074375616</c:v>
                </c:pt>
                <c:pt idx="322">
                  <c:v>16982.436524617482</c:v>
                </c:pt>
                <c:pt idx="323">
                  <c:v>17378.008287493791</c:v>
                </c:pt>
                <c:pt idx="324">
                  <c:v>17782.794100389234</c:v>
                </c:pt>
                <c:pt idx="325">
                  <c:v>18197.008586099837</c:v>
                </c:pt>
                <c:pt idx="326">
                  <c:v>18620.871366628675</c:v>
                </c:pt>
                <c:pt idx="327">
                  <c:v>19054.607179632505</c:v>
                </c:pt>
                <c:pt idx="328">
                  <c:v>19498.445997580486</c:v>
                </c:pt>
                <c:pt idx="329">
                  <c:v>19952.623149688792</c:v>
                </c:pt>
                <c:pt idx="330">
                  <c:v>20417.379446695286</c:v>
                </c:pt>
                <c:pt idx="331">
                  <c:v>20892.961308540423</c:v>
                </c:pt>
                <c:pt idx="332">
                  <c:v>21379.620895022348</c:v>
                </c:pt>
                <c:pt idx="333">
                  <c:v>21877.61623949555</c:v>
                </c:pt>
                <c:pt idx="334">
                  <c:v>22387.211385683382</c:v>
                </c:pt>
                <c:pt idx="335">
                  <c:v>22908.676527677751</c:v>
                </c:pt>
                <c:pt idx="336">
                  <c:v>23442.288153199243</c:v>
                </c:pt>
                <c:pt idx="337">
                  <c:v>23988.329190194923</c:v>
                </c:pt>
                <c:pt idx="338">
                  <c:v>24547.089156850321</c:v>
                </c:pt>
                <c:pt idx="339">
                  <c:v>25118.86431509586</c:v>
                </c:pt>
                <c:pt idx="340">
                  <c:v>25703.95782768865</c:v>
                </c:pt>
                <c:pt idx="341">
                  <c:v>26302.679918953829</c:v>
                </c:pt>
                <c:pt idx="342">
                  <c:v>26915.348039269167</c:v>
                </c:pt>
                <c:pt idx="343">
                  <c:v>27542.287033381719</c:v>
                </c:pt>
                <c:pt idx="344">
                  <c:v>28183.829312644593</c:v>
                </c:pt>
                <c:pt idx="345">
                  <c:v>28840.315031266062</c:v>
                </c:pt>
                <c:pt idx="346">
                  <c:v>29512.092266663854</c:v>
                </c:pt>
                <c:pt idx="347">
                  <c:v>30199.517204020212</c:v>
                </c:pt>
                <c:pt idx="348">
                  <c:v>30902.954325135954</c:v>
                </c:pt>
                <c:pt idx="349">
                  <c:v>31622.77660168384</c:v>
                </c:pt>
                <c:pt idx="350">
                  <c:v>32359.365692962871</c:v>
                </c:pt>
                <c:pt idx="351">
                  <c:v>33113.11214825909</c:v>
                </c:pt>
                <c:pt idx="352">
                  <c:v>33884.41561392029</c:v>
                </c:pt>
                <c:pt idx="353">
                  <c:v>34673.685045253202</c:v>
                </c:pt>
                <c:pt idx="354">
                  <c:v>35481.33892335758</c:v>
                </c:pt>
                <c:pt idx="355">
                  <c:v>36307.805477010232</c:v>
                </c:pt>
                <c:pt idx="356">
                  <c:v>37153.522909717351</c:v>
                </c:pt>
                <c:pt idx="357">
                  <c:v>38018.939632056143</c:v>
                </c:pt>
                <c:pt idx="358">
                  <c:v>38904.514499428085</c:v>
                </c:pt>
                <c:pt idx="359">
                  <c:v>39810.717055349742</c:v>
                </c:pt>
                <c:pt idx="360">
                  <c:v>40738.027780411358</c:v>
                </c:pt>
                <c:pt idx="361">
                  <c:v>41686.938347033625</c:v>
                </c:pt>
                <c:pt idx="362">
                  <c:v>42657.951880159271</c:v>
                </c:pt>
                <c:pt idx="363">
                  <c:v>43651.583224016598</c:v>
                </c:pt>
                <c:pt idx="364">
                  <c:v>44668.359215096389</c:v>
                </c:pt>
                <c:pt idx="365">
                  <c:v>45708.818961487581</c:v>
                </c:pt>
                <c:pt idx="366">
                  <c:v>46773.514128719893</c:v>
                </c:pt>
                <c:pt idx="367">
                  <c:v>47863.009232263823</c:v>
                </c:pt>
                <c:pt idx="368">
                  <c:v>48977.881936844598</c:v>
                </c:pt>
                <c:pt idx="369">
                  <c:v>50118.723362727294</c:v>
                </c:pt>
                <c:pt idx="370">
                  <c:v>51286.138399136544</c:v>
                </c:pt>
                <c:pt idx="371">
                  <c:v>52480.746024977314</c:v>
                </c:pt>
                <c:pt idx="372">
                  <c:v>53703.179637025423</c:v>
                </c:pt>
                <c:pt idx="373">
                  <c:v>54954.087385762505</c:v>
                </c:pt>
                <c:pt idx="374">
                  <c:v>56234.132519034953</c:v>
                </c:pt>
                <c:pt idx="375">
                  <c:v>57543.993733715732</c:v>
                </c:pt>
                <c:pt idx="376">
                  <c:v>58884.365535558936</c:v>
                </c:pt>
                <c:pt idx="377">
                  <c:v>60255.95860743591</c:v>
                </c:pt>
                <c:pt idx="378">
                  <c:v>61659.500186148245</c:v>
                </c:pt>
                <c:pt idx="379">
                  <c:v>63095.734448019342</c:v>
                </c:pt>
                <c:pt idx="380">
                  <c:v>64565.422903465682</c:v>
                </c:pt>
                <c:pt idx="381">
                  <c:v>66069.344800759733</c:v>
                </c:pt>
                <c:pt idx="382">
                  <c:v>67608.297539198305</c:v>
                </c:pt>
                <c:pt idx="383">
                  <c:v>69183.097091893651</c:v>
                </c:pt>
                <c:pt idx="384">
                  <c:v>70794.578438413781</c:v>
                </c:pt>
                <c:pt idx="385">
                  <c:v>72443.596007499116</c:v>
                </c:pt>
                <c:pt idx="386">
                  <c:v>74131.024130091857</c:v>
                </c:pt>
                <c:pt idx="387">
                  <c:v>75857.757502918481</c:v>
                </c:pt>
                <c:pt idx="388">
                  <c:v>77624.711662869129</c:v>
                </c:pt>
                <c:pt idx="389">
                  <c:v>79432.823472428237</c:v>
                </c:pt>
                <c:pt idx="390">
                  <c:v>81283.051616410012</c:v>
                </c:pt>
                <c:pt idx="391">
                  <c:v>83176.377110267174</c:v>
                </c:pt>
                <c:pt idx="392">
                  <c:v>85113.803820237721</c:v>
                </c:pt>
                <c:pt idx="393">
                  <c:v>87096.358995608127</c:v>
                </c:pt>
                <c:pt idx="394">
                  <c:v>89125.093813374609</c:v>
                </c:pt>
                <c:pt idx="395">
                  <c:v>91201.083935591028</c:v>
                </c:pt>
                <c:pt idx="396">
                  <c:v>93325.430079699145</c:v>
                </c:pt>
                <c:pt idx="397">
                  <c:v>95499.258602143804</c:v>
                </c:pt>
                <c:pt idx="398">
                  <c:v>97723.722095581266</c:v>
                </c:pt>
                <c:pt idx="399">
                  <c:v>100000</c:v>
                </c:pt>
                <c:pt idx="400">
                  <c:v>102329.29922807543</c:v>
                </c:pt>
                <c:pt idx="401">
                  <c:v>104712.85480508996</c:v>
                </c:pt>
                <c:pt idx="402">
                  <c:v>107151.93052376082</c:v>
                </c:pt>
                <c:pt idx="403">
                  <c:v>109647.81961431868</c:v>
                </c:pt>
                <c:pt idx="404">
                  <c:v>112201.84543019651</c:v>
                </c:pt>
                <c:pt idx="405">
                  <c:v>114815.36214968823</c:v>
                </c:pt>
                <c:pt idx="406">
                  <c:v>117489.75549395311</c:v>
                </c:pt>
                <c:pt idx="407">
                  <c:v>120226.44346174144</c:v>
                </c:pt>
                <c:pt idx="408">
                  <c:v>123026.87708123829</c:v>
                </c:pt>
                <c:pt idx="409">
                  <c:v>125892.54117941685</c:v>
                </c:pt>
                <c:pt idx="410">
                  <c:v>128824.95516931375</c:v>
                </c:pt>
                <c:pt idx="411">
                  <c:v>131825.67385564081</c:v>
                </c:pt>
                <c:pt idx="412">
                  <c:v>134896.28825916545</c:v>
                </c:pt>
                <c:pt idx="413">
                  <c:v>138038.42646028858</c:v>
                </c:pt>
                <c:pt idx="414">
                  <c:v>141253.75446227577</c:v>
                </c:pt>
                <c:pt idx="415">
                  <c:v>144543.97707459307</c:v>
                </c:pt>
                <c:pt idx="416">
                  <c:v>147910.83881682079</c:v>
                </c:pt>
                <c:pt idx="417">
                  <c:v>151356.12484362084</c:v>
                </c:pt>
                <c:pt idx="418">
                  <c:v>154881.66189124843</c:v>
                </c:pt>
                <c:pt idx="419">
                  <c:v>158489.31924611164</c:v>
                </c:pt>
                <c:pt idx="420">
                  <c:v>162181.00973589328</c:v>
                </c:pt>
                <c:pt idx="421">
                  <c:v>165958.69074375604</c:v>
                </c:pt>
                <c:pt idx="422">
                  <c:v>169824.36524617471</c:v>
                </c:pt>
                <c:pt idx="423">
                  <c:v>173780.0828749378</c:v>
                </c:pt>
                <c:pt idx="424">
                  <c:v>177827.94100389251</c:v>
                </c:pt>
                <c:pt idx="425">
                  <c:v>181970.08586099857</c:v>
                </c:pt>
                <c:pt idx="426">
                  <c:v>186208.71366628664</c:v>
                </c:pt>
                <c:pt idx="427">
                  <c:v>190546.07179632492</c:v>
                </c:pt>
                <c:pt idx="428">
                  <c:v>194984.45997580473</c:v>
                </c:pt>
                <c:pt idx="429">
                  <c:v>199526.23149688813</c:v>
                </c:pt>
                <c:pt idx="430">
                  <c:v>204173.79446695308</c:v>
                </c:pt>
                <c:pt idx="431">
                  <c:v>208929.61308540447</c:v>
                </c:pt>
                <c:pt idx="432">
                  <c:v>213796.20895022334</c:v>
                </c:pt>
                <c:pt idx="433">
                  <c:v>218776.16239495538</c:v>
                </c:pt>
                <c:pt idx="434">
                  <c:v>223872.11385683404</c:v>
                </c:pt>
                <c:pt idx="435">
                  <c:v>229086.76527677779</c:v>
                </c:pt>
                <c:pt idx="436">
                  <c:v>234422.88153199267</c:v>
                </c:pt>
                <c:pt idx="437">
                  <c:v>239883.29190194907</c:v>
                </c:pt>
                <c:pt idx="438">
                  <c:v>245470.89156850305</c:v>
                </c:pt>
                <c:pt idx="439">
                  <c:v>251188.64315095844</c:v>
                </c:pt>
                <c:pt idx="440">
                  <c:v>257039.57827688678</c:v>
                </c:pt>
                <c:pt idx="441">
                  <c:v>263026.79918953858</c:v>
                </c:pt>
                <c:pt idx="442">
                  <c:v>269153.48039269145</c:v>
                </c:pt>
                <c:pt idx="443">
                  <c:v>275422.87033381703</c:v>
                </c:pt>
                <c:pt idx="444">
                  <c:v>281838.29312644573</c:v>
                </c:pt>
                <c:pt idx="445">
                  <c:v>288403.1503126609</c:v>
                </c:pt>
                <c:pt idx="446">
                  <c:v>295120.92266663886</c:v>
                </c:pt>
                <c:pt idx="447">
                  <c:v>301995.17204020242</c:v>
                </c:pt>
                <c:pt idx="448">
                  <c:v>309029.54325135931</c:v>
                </c:pt>
                <c:pt idx="449">
                  <c:v>316227.7660168382</c:v>
                </c:pt>
                <c:pt idx="450">
                  <c:v>323593.65692962846</c:v>
                </c:pt>
                <c:pt idx="451">
                  <c:v>331131.12148259126</c:v>
                </c:pt>
                <c:pt idx="452">
                  <c:v>338844.15613920329</c:v>
                </c:pt>
                <c:pt idx="453">
                  <c:v>346736.85045253241</c:v>
                </c:pt>
                <c:pt idx="454">
                  <c:v>354813.38923357555</c:v>
                </c:pt>
                <c:pt idx="455">
                  <c:v>363078.05477010203</c:v>
                </c:pt>
                <c:pt idx="456">
                  <c:v>371535.2290971732</c:v>
                </c:pt>
                <c:pt idx="457">
                  <c:v>380189.39632056188</c:v>
                </c:pt>
                <c:pt idx="458">
                  <c:v>389045.14499428123</c:v>
                </c:pt>
                <c:pt idx="459">
                  <c:v>398107.17055349716</c:v>
                </c:pt>
                <c:pt idx="460">
                  <c:v>407380.27780411334</c:v>
                </c:pt>
                <c:pt idx="461">
                  <c:v>416869.38347033598</c:v>
                </c:pt>
                <c:pt idx="462">
                  <c:v>426579.51880159322</c:v>
                </c:pt>
                <c:pt idx="463">
                  <c:v>436515.83224016649</c:v>
                </c:pt>
                <c:pt idx="464">
                  <c:v>446683.59215096442</c:v>
                </c:pt>
                <c:pt idx="465">
                  <c:v>457088.18961487547</c:v>
                </c:pt>
                <c:pt idx="466">
                  <c:v>467735.14128719864</c:v>
                </c:pt>
                <c:pt idx="467">
                  <c:v>478630.09232263872</c:v>
                </c:pt>
                <c:pt idx="468">
                  <c:v>489778.81936844654</c:v>
                </c:pt>
                <c:pt idx="469">
                  <c:v>501187.23362727347</c:v>
                </c:pt>
                <c:pt idx="470">
                  <c:v>512861.38399136515</c:v>
                </c:pt>
                <c:pt idx="471">
                  <c:v>524807.46024977288</c:v>
                </c:pt>
                <c:pt idx="472">
                  <c:v>537031.7963702539</c:v>
                </c:pt>
                <c:pt idx="473">
                  <c:v>549540.87385762564</c:v>
                </c:pt>
                <c:pt idx="474">
                  <c:v>562341.32519035018</c:v>
                </c:pt>
                <c:pt idx="475">
                  <c:v>575439.93733715697</c:v>
                </c:pt>
                <c:pt idx="476">
                  <c:v>588843.65535558888</c:v>
                </c:pt>
                <c:pt idx="477">
                  <c:v>602559.58607435878</c:v>
                </c:pt>
                <c:pt idx="478">
                  <c:v>616595.00186148309</c:v>
                </c:pt>
                <c:pt idx="479">
                  <c:v>630957.34448019415</c:v>
                </c:pt>
                <c:pt idx="480">
                  <c:v>645654.22903465747</c:v>
                </c:pt>
                <c:pt idx="481">
                  <c:v>660693.44800759677</c:v>
                </c:pt>
                <c:pt idx="482">
                  <c:v>676082.97539198259</c:v>
                </c:pt>
                <c:pt idx="483">
                  <c:v>691830.97091893724</c:v>
                </c:pt>
                <c:pt idx="484">
                  <c:v>707945.78438413853</c:v>
                </c:pt>
                <c:pt idx="485">
                  <c:v>724435.96007499192</c:v>
                </c:pt>
                <c:pt idx="486">
                  <c:v>741310.24130091805</c:v>
                </c:pt>
                <c:pt idx="487">
                  <c:v>758577.57502918423</c:v>
                </c:pt>
                <c:pt idx="488">
                  <c:v>776247.11662869214</c:v>
                </c:pt>
                <c:pt idx="489">
                  <c:v>794328.23472428333</c:v>
                </c:pt>
                <c:pt idx="490">
                  <c:v>812830.51616410096</c:v>
                </c:pt>
                <c:pt idx="491">
                  <c:v>831763.77110267128</c:v>
                </c:pt>
                <c:pt idx="492">
                  <c:v>851138.03820237669</c:v>
                </c:pt>
                <c:pt idx="493">
                  <c:v>870963.58995608077</c:v>
                </c:pt>
                <c:pt idx="494">
                  <c:v>891250.93813374708</c:v>
                </c:pt>
                <c:pt idx="495">
                  <c:v>912010.83935591124</c:v>
                </c:pt>
                <c:pt idx="496">
                  <c:v>933254.30079699249</c:v>
                </c:pt>
                <c:pt idx="497">
                  <c:v>954992.58602143743</c:v>
                </c:pt>
                <c:pt idx="498">
                  <c:v>977237.22095581202</c:v>
                </c:pt>
                <c:pt idx="499">
                  <c:v>1000000</c:v>
                </c:pt>
                <c:pt idx="500">
                  <c:v>1023292.9922807553</c:v>
                </c:pt>
                <c:pt idx="501">
                  <c:v>1047128.5480509007</c:v>
                </c:pt>
                <c:pt idx="502">
                  <c:v>1071519.3052376076</c:v>
                </c:pt>
                <c:pt idx="503">
                  <c:v>1096478.196143186</c:v>
                </c:pt>
                <c:pt idx="504">
                  <c:v>1122018.4543019643</c:v>
                </c:pt>
                <c:pt idx="505">
                  <c:v>1148153.6214968837</c:v>
                </c:pt>
                <c:pt idx="506">
                  <c:v>1174897.5549395324</c:v>
                </c:pt>
                <c:pt idx="507">
                  <c:v>1202264.4346174158</c:v>
                </c:pt>
                <c:pt idx="508">
                  <c:v>1230268.770812382</c:v>
                </c:pt>
                <c:pt idx="509">
                  <c:v>1258925.4117941677</c:v>
                </c:pt>
                <c:pt idx="510">
                  <c:v>1288249.5516931366</c:v>
                </c:pt>
                <c:pt idx="511">
                  <c:v>1318256.7385564097</c:v>
                </c:pt>
                <c:pt idx="512">
                  <c:v>1348962.8825916562</c:v>
                </c:pt>
                <c:pt idx="513">
                  <c:v>1380384.2646028849</c:v>
                </c:pt>
                <c:pt idx="514">
                  <c:v>1412537.5446227565</c:v>
                </c:pt>
                <c:pt idx="515">
                  <c:v>1445439.7707459298</c:v>
                </c:pt>
                <c:pt idx="516">
                  <c:v>1479108.3881682095</c:v>
                </c:pt>
                <c:pt idx="517">
                  <c:v>1513561.2484362102</c:v>
                </c:pt>
                <c:pt idx="518">
                  <c:v>1548816.6189124861</c:v>
                </c:pt>
                <c:pt idx="519">
                  <c:v>1584893.1924611153</c:v>
                </c:pt>
                <c:pt idx="520">
                  <c:v>1621810.0973589318</c:v>
                </c:pt>
                <c:pt idx="521">
                  <c:v>1659586.9074375622</c:v>
                </c:pt>
                <c:pt idx="522">
                  <c:v>1698243.6524617488</c:v>
                </c:pt>
                <c:pt idx="523">
                  <c:v>1737800.8287493798</c:v>
                </c:pt>
                <c:pt idx="524">
                  <c:v>1778279.4100389241</c:v>
                </c:pt>
                <c:pt idx="525">
                  <c:v>1819700.8586099846</c:v>
                </c:pt>
                <c:pt idx="526">
                  <c:v>1862087.1366628683</c:v>
                </c:pt>
                <c:pt idx="527">
                  <c:v>1905460.7179632513</c:v>
                </c:pt>
                <c:pt idx="528">
                  <c:v>1949844.5997580495</c:v>
                </c:pt>
                <c:pt idx="529">
                  <c:v>1995262.31496888</c:v>
                </c:pt>
                <c:pt idx="530">
                  <c:v>2041737.9446695296</c:v>
                </c:pt>
                <c:pt idx="531">
                  <c:v>2089296.1308540432</c:v>
                </c:pt>
                <c:pt idx="532">
                  <c:v>2137962.0895022359</c:v>
                </c:pt>
                <c:pt idx="533">
                  <c:v>2187761.6239495561</c:v>
                </c:pt>
                <c:pt idx="534">
                  <c:v>2238721.1385683389</c:v>
                </c:pt>
                <c:pt idx="535">
                  <c:v>2290867.6527677765</c:v>
                </c:pt>
                <c:pt idx="536">
                  <c:v>2344228.8153199251</c:v>
                </c:pt>
                <c:pt idx="537">
                  <c:v>2398832.9190194933</c:v>
                </c:pt>
                <c:pt idx="538">
                  <c:v>2454708.915685033</c:v>
                </c:pt>
                <c:pt idx="539">
                  <c:v>2511886.431509587</c:v>
                </c:pt>
                <c:pt idx="540">
                  <c:v>2570395.782768866</c:v>
                </c:pt>
                <c:pt idx="541">
                  <c:v>2630267.9918953842</c:v>
                </c:pt>
              </c:numCache>
            </c:numRef>
          </c:xVal>
          <c:yVal>
            <c:numRef>
              <c:f>Control_Loop_Tables!$BK$19:$BK$560</c:f>
              <c:numCache>
                <c:formatCode>General</c:formatCode>
                <c:ptCount val="542"/>
                <c:pt idx="0">
                  <c:v>40.5341394683998</c:v>
                </c:pt>
                <c:pt idx="1">
                  <c:v>40.327036842818899</c:v>
                </c:pt>
                <c:pt idx="2">
                  <c:v>40.120107012066427</c:v>
                </c:pt>
                <c:pt idx="3">
                  <c:v>39.913350815790494</c:v>
                </c:pt>
                <c:pt idx="4">
                  <c:v>39.706768694079898</c:v>
                </c:pt>
                <c:pt idx="5">
                  <c:v>39.500360705923761</c:v>
                </c:pt>
                <c:pt idx="6">
                  <c:v>39.294126548594058</c:v>
                </c:pt>
                <c:pt idx="7">
                  <c:v>39.088065577742995</c:v>
                </c:pt>
                <c:pt idx="8">
                  <c:v>38.882176828016732</c:v>
                </c:pt>
                <c:pt idx="9">
                  <c:v>38.676459034000089</c:v>
                </c:pt>
                <c:pt idx="10">
                  <c:v>38.470910651316707</c:v>
                </c:pt>
                <c:pt idx="11">
                  <c:v>38.265529877725378</c:v>
                </c:pt>
                <c:pt idx="12">
                  <c:v>38.060314674064344</c:v>
                </c:pt>
                <c:pt idx="13">
                  <c:v>37.855262784913251</c:v>
                </c:pt>
                <c:pt idx="14">
                  <c:v>37.650371758853225</c:v>
                </c:pt>
                <c:pt idx="15">
                  <c:v>37.445638968223442</c:v>
                </c:pt>
                <c:pt idx="16">
                  <c:v>37.241061628283575</c:v>
                </c:pt>
                <c:pt idx="17">
                  <c:v>37.036636815707269</c:v>
                </c:pt>
                <c:pt idx="18">
                  <c:v>36.832361486344183</c:v>
                </c:pt>
                <c:pt idx="19">
                  <c:v>36.628232492199324</c:v>
                </c:pt>
                <c:pt idx="20">
                  <c:v>36.42424659759201</c:v>
                </c:pt>
                <c:pt idx="21">
                  <c:v>36.220400494464712</c:v>
                </c:pt>
                <c:pt idx="22">
                  <c:v>36.016690816825445</c:v>
                </c:pt>
                <c:pt idx="23">
                  <c:v>35.813114154311414</c:v>
                </c:pt>
                <c:pt idx="24">
                  <c:v>35.609667064874692</c:v>
                </c:pt>
                <c:pt idx="25">
                  <c:v>35.406346086593445</c:v>
                </c:pt>
                <c:pt idx="26">
                  <c:v>35.203147748621817</c:v>
                </c:pt>
                <c:pt idx="27">
                  <c:v>35.000068581293803</c:v>
                </c:pt>
                <c:pt idx="28">
                  <c:v>34.79710512540391</c:v>
                </c:pt>
                <c:pt idx="29">
                  <c:v>34.594253940689342</c:v>
                </c:pt>
                <c:pt idx="30">
                  <c:v>34.391511613542363</c:v>
                </c:pt>
                <c:pt idx="31">
                  <c:v>34.188874763983293</c:v>
                </c:pt>
                <c:pt idx="32">
                  <c:v>33.986340051928053</c:v>
                </c:pt>
                <c:pt idx="33">
                  <c:v>33.783904182783509</c:v>
                </c:pt>
                <c:pt idx="34">
                  <c:v>33.581563912406395</c:v>
                </c:pt>
                <c:pt idx="35">
                  <c:v>33.379316051461558</c:v>
                </c:pt>
                <c:pt idx="36">
                  <c:v>33.177157469215324</c:v>
                </c:pt>
                <c:pt idx="37">
                  <c:v>32.975085096799013</c:v>
                </c:pt>
                <c:pt idx="38">
                  <c:v>32.773095929979206</c:v>
                </c:pt>
                <c:pt idx="39">
                  <c:v>32.571187031468035</c:v>
                </c:pt>
                <c:pt idx="40">
                  <c:v>32.369355532807923</c:v>
                </c:pt>
                <c:pt idx="41">
                  <c:v>32.167598635862447</c:v>
                </c:pt>
                <c:pt idx="42">
                  <c:v>31.965913613946011</c:v>
                </c:pt>
                <c:pt idx="43">
                  <c:v>31.76429781262161</c:v>
                </c:pt>
                <c:pt idx="44">
                  <c:v>31.562748650195513</c:v>
                </c:pt>
                <c:pt idx="45">
                  <c:v>31.361263617936231</c:v>
                </c:pt>
                <c:pt idx="46">
                  <c:v>31.159840280044392</c:v>
                </c:pt>
                <c:pt idx="47">
                  <c:v>30.958476273397181</c:v>
                </c:pt>
                <c:pt idx="48">
                  <c:v>30.757169307090763</c:v>
                </c:pt>
                <c:pt idx="49">
                  <c:v>30.555917161802398</c:v>
                </c:pt>
                <c:pt idx="50">
                  <c:v>30.354717688992231</c:v>
                </c:pt>
                <c:pt idx="51">
                  <c:v>30.153568809964032</c:v>
                </c:pt>
                <c:pt idx="52">
                  <c:v>29.952468514802039</c:v>
                </c:pt>
                <c:pt idx="53">
                  <c:v>29.751414861199589</c:v>
                </c:pt>
                <c:pt idx="54">
                  <c:v>29.550405973196355</c:v>
                </c:pt>
                <c:pt idx="55">
                  <c:v>29.349440039835635</c:v>
                </c:pt>
                <c:pt idx="56">
                  <c:v>29.148515313756384</c:v>
                </c:pt>
                <c:pt idx="57">
                  <c:v>28.94763010973023</c:v>
                </c:pt>
                <c:pt idx="58">
                  <c:v>28.746782803154872</c:v>
                </c:pt>
                <c:pt idx="59">
                  <c:v>28.545971828513078</c:v>
                </c:pt>
                <c:pt idx="60">
                  <c:v>28.345195677806537</c:v>
                </c:pt>
                <c:pt idx="61">
                  <c:v>28.144452898971618</c:v>
                </c:pt>
                <c:pt idx="62">
                  <c:v>27.943742094285287</c:v>
                </c:pt>
                <c:pt idx="63">
                  <c:v>27.743061918766418</c:v>
                </c:pt>
                <c:pt idx="64">
                  <c:v>27.542411078579129</c:v>
                </c:pt>
                <c:pt idx="65">
                  <c:v>27.341788329442785</c:v>
                </c:pt>
                <c:pt idx="66">
                  <c:v>27.141192475053352</c:v>
                </c:pt>
                <c:pt idx="67">
                  <c:v>26.940622365519754</c:v>
                </c:pt>
                <c:pt idx="68">
                  <c:v>26.740076895819161</c:v>
                </c:pt>
                <c:pt idx="69">
                  <c:v>26.539555004273737</c:v>
                </c:pt>
                <c:pt idx="70">
                  <c:v>26.339055671051774</c:v>
                </c:pt>
                <c:pt idx="71">
                  <c:v>26.138577916695837</c:v>
                </c:pt>
                <c:pt idx="72">
                  <c:v>25.938120800678117</c:v>
                </c:pt>
                <c:pt idx="73">
                  <c:v>25.737683419986737</c:v>
                </c:pt>
                <c:pt idx="74">
                  <c:v>25.537264907742628</c:v>
                </c:pt>
                <c:pt idx="75">
                  <c:v>25.336864431849317</c:v>
                </c:pt>
                <c:pt idx="76">
                  <c:v>25.136481193674665</c:v>
                </c:pt>
                <c:pt idx="77">
                  <c:v>24.936114426766132</c:v>
                </c:pt>
                <c:pt idx="78">
                  <c:v>24.735763395601055</c:v>
                </c:pt>
                <c:pt idx="79">
                  <c:v>24.535427394369727</c:v>
                </c:pt>
                <c:pt idx="80">
                  <c:v>24.335105745792536</c:v>
                </c:pt>
                <c:pt idx="81">
                  <c:v>24.134797799971803</c:v>
                </c:pt>
                <c:pt idx="82">
                  <c:v>23.93450293327685</c:v>
                </c:pt>
                <c:pt idx="83">
                  <c:v>23.734220547262158</c:v>
                </c:pt>
                <c:pt idx="84">
                  <c:v>23.533950067619269</c:v>
                </c:pt>
                <c:pt idx="85">
                  <c:v>23.333690943160121</c:v>
                </c:pt>
                <c:pt idx="86">
                  <c:v>23.133442644833156</c:v>
                </c:pt>
                <c:pt idx="87">
                  <c:v>22.93320466477001</c:v>
                </c:pt>
                <c:pt idx="88">
                  <c:v>22.732976515363184</c:v>
                </c:pt>
                <c:pt idx="89">
                  <c:v>22.532757728373397</c:v>
                </c:pt>
                <c:pt idx="90">
                  <c:v>22.332547854065407</c:v>
                </c:pt>
                <c:pt idx="91">
                  <c:v>22.132346460373256</c:v>
                </c:pt>
                <c:pt idx="92">
                  <c:v>21.932153132091567</c:v>
                </c:pt>
                <c:pt idx="93">
                  <c:v>21.731967470094599</c:v>
                </c:pt>
                <c:pt idx="94">
                  <c:v>21.531789090579927</c:v>
                </c:pt>
                <c:pt idx="95">
                  <c:v>21.331617624337788</c:v>
                </c:pt>
                <c:pt idx="96">
                  <c:v>21.131452716043796</c:v>
                </c:pt>
                <c:pt idx="97">
                  <c:v>20.931294023575454</c:v>
                </c:pt>
                <c:pt idx="98">
                  <c:v>20.731141217349396</c:v>
                </c:pt>
                <c:pt idx="99">
                  <c:v>20.530993979681575</c:v>
                </c:pt>
                <c:pt idx="100">
                  <c:v>20.330852004167173</c:v>
                </c:pt>
                <c:pt idx="101">
                  <c:v>20.130714995079341</c:v>
                </c:pt>
                <c:pt idx="102">
                  <c:v>19.9305826667877</c:v>
                </c:pt>
                <c:pt idx="103">
                  <c:v>19.730454743194027</c:v>
                </c:pt>
                <c:pt idx="104">
                  <c:v>19.530330957185175</c:v>
                </c:pt>
                <c:pt idx="105">
                  <c:v>19.330211050101564</c:v>
                </c:pt>
                <c:pt idx="106">
                  <c:v>19.130094771221479</c:v>
                </c:pt>
                <c:pt idx="107">
                  <c:v>18.929981877259468</c:v>
                </c:pt>
                <c:pt idx="108">
                  <c:v>18.729872131878686</c:v>
                </c:pt>
                <c:pt idx="109">
                  <c:v>18.52976530521563</c:v>
                </c:pt>
                <c:pt idx="110">
                  <c:v>18.32966117341703</c:v>
                </c:pt>
                <c:pt idx="111">
                  <c:v>18.129559518188266</c:v>
                </c:pt>
                <c:pt idx="112">
                  <c:v>17.92946012635193</c:v>
                </c:pt>
                <c:pt idx="113">
                  <c:v>17.729362789416228</c:v>
                </c:pt>
                <c:pt idx="114">
                  <c:v>17.529267303152224</c:v>
                </c:pt>
                <c:pt idx="115">
                  <c:v>17.329173467179615</c:v>
                </c:pt>
                <c:pt idx="116">
                  <c:v>17.129081084559811</c:v>
                </c:pt>
                <c:pt idx="117">
                  <c:v>16.928989961395843</c:v>
                </c:pt>
                <c:pt idx="118">
                  <c:v>16.728899906438187</c:v>
                </c:pt>
                <c:pt idx="119">
                  <c:v>16.528810730696584</c:v>
                </c:pt>
                <c:pt idx="120">
                  <c:v>16.328722247055964</c:v>
                </c:pt>
                <c:pt idx="121">
                  <c:v>16.128634269896484</c:v>
                </c:pt>
                <c:pt idx="122">
                  <c:v>15.928546614717751</c:v>
                </c:pt>
                <c:pt idx="123">
                  <c:v>15.728459097764311</c:v>
                </c:pt>
                <c:pt idx="124">
                  <c:v>15.528371535654738</c:v>
                </c:pt>
                <c:pt idx="125">
                  <c:v>15.328283745011531</c:v>
                </c:pt>
                <c:pt idx="126">
                  <c:v>15.128195542091067</c:v>
                </c:pt>
                <c:pt idx="127">
                  <c:v>14.92810674241537</c:v>
                </c:pt>
                <c:pt idx="128">
                  <c:v>14.72801716040239</c:v>
                </c:pt>
                <c:pt idx="129">
                  <c:v>14.527926608994907</c:v>
                </c:pt>
                <c:pt idx="130">
                  <c:v>14.327834899289194</c:v>
                </c:pt>
                <c:pt idx="131">
                  <c:v>14.127741840159908</c:v>
                </c:pt>
                <c:pt idx="132">
                  <c:v>13.927647237883676</c:v>
                </c:pt>
                <c:pt idx="133">
                  <c:v>13.727550895757732</c:v>
                </c:pt>
                <c:pt idx="134">
                  <c:v>13.527452613716207</c:v>
                </c:pt>
                <c:pt idx="135">
                  <c:v>13.3273521879408</c:v>
                </c:pt>
                <c:pt idx="136">
                  <c:v>13.127249410467122</c:v>
                </c:pt>
                <c:pt idx="137">
                  <c:v>12.927144068784738</c:v>
                </c:pt>
                <c:pt idx="138">
                  <c:v>12.727035945432096</c:v>
                </c:pt>
                <c:pt idx="139">
                  <c:v>12.526924817584044</c:v>
                </c:pt>
                <c:pt idx="140">
                  <c:v>12.326810456632948</c:v>
                </c:pt>
                <c:pt idx="141">
                  <c:v>12.126692627761637</c:v>
                </c:pt>
                <c:pt idx="142">
                  <c:v>11.92657108950884</c:v>
                </c:pt>
                <c:pt idx="143">
                  <c:v>11.726445593326162</c:v>
                </c:pt>
                <c:pt idx="144">
                  <c:v>11.526315883125992</c:v>
                </c:pt>
                <c:pt idx="145">
                  <c:v>11.326181694820397</c:v>
                </c:pt>
                <c:pt idx="146">
                  <c:v>11.126042755850523</c:v>
                </c:pt>
                <c:pt idx="147">
                  <c:v>10.925898784706018</c:v>
                </c:pt>
                <c:pt idx="148">
                  <c:v>10.725749490434147</c:v>
                </c:pt>
                <c:pt idx="149">
                  <c:v>10.525594572139113</c:v>
                </c:pt>
                <c:pt idx="150">
                  <c:v>10.325433718469988</c:v>
                </c:pt>
                <c:pt idx="151">
                  <c:v>10.125266607098576</c:v>
                </c:pt>
                <c:pt idx="152">
                  <c:v>9.925092904186231</c:v>
                </c:pt>
                <c:pt idx="153">
                  <c:v>9.7249122638397374</c:v>
                </c:pt>
                <c:pt idx="154">
                  <c:v>9.524724327556374</c:v>
                </c:pt>
                <c:pt idx="155">
                  <c:v>9.3245287236586698</c:v>
                </c:pt>
                <c:pt idx="156">
                  <c:v>9.1243250667184466</c:v>
                </c:pt>
                <c:pt idx="157">
                  <c:v>8.9241129569702178</c:v>
                </c:pt>
                <c:pt idx="158">
                  <c:v>8.7238919797156917</c:v>
                </c:pt>
                <c:pt idx="159">
                  <c:v>8.5236617047182186</c:v>
                </c:pt>
                <c:pt idx="160">
                  <c:v>8.3234216855886896</c:v>
                </c:pt>
                <c:pt idx="161">
                  <c:v>8.1231714591637214</c:v>
                </c:pt>
                <c:pt idx="162">
                  <c:v>7.9229105448766841</c:v>
                </c:pt>
                <c:pt idx="163">
                  <c:v>7.7226384441222589</c:v>
                </c:pt>
                <c:pt idx="164">
                  <c:v>7.5223546396166707</c:v>
                </c:pt>
                <c:pt idx="165">
                  <c:v>7.3220585947540187</c:v>
                </c:pt>
                <c:pt idx="166">
                  <c:v>7.1217497529609801</c:v>
                </c:pt>
                <c:pt idx="167">
                  <c:v>6.9214275370507572</c:v>
                </c:pt>
                <c:pt idx="168">
                  <c:v>6.7210913485794066</c:v>
                </c:pt>
                <c:pt idx="169">
                  <c:v>6.5207405672056549</c:v>
                </c:pt>
                <c:pt idx="170">
                  <c:v>6.3203745500571511</c:v>
                </c:pt>
                <c:pt idx="171">
                  <c:v>6.1199926311059354</c:v>
                </c:pt>
                <c:pt idx="172">
                  <c:v>5.9195941205558134</c:v>
                </c:pt>
                <c:pt idx="173">
                  <c:v>5.7191783042447408</c:v>
                </c:pt>
                <c:pt idx="174">
                  <c:v>5.5187444430663497</c:v>
                </c:pt>
                <c:pt idx="175">
                  <c:v>5.3182917724139687</c:v>
                </c:pt>
                <c:pt idx="176">
                  <c:v>5.1178195016516224</c:v>
                </c:pt>
                <c:pt idx="177">
                  <c:v>4.9173268136150874</c:v>
                </c:pt>
                <c:pt idx="178">
                  <c:v>4.7168128641512936</c:v>
                </c:pt>
                <c:pt idx="179">
                  <c:v>4.5162767816970426</c:v>
                </c:pt>
                <c:pt idx="180">
                  <c:v>4.3157176669050008</c:v>
                </c:pt>
                <c:pt idx="181">
                  <c:v>4.1151345923226943</c:v>
                </c:pt>
                <c:pt idx="182">
                  <c:v>3.9145266021301142</c:v>
                </c:pt>
                <c:pt idx="183">
                  <c:v>3.7138927119422571</c:v>
                </c:pt>
                <c:pt idx="184">
                  <c:v>3.5132319086848223</c:v>
                </c:pt>
                <c:pt idx="185">
                  <c:v>3.3125431505474943</c:v>
                </c:pt>
                <c:pt idx="186">
                  <c:v>3.1118253670257836</c:v>
                </c:pt>
                <c:pt idx="187">
                  <c:v>2.9110774590556456</c:v>
                </c:pt>
                <c:pt idx="188">
                  <c:v>2.7102982992512414</c:v>
                </c:pt>
                <c:pt idx="189">
                  <c:v>2.50948673225209</c:v>
                </c:pt>
                <c:pt idx="190">
                  <c:v>2.3086415751884126</c:v>
                </c:pt>
                <c:pt idx="191">
                  <c:v>2.1077616182732717</c:v>
                </c:pt>
                <c:pt idx="192">
                  <c:v>1.9068456255274489</c:v>
                </c:pt>
                <c:pt idx="193">
                  <c:v>1.7058923356472362</c:v>
                </c:pt>
                <c:pt idx="194">
                  <c:v>1.5049004630214802</c:v>
                </c:pt>
                <c:pt idx="195">
                  <c:v>1.3038686989042205</c:v>
                </c:pt>
                <c:pt idx="196">
                  <c:v>1.1027957127514254</c:v>
                </c:pt>
                <c:pt idx="197">
                  <c:v>0.90168015372500132</c:v>
                </c:pt>
                <c:pt idx="198">
                  <c:v>0.70052065237250183</c:v>
                </c:pt>
                <c:pt idx="199">
                  <c:v>0.49931582248190909</c:v>
                </c:pt>
                <c:pt idx="200">
                  <c:v>0.29806426311967521</c:v>
                </c:pt>
                <c:pt idx="201">
                  <c:v>9.6764560846854031E-2</c:v>
                </c:pt>
                <c:pt idx="202">
                  <c:v>-0.10458470788007859</c:v>
                </c:pt>
                <c:pt idx="203">
                  <c:v>-0.30598497413231512</c:v>
                </c:pt>
                <c:pt idx="204">
                  <c:v>-0.50743767375645132</c:v>
                </c:pt>
                <c:pt idx="205">
                  <c:v>-0.70894424445447524</c:v>
                </c:pt>
                <c:pt idx="206">
                  <c:v>-0.91050612270636955</c:v>
                </c:pt>
                <c:pt idx="207">
                  <c:v>-1.1121247405457706</c:v>
                </c:pt>
                <c:pt idx="208">
                  <c:v>-1.3138015222057773</c:v>
                </c:pt>
                <c:pt idx="209">
                  <c:v>-1.5155378806521189</c:v>
                </c:pt>
                <c:pt idx="210">
                  <c:v>-1.7173352140263429</c:v>
                </c:pt>
                <c:pt idx="211">
                  <c:v>-1.9191949020236201</c:v>
                </c:pt>
                <c:pt idx="212">
                  <c:v>-2.121118302235788</c:v>
                </c:pt>
                <c:pt idx="213">
                  <c:v>-2.3231067464913209</c:v>
                </c:pt>
                <c:pt idx="214">
                  <c:v>-2.5251615372298137</c:v>
                </c:pt>
                <c:pt idx="215">
                  <c:v>-2.7272839439514778</c:v>
                </c:pt>
                <c:pt idx="216">
                  <c:v>-2.9294751997857555</c:v>
                </c:pt>
                <c:pt idx="217">
                  <c:v>-3.1317364982272187</c:v>
                </c:pt>
                <c:pt idx="218">
                  <c:v>-3.3340689900900204</c:v>
                </c:pt>
                <c:pt idx="219">
                  <c:v>-3.5364737807342421</c:v>
                </c:pt>
                <c:pt idx="220">
                  <c:v>-3.7389519276223804</c:v>
                </c:pt>
                <c:pt idx="221">
                  <c:v>-3.941504438262728</c:v>
                </c:pt>
                <c:pt idx="222">
                  <c:v>-4.1441322686017381</c:v>
                </c:pt>
                <c:pt idx="223">
                  <c:v>-4.3468363219252826</c:v>
                </c:pt>
                <c:pt idx="224">
                  <c:v>-4.5496174483297063</c:v>
                </c:pt>
                <c:pt idx="225">
                  <c:v>-4.7524764448234373</c:v>
                </c:pt>
                <c:pt idx="226">
                  <c:v>-4.9554140561180322</c:v>
                </c:pt>
                <c:pt idx="227">
                  <c:v>-5.1584309761620792</c:v>
                </c:pt>
                <c:pt idx="228">
                  <c:v>-5.3615278504728234</c:v>
                </c:pt>
                <c:pt idx="229">
                  <c:v>-5.5647052793114042</c:v>
                </c:pt>
                <c:pt idx="230">
                  <c:v>-5.7679638217429066</c:v>
                </c:pt>
                <c:pt idx="231">
                  <c:v>-5.9713040006167919</c:v>
                </c:pt>
                <c:pt idx="232">
                  <c:v>-6.1747263084944262</c:v>
                </c:pt>
                <c:pt idx="233">
                  <c:v>-6.378231214543213</c:v>
                </c:pt>
                <c:pt idx="234">
                  <c:v>-6.5818191724041286</c:v>
                </c:pt>
                <c:pt idx="235">
                  <c:v>-6.7854906290354444</c:v>
                </c:pt>
                <c:pt idx="236">
                  <c:v>-6.9892460345179774</c:v>
                </c:pt>
                <c:pt idx="237">
                  <c:v>-7.1930858528019677</c:v>
                </c:pt>
                <c:pt idx="238">
                  <c:v>-7.3970105733619604</c:v>
                </c:pt>
                <c:pt idx="239">
                  <c:v>-7.6010207237143179</c:v>
                </c:pt>
                <c:pt idx="240">
                  <c:v>-7.8051168827442154</c:v>
                </c:pt>
                <c:pt idx="241">
                  <c:v>-8.0092996947762121</c:v>
                </c:pt>
                <c:pt idx="242">
                  <c:v>-8.2135698843125624</c:v>
                </c:pt>
                <c:pt idx="243">
                  <c:v>-8.4179282713564909</c:v>
                </c:pt>
                <c:pt idx="244">
                  <c:v>-8.6223757872280373</c:v>
                </c:pt>
                <c:pt idx="245">
                  <c:v>-8.8269134907743165</c:v>
                </c:pt>
                <c:pt idx="246">
                  <c:v>-9.0315425848691433</c:v>
                </c:pt>
                <c:pt idx="247">
                  <c:v>-9.2362644330945756</c:v>
                </c:pt>
                <c:pt idx="248">
                  <c:v>-9.4410805764928867</c:v>
                </c:pt>
                <c:pt idx="249">
                  <c:v>-9.6459927502768732</c:v>
                </c:pt>
                <c:pt idx="250">
                  <c:v>-9.8510029003855593</c:v>
                </c:pt>
                <c:pt idx="251">
                  <c:v>-10.056113199775842</c:v>
                </c:pt>
                <c:pt idx="252">
                  <c:v>-10.26132606434053</c:v>
                </c:pt>
                <c:pt idx="253">
                  <c:v>-10.466644168350532</c:v>
                </c:pt>
                <c:pt idx="254">
                  <c:v>-10.672070459321381</c:v>
                </c:pt>
                <c:pt idx="255">
                  <c:v>-10.877608172211543</c:v>
                </c:pt>
                <c:pt idx="256">
                  <c:v>-11.083260842866004</c:v>
                </c:pt>
                <c:pt idx="257">
                  <c:v>-11.28903232062685</c:v>
                </c:pt>
                <c:pt idx="258">
                  <c:v>-11.494926780037879</c:v>
                </c:pt>
                <c:pt idx="259">
                  <c:v>-11.700948731580649</c:v>
                </c:pt>
                <c:pt idx="260">
                  <c:v>-11.907103031383055</c:v>
                </c:pt>
                <c:pt idx="261">
                  <c:v>-12.11339488985211</c:v>
                </c:pt>
                <c:pt idx="262">
                  <c:v>-12.31982987918747</c:v>
                </c:pt>
                <c:pt idx="263">
                  <c:v>-12.526413939736651</c:v>
                </c:pt>
                <c:pt idx="264">
                  <c:v>-12.733153385160954</c:v>
                </c:pt>
                <c:pt idx="265">
                  <c:v>-12.94005490638266</c:v>
                </c:pt>
                <c:pt idx="266">
                  <c:v>-13.147125574288072</c:v>
                </c:pt>
                <c:pt idx="267">
                  <c:v>-13.354372841163613</c:v>
                </c:pt>
                <c:pt idx="268">
                  <c:v>-13.561804540841223</c:v>
                </c:pt>
                <c:pt idx="269">
                  <c:v>-13.769428887531653</c:v>
                </c:pt>
                <c:pt idx="270">
                  <c:v>-13.977254473320951</c:v>
                </c:pt>
                <c:pt idx="271">
                  <c:v>-14.185290264304227</c:v>
                </c:pt>
                <c:pt idx="272">
                  <c:v>-14.393545595327485</c:v>
                </c:pt>
                <c:pt idx="273">
                  <c:v>-14.602030163305049</c:v>
                </c:pt>
                <c:pt idx="274">
                  <c:v>-14.810754019074434</c:v>
                </c:pt>
                <c:pt idx="275">
                  <c:v>-15.019727557745288</c:v>
                </c:pt>
                <c:pt idx="276">
                  <c:v>-15.228961507496832</c:v>
                </c:pt>
                <c:pt idx="277">
                  <c:v>-15.438466916766886</c:v>
                </c:pt>
                <c:pt idx="278">
                  <c:v>-15.648255139776087</c:v>
                </c:pt>
                <c:pt idx="279">
                  <c:v>-15.858337820320511</c:v>
                </c:pt>
                <c:pt idx="280">
                  <c:v>-16.068726873764813</c:v>
                </c:pt>
                <c:pt idx="281">
                  <c:v>-16.279434467160577</c:v>
                </c:pt>
                <c:pt idx="282">
                  <c:v>-16.490472997413267</c:v>
                </c:pt>
                <c:pt idx="283">
                  <c:v>-16.701855067416879</c:v>
                </c:pt>
                <c:pt idx="284">
                  <c:v>-16.913593460075816</c:v>
                </c:pt>
                <c:pt idx="285">
                  <c:v>-17.12570111013337</c:v>
                </c:pt>
                <c:pt idx="286">
                  <c:v>-17.338191073725845</c:v>
                </c:pt>
                <c:pt idx="287">
                  <c:v>-17.551076495589452</c:v>
                </c:pt>
                <c:pt idx="288">
                  <c:v>-17.764370573849106</c:v>
                </c:pt>
                <c:pt idx="289">
                  <c:v>-17.978086522328816</c:v>
                </c:pt>
                <c:pt idx="290">
                  <c:v>-18.192237530333184</c:v>
                </c:pt>
                <c:pt idx="291">
                  <c:v>-18.406836719862071</c:v>
                </c:pt>
                <c:pt idx="292">
                  <c:v>-18.621897100239305</c:v>
                </c:pt>
                <c:pt idx="293">
                  <c:v>-18.837431520150744</c:v>
                </c:pt>
                <c:pt idx="294">
                  <c:v>-19.053452617114424</c:v>
                </c:pt>
                <c:pt idx="295">
                  <c:v>-19.269972764424626</c:v>
                </c:pt>
                <c:pt idx="296">
                  <c:v>-19.487004015644334</c:v>
                </c:pt>
                <c:pt idx="297">
                  <c:v>-19.704558046747859</c:v>
                </c:pt>
                <c:pt idx="298">
                  <c:v>-19.922646096052073</c:v>
                </c:pt>
                <c:pt idx="299">
                  <c:v>-20.141278902107622</c:v>
                </c:pt>
                <c:pt idx="300">
                  <c:v>-20.360466639763239</c:v>
                </c:pt>
                <c:pt idx="301">
                  <c:v>-20.580218854655449</c:v>
                </c:pt>
                <c:pt idx="302">
                  <c:v>-20.80054439641782</c:v>
                </c:pt>
                <c:pt idx="303">
                  <c:v>-21.021451350951214</c:v>
                </c:pt>
                <c:pt idx="304">
                  <c:v>-21.242946972135339</c:v>
                </c:pt>
                <c:pt idx="305">
                  <c:v>-21.465037613413127</c:v>
                </c:pt>
                <c:pt idx="306">
                  <c:v>-21.687728659718132</c:v>
                </c:pt>
                <c:pt idx="307">
                  <c:v>-21.911024460260357</c:v>
                </c:pt>
                <c:pt idx="308">
                  <c:v>-22.134928262727101</c:v>
                </c:pt>
                <c:pt idx="309">
                  <c:v>-22.35944214949064</c:v>
                </c:pt>
                <c:pt idx="310">
                  <c:v>-22.584566976449306</c:v>
                </c:pt>
                <c:pt idx="311">
                  <c:v>-22.810302315156626</c:v>
                </c:pt>
                <c:pt idx="312">
                  <c:v>-23.036646398914826</c:v>
                </c:pt>
                <c:pt idx="313">
                  <c:v>-23.263596073525171</c:v>
                </c:pt>
                <c:pt idx="314">
                  <c:v>-23.491146753394286</c:v>
                </c:pt>
                <c:pt idx="315">
                  <c:v>-23.719292383693762</c:v>
                </c:pt>
                <c:pt idx="316">
                  <c:v>-23.94802540926079</c:v>
                </c:pt>
                <c:pt idx="317">
                  <c:v>-24.177336750904903</c:v>
                </c:pt>
                <c:pt idx="318">
                  <c:v>-24.407215789755096</c:v>
                </c:pt>
                <c:pt idx="319">
                  <c:v>-24.637650360237821</c:v>
                </c:pt>
                <c:pt idx="320">
                  <c:v>-24.868626752223463</c:v>
                </c:pt>
                <c:pt idx="321">
                  <c:v>-25.100129722812383</c:v>
                </c:pt>
                <c:pt idx="322">
                  <c:v>-25.332142518157852</c:v>
                </c:pt>
                <c:pt idx="323">
                  <c:v>-25.564646905634852</c:v>
                </c:pt>
                <c:pt idx="324">
                  <c:v>-25.797623216571708</c:v>
                </c:pt>
                <c:pt idx="325">
                  <c:v>-26.031050399655697</c:v>
                </c:pt>
                <c:pt idx="326">
                  <c:v>-26.264906085014253</c:v>
                </c:pt>
                <c:pt idx="327">
                  <c:v>-26.499166658860446</c:v>
                </c:pt>
                <c:pt idx="328">
                  <c:v>-26.73380734846905</c:v>
                </c:pt>
                <c:pt idx="329">
                  <c:v>-26.968802317132802</c:v>
                </c:pt>
                <c:pt idx="330">
                  <c:v>-27.204124768625071</c:v>
                </c:pt>
                <c:pt idx="331">
                  <c:v>-27.439747060582775</c:v>
                </c:pt>
                <c:pt idx="332">
                  <c:v>-27.675640826105443</c:v>
                </c:pt>
                <c:pt idx="333">
                  <c:v>-27.911777102767243</c:v>
                </c:pt>
                <c:pt idx="334">
                  <c:v>-28.148126468136965</c:v>
                </c:pt>
                <c:pt idx="335">
                  <c:v>-28.384659180820119</c:v>
                </c:pt>
                <c:pt idx="336">
                  <c:v>-28.621345325961116</c:v>
                </c:pt>
                <c:pt idx="337">
                  <c:v>-28.858154964088754</c:v>
                </c:pt>
                <c:pt idx="338">
                  <c:v>-29.095058282142507</c:v>
                </c:pt>
                <c:pt idx="339">
                  <c:v>-29.332025745491176</c:v>
                </c:pt>
                <c:pt idx="340">
                  <c:v>-29.569028249746321</c:v>
                </c:pt>
                <c:pt idx="341">
                  <c:v>-29.806037271180891</c:v>
                </c:pt>
                <c:pt idx="342">
                  <c:v>-30.043025014584693</c:v>
                </c:pt>
                <c:pt idx="343">
                  <c:v>-30.279964557432052</c:v>
                </c:pt>
                <c:pt idx="344">
                  <c:v>-30.516829989292688</c:v>
                </c:pt>
                <c:pt idx="345">
                  <c:v>-30.753596545484726</c:v>
                </c:pt>
                <c:pt idx="346">
                  <c:v>-30.990240734054648</c:v>
                </c:pt>
                <c:pt idx="347">
                  <c:v>-31.226740455262771</c:v>
                </c:pt>
                <c:pt idx="348">
                  <c:v>-31.463075112855069</c:v>
                </c:pt>
                <c:pt idx="349">
                  <c:v>-31.699225716514153</c:v>
                </c:pt>
                <c:pt idx="350">
                  <c:v>-31.935174974997057</c:v>
                </c:pt>
                <c:pt idx="351">
                  <c:v>-32.170907379586644</c:v>
                </c:pt>
                <c:pt idx="352">
                  <c:v>-32.406409277600218</c:v>
                </c:pt>
                <c:pt idx="353">
                  <c:v>-32.641668935820306</c:v>
                </c:pt>
                <c:pt idx="354">
                  <c:v>-32.876676593824214</c:v>
                </c:pt>
                <c:pt idx="355">
                  <c:v>-33.111424507295212</c:v>
                </c:pt>
                <c:pt idx="356">
                  <c:v>-33.345906981508541</c:v>
                </c:pt>
                <c:pt idx="357">
                  <c:v>-33.580120395268764</c:v>
                </c:pt>
                <c:pt idx="358">
                  <c:v>-33.814063215668071</c:v>
                </c:pt>
                <c:pt idx="359">
                  <c:v>-34.047736004105637</c:v>
                </c:pt>
                <c:pt idx="360">
                  <c:v>-34.281141414069829</c:v>
                </c:pt>
                <c:pt idx="361">
                  <c:v>-34.514284181241635</c:v>
                </c:pt>
                <c:pt idx="362">
                  <c:v>-34.747171106515168</c:v>
                </c:pt>
                <c:pt idx="363">
                  <c:v>-34.979811032559056</c:v>
                </c:pt>
                <c:pt idx="364">
                  <c:v>-35.212214814567048</c:v>
                </c:pt>
                <c:pt idx="365">
                  <c:v>-35.444395285844969</c:v>
                </c:pt>
                <c:pt idx="366">
                  <c:v>-35.676367218886618</c:v>
                </c:pt>
                <c:pt idx="367">
                  <c:v>-35.908147282574696</c:v>
                </c:pt>
                <c:pt idx="368">
                  <c:v>-36.139753996125961</c:v>
                </c:pt>
                <c:pt idx="369">
                  <c:v>-36.371207680370595</c:v>
                </c:pt>
                <c:pt idx="370">
                  <c:v>-36.602530406921552</c:v>
                </c:pt>
                <c:pt idx="371">
                  <c:v>-36.833745945753094</c:v>
                </c:pt>
                <c:pt idx="372">
                  <c:v>-37.064879711660076</c:v>
                </c:pt>
                <c:pt idx="373">
                  <c:v>-37.295958710024372</c:v>
                </c:pt>
                <c:pt idx="374">
                  <c:v>-37.527011482265145</c:v>
                </c:pt>
                <c:pt idx="375">
                  <c:v>-37.75806805129384</c:v>
                </c:pt>
                <c:pt idx="376">
                  <c:v>-37.989159867248517</c:v>
                </c:pt>
                <c:pt idx="377">
                  <c:v>-38.220319753722642</c:v>
                </c:pt>
                <c:pt idx="378">
                  <c:v>-38.451581854653625</c:v>
                </c:pt>
                <c:pt idx="379">
                  <c:v>-38.682981581986155</c:v>
                </c:pt>
                <c:pt idx="380">
                  <c:v>-38.914555564174272</c:v>
                </c:pt>
                <c:pt idx="381">
                  <c:v>-39.146341595535858</c:v>
                </c:pt>
                <c:pt idx="382">
                  <c:v>-39.37837858643411</c:v>
                </c:pt>
                <c:pt idx="383">
                  <c:v>-39.610706514211422</c:v>
                </c:pt>
                <c:pt idx="384">
                  <c:v>-39.843366374768166</c:v>
                </c:pt>
                <c:pt idx="385">
                  <c:v>-40.076400134638234</c:v>
                </c:pt>
                <c:pt idx="386">
                  <c:v>-40.309850683383708</c:v>
                </c:pt>
                <c:pt idx="387">
                  <c:v>-40.543761786102749</c:v>
                </c:pt>
                <c:pt idx="388">
                  <c:v>-40.778178035820218</c:v>
                </c:pt>
                <c:pt idx="389">
                  <c:v>-41.013144805509434</c:v>
                </c:pt>
                <c:pt idx="390">
                  <c:v>-41.248708199477555</c:v>
                </c:pt>
                <c:pt idx="391">
                  <c:v>-41.484915003838651</c:v>
                </c:pt>
                <c:pt idx="392">
                  <c:v>-41.721812635785334</c:v>
                </c:pt>
                <c:pt idx="393">
                  <c:v>-41.959449091371042</c:v>
                </c:pt>
                <c:pt idx="394">
                  <c:v>-42.197872891515615</c:v>
                </c:pt>
                <c:pt idx="395">
                  <c:v>-42.437133025951077</c:v>
                </c:pt>
                <c:pt idx="396">
                  <c:v>-42.677278894837407</c:v>
                </c:pt>
                <c:pt idx="397">
                  <c:v>-42.918360247789224</c:v>
                </c:pt>
                <c:pt idx="398">
                  <c:v>-43.160427120079241</c:v>
                </c:pt>
                <c:pt idx="399">
                  <c:v>-43.40352976580143</c:v>
                </c:pt>
                <c:pt idx="400">
                  <c:v>-43.647718587810687</c:v>
                </c:pt>
                <c:pt idx="401">
                  <c:v>-43.893044064284872</c:v>
                </c:pt>
                <c:pt idx="402">
                  <c:v>-44.139556671792917</c:v>
                </c:pt>
                <c:pt idx="403">
                  <c:v>-44.387306804793042</c:v>
                </c:pt>
                <c:pt idx="404">
                  <c:v>-44.636344691530638</c:v>
                </c:pt>
                <c:pt idx="405">
                  <c:v>-44.886720306348209</c:v>
                </c:pt>
                <c:pt idx="406">
                  <c:v>-45.138483278478468</c:v>
                </c:pt>
                <c:pt idx="407">
                  <c:v>-45.3916827974368</c:v>
                </c:pt>
                <c:pt idx="408">
                  <c:v>-45.646367515190256</c:v>
                </c:pt>
                <c:pt idx="409">
                  <c:v>-45.90258544533291</c:v>
                </c:pt>
                <c:pt idx="410">
                  <c:v>-46.16038385955973</c:v>
                </c:pt>
                <c:pt idx="411">
                  <c:v>-46.419809181783087</c:v>
                </c:pt>
                <c:pt idx="412">
                  <c:v>-46.680906880298323</c:v>
                </c:pt>
                <c:pt idx="413">
                  <c:v>-46.943721358456934</c:v>
                </c:pt>
                <c:pt idx="414">
                  <c:v>-47.208295844359583</c:v>
                </c:pt>
                <c:pt idx="415">
                  <c:v>-47.474672280133383</c:v>
                </c:pt>
                <c:pt idx="416">
                  <c:v>-47.742891211399254</c:v>
                </c:pt>
                <c:pt idx="417">
                  <c:v>-48.012991677579315</c:v>
                </c:pt>
                <c:pt idx="418">
                  <c:v>-48.285011103726163</c:v>
                </c:pt>
                <c:pt idx="419">
                  <c:v>-48.558985194584743</c:v>
                </c:pt>
                <c:pt idx="420">
                  <c:v>-48.834947831617313</c:v>
                </c:pt>
                <c:pt idx="421">
                  <c:v>-49.11293097373111</c:v>
                </c:pt>
                <c:pt idx="422">
                  <c:v>-49.392964562454694</c:v>
                </c:pt>
                <c:pt idx="423">
                  <c:v>-49.67507643229883</c:v>
                </c:pt>
                <c:pt idx="424">
                  <c:v>-49.959292227021905</c:v>
                </c:pt>
                <c:pt idx="425">
                  <c:v>-50.245635322495261</c:v>
                </c:pt>
                <c:pt idx="426">
                  <c:v>-50.534126756825806</c:v>
                </c:pt>
                <c:pt idx="427">
                  <c:v>-50.82478516834783</c:v>
                </c:pt>
                <c:pt idx="428">
                  <c:v>-51.117626742042688</c:v>
                </c:pt>
                <c:pt idx="429">
                  <c:v>-51.412665164882398</c:v>
                </c:pt>
                <c:pt idx="430">
                  <c:v>-51.709911590519262</c:v>
                </c:pt>
                <c:pt idx="431">
                  <c:v>-52.009374613671078</c:v>
                </c:pt>
                <c:pt idx="432">
                  <c:v>-52.311060254464721</c:v>
                </c:pt>
                <c:pt idx="433">
                  <c:v>-52.614971952917678</c:v>
                </c:pt>
                <c:pt idx="434">
                  <c:v>-52.921110573642736</c:v>
                </c:pt>
                <c:pt idx="435">
                  <c:v>-53.229474420773798</c:v>
                </c:pt>
                <c:pt idx="436">
                  <c:v>-53.540059263015998</c:v>
                </c:pt>
                <c:pt idx="437">
                  <c:v>-53.852858368634529</c:v>
                </c:pt>
                <c:pt idx="438">
                  <c:v>-54.167862550108836</c:v>
                </c:pt>
                <c:pt idx="439">
                  <c:v>-54.485060218093444</c:v>
                </c:pt>
                <c:pt idx="440">
                  <c:v>-54.804437444251491</c:v>
                </c:pt>
                <c:pt idx="441">
                  <c:v>-55.125978032452288</c:v>
                </c:pt>
                <c:pt idx="442">
                  <c:v>-55.449663597760157</c:v>
                </c:pt>
                <c:pt idx="443">
                  <c:v>-55.775473652586896</c:v>
                </c:pt>
                <c:pt idx="444">
                  <c:v>-56.103385699330872</c:v>
                </c:pt>
                <c:pt idx="445">
                  <c:v>-56.433375328787662</c:v>
                </c:pt>
                <c:pt idx="446">
                  <c:v>-56.765416323588951</c:v>
                </c:pt>
                <c:pt idx="447">
                  <c:v>-57.099480765906669</c:v>
                </c:pt>
                <c:pt idx="448">
                  <c:v>-57.43553914864809</c:v>
                </c:pt>
                <c:pt idx="449">
                  <c:v>-57.773560489370382</c:v>
                </c:pt>
                <c:pt idx="450">
                  <c:v>-58.11351244614643</c:v>
                </c:pt>
                <c:pt idx="451">
                  <c:v>-58.455361434634</c:v>
                </c:pt>
                <c:pt idx="452">
                  <c:v>-58.799072745620265</c:v>
                </c:pt>
                <c:pt idx="453">
                  <c:v>-59.144610662348768</c:v>
                </c:pt>
                <c:pt idx="454">
                  <c:v>-59.491938576966859</c:v>
                </c:pt>
                <c:pt idx="455">
                  <c:v>-59.841019105476818</c:v>
                </c:pt>
                <c:pt idx="456">
                  <c:v>-60.191814200617145</c:v>
                </c:pt>
                <c:pt idx="457">
                  <c:v>-60.544285262150851</c:v>
                </c:pt>
                <c:pt idx="458">
                  <c:v>-60.898393244085945</c:v>
                </c:pt>
                <c:pt idx="459">
                  <c:v>-61.254098758408958</c:v>
                </c:pt>
                <c:pt idx="460">
                  <c:v>-61.611362174961847</c:v>
                </c:pt>
                <c:pt idx="461">
                  <c:v>-61.970143717148218</c:v>
                </c:pt>
                <c:pt idx="462">
                  <c:v>-62.330403553206295</c:v>
                </c:pt>
                <c:pt idx="463">
                  <c:v>-62.692101882835409</c:v>
                </c:pt>
                <c:pt idx="464">
                  <c:v>-63.05519901901414</c:v>
                </c:pt>
                <c:pt idx="465">
                  <c:v>-63.419655464892116</c:v>
                </c:pt>
                <c:pt idx="466">
                  <c:v>-63.785431985684262</c:v>
                </c:pt>
                <c:pt idx="467">
                  <c:v>-64.152489675533232</c:v>
                </c:pt>
                <c:pt idx="468">
                  <c:v>-64.520790019348567</c:v>
                </c:pt>
                <c:pt idx="469">
                  <c:v>-64.890294949660046</c:v>
                </c:pt>
                <c:pt idx="470">
                  <c:v>-65.260966898557029</c:v>
                </c:pt>
                <c:pt idx="471">
                  <c:v>-65.632768844813754</c:v>
                </c:pt>
                <c:pt idx="472">
                  <c:v>-66.005664356318348</c:v>
                </c:pt>
                <c:pt idx="473">
                  <c:v>-66.379617627955454</c:v>
                </c:pt>
                <c:pt idx="474">
                  <c:v>-66.754593515096815</c:v>
                </c:pt>
                <c:pt idx="475">
                  <c:v>-67.130557562878749</c:v>
                </c:pt>
                <c:pt idx="476">
                  <c:v>-67.507476031451745</c:v>
                </c:pt>
                <c:pt idx="477">
                  <c:v>-67.885315917399453</c:v>
                </c:pt>
                <c:pt idx="478">
                  <c:v>-68.264044971525692</c:v>
                </c:pt>
                <c:pt idx="479">
                  <c:v>-68.643631713220131</c:v>
                </c:pt>
                <c:pt idx="480">
                  <c:v>-69.024045441608195</c:v>
                </c:pt>
                <c:pt idx="481">
                  <c:v>-69.405256243692534</c:v>
                </c:pt>
                <c:pt idx="482">
                  <c:v>-69.787234999697347</c:v>
                </c:pt>
                <c:pt idx="483">
                  <c:v>-70.169953385814324</c:v>
                </c:pt>
                <c:pt idx="484">
                  <c:v>-70.553383874554271</c:v>
                </c:pt>
                <c:pt idx="485">
                  <c:v>-70.937499732897351</c:v>
                </c:pt>
                <c:pt idx="486">
                  <c:v>-71.322275018430446</c:v>
                </c:pt>
                <c:pt idx="487">
                  <c:v>-71.707684573655044</c:v>
                </c:pt>
                <c:pt idx="488">
                  <c:v>-72.0937040186366</c:v>
                </c:pt>
                <c:pt idx="489">
                  <c:v>-72.480309742167492</c:v>
                </c:pt>
                <c:pt idx="490">
                  <c:v>-72.867478891596505</c:v>
                </c:pt>
                <c:pt idx="491">
                  <c:v>-73.255189361478244</c:v>
                </c:pt>
                <c:pt idx="492">
                  <c:v>-73.643419781183312</c:v>
                </c:pt>
                <c:pt idx="493">
                  <c:v>-74.032149501601879</c:v>
                </c:pt>
                <c:pt idx="494">
                  <c:v>-74.421358581066585</c:v>
                </c:pt>
                <c:pt idx="495">
                  <c:v>-74.811027770609414</c:v>
                </c:pt>
                <c:pt idx="496">
                  <c:v>-75.201138498662786</c:v>
                </c:pt>
                <c:pt idx="497">
                  <c:v>-75.5916728553035</c:v>
                </c:pt>
                <c:pt idx="498">
                  <c:v>-75.982613576133105</c:v>
                </c:pt>
                <c:pt idx="499">
                  <c:v>-76.373944025879922</c:v>
                </c:pt>
                <c:pt idx="500">
                  <c:v>-76.765648181800103</c:v>
                </c:pt>
                <c:pt idx="501">
                  <c:v>-77.157710616950069</c:v>
                </c:pt>
                <c:pt idx="502">
                  <c:v>-77.550116483394561</c:v>
                </c:pt>
                <c:pt idx="503">
                  <c:v>-77.942851495409073</c:v>
                </c:pt>
                <c:pt idx="504">
                  <c:v>-78.335901912730549</c:v>
                </c:pt>
                <c:pt idx="505">
                  <c:v>-78.729254523902824</c:v>
                </c:pt>
                <c:pt idx="506">
                  <c:v>-79.122896629759808</c:v>
                </c:pt>
                <c:pt idx="507">
                  <c:v>-79.516816027084715</c:v>
                </c:pt>
                <c:pt idx="508">
                  <c:v>-79.911000992477938</c:v>
                </c:pt>
                <c:pt idx="509">
                  <c:v>-80.305440266462668</c:v>
                </c:pt>
                <c:pt idx="510">
                  <c:v>-80.700123037854951</c:v>
                </c:pt>
                <c:pt idx="511">
                  <c:v>-81.095038928418305</c:v>
                </c:pt>
                <c:pt idx="512">
                  <c:v>-81.490177977822697</c:v>
                </c:pt>
                <c:pt idx="513">
                  <c:v>-81.885530628923831</c:v>
                </c:pt>
                <c:pt idx="514">
                  <c:v>-82.281087713373864</c:v>
                </c:pt>
                <c:pt idx="515">
                  <c:v>-82.676840437576089</c:v>
                </c:pt>
                <c:pt idx="516">
                  <c:v>-83.072780368991033</c:v>
                </c:pt>
                <c:pt idx="517">
                  <c:v>-83.468899422798955</c:v>
                </c:pt>
                <c:pt idx="518">
                  <c:v>-83.865189848924871</c:v>
                </c:pt>
                <c:pt idx="519">
                  <c:v>-84.261644219426856</c:v>
                </c:pt>
                <c:pt idx="520">
                  <c:v>-84.658255416250483</c:v>
                </c:pt>
                <c:pt idx="521">
                  <c:v>-85.055016619347469</c:v>
                </c:pt>
                <c:pt idx="522">
                  <c:v>-85.451921295157376</c:v>
                </c:pt>
                <c:pt idx="523">
                  <c:v>-85.848963185450927</c:v>
                </c:pt>
                <c:pt idx="524">
                  <c:v>-86.246136296530707</c:v>
                </c:pt>
                <c:pt idx="525">
                  <c:v>-86.643434888783531</c:v>
                </c:pt>
                <c:pt idx="526">
                  <c:v>-87.040853466582234</c:v>
                </c:pt>
                <c:pt idx="527">
                  <c:v>-87.438386768528758</c:v>
                </c:pt>
                <c:pt idx="528">
                  <c:v>-87.836029758033348</c:v>
                </c:pt>
                <c:pt idx="529">
                  <c:v>-88.233777614224408</c:v>
                </c:pt>
                <c:pt idx="530">
                  <c:v>-88.631625723178587</c:v>
                </c:pt>
                <c:pt idx="531">
                  <c:v>-89.029569669468032</c:v>
                </c:pt>
                <c:pt idx="532">
                  <c:v>-89.427605228013235</c:v>
                </c:pt>
                <c:pt idx="533">
                  <c:v>-89.82572835623786</c:v>
                </c:pt>
                <c:pt idx="534">
                  <c:v>-90.22393518651306</c:v>
                </c:pt>
                <c:pt idx="535">
                  <c:v>-90.622222018887157</c:v>
                </c:pt>
                <c:pt idx="536">
                  <c:v>-91.020585314090511</c:v>
                </c:pt>
                <c:pt idx="537">
                  <c:v>-91.419021686808236</c:v>
                </c:pt>
                <c:pt idx="538">
                  <c:v>-91.817527899212791</c:v>
                </c:pt>
                <c:pt idx="539">
                  <c:v>-92.216100854747097</c:v>
                </c:pt>
                <c:pt idx="540">
                  <c:v>-92.614737592152437</c:v>
                </c:pt>
                <c:pt idx="541">
                  <c:v>-93.013435279731794</c:v>
                </c:pt>
              </c:numCache>
            </c:numRef>
          </c:yVal>
          <c:smooth val="1"/>
          <c:extLst>
            <c:ext xmlns:c16="http://schemas.microsoft.com/office/drawing/2014/chart" uri="{C3380CC4-5D6E-409C-BE32-E72D297353CC}">
              <c16:uniqueId val="{00000000-3223-41D7-8B33-833B9B1F2597}"/>
            </c:ext>
          </c:extLst>
        </c:ser>
        <c:dLbls>
          <c:showLegendKey val="0"/>
          <c:showVal val="0"/>
          <c:showCatName val="0"/>
          <c:showSerName val="0"/>
          <c:showPercent val="0"/>
          <c:showBubbleSize val="0"/>
        </c:dLbls>
        <c:axId val="555528192"/>
        <c:axId val="555530112"/>
      </c:scatterChart>
      <c:scatterChart>
        <c:scatterStyle val="smoothMarker"/>
        <c:varyColors val="0"/>
        <c:ser>
          <c:idx val="1"/>
          <c:order val="1"/>
          <c:spPr>
            <a:ln w="38100">
              <a:solidFill>
                <a:schemeClr val="tx1">
                  <a:lumMod val="95000"/>
                  <a:lumOff val="5000"/>
                </a:schemeClr>
              </a:solidFill>
              <a:prstDash val="sysDash"/>
            </a:ln>
          </c:spPr>
          <c:marker>
            <c:symbol val="none"/>
          </c:marker>
          <c:xVal>
            <c:numRef>
              <c:f>Control_Loop_Tables!$N$19:$N$560</c:f>
              <c:numCache>
                <c:formatCode>0.00</c:formatCode>
                <c:ptCount val="542"/>
                <c:pt idx="0">
                  <c:v>10.232929922807543</c:v>
                </c:pt>
                <c:pt idx="1">
                  <c:v>10.471285480509</c:v>
                </c:pt>
                <c:pt idx="2">
                  <c:v>10.715193052376069</c:v>
                </c:pt>
                <c:pt idx="3">
                  <c:v>10.964781961431854</c:v>
                </c:pt>
                <c:pt idx="4">
                  <c:v>11.220184543019636</c:v>
                </c:pt>
                <c:pt idx="5">
                  <c:v>11.481536214968834</c:v>
                </c:pt>
                <c:pt idx="6">
                  <c:v>11.748975549395301</c:v>
                </c:pt>
                <c:pt idx="7">
                  <c:v>12.022644346174133</c:v>
                </c:pt>
                <c:pt idx="8">
                  <c:v>12.302687708123818</c:v>
                </c:pt>
                <c:pt idx="9">
                  <c:v>12.58925411794168</c:v>
                </c:pt>
                <c:pt idx="10">
                  <c:v>12.882495516931346</c:v>
                </c:pt>
                <c:pt idx="11">
                  <c:v>13.182567385564075</c:v>
                </c:pt>
                <c:pt idx="12">
                  <c:v>13.489628825916535</c:v>
                </c:pt>
                <c:pt idx="13">
                  <c:v>13.803842646028857</c:v>
                </c:pt>
                <c:pt idx="14">
                  <c:v>14.125375446227544</c:v>
                </c:pt>
                <c:pt idx="15">
                  <c:v>14.454397707459275</c:v>
                </c:pt>
                <c:pt idx="16">
                  <c:v>14.791083881682074</c:v>
                </c:pt>
                <c:pt idx="17">
                  <c:v>15.135612484362087</c:v>
                </c:pt>
                <c:pt idx="18">
                  <c:v>15.488166189124817</c:v>
                </c:pt>
                <c:pt idx="19">
                  <c:v>15.848931924611136</c:v>
                </c:pt>
                <c:pt idx="20">
                  <c:v>16.218100973589298</c:v>
                </c:pt>
                <c:pt idx="21">
                  <c:v>16.595869074375614</c:v>
                </c:pt>
                <c:pt idx="22">
                  <c:v>16.982436524617448</c:v>
                </c:pt>
                <c:pt idx="23">
                  <c:v>17.378008287493756</c:v>
                </c:pt>
                <c:pt idx="24">
                  <c:v>17.782794100389236</c:v>
                </c:pt>
                <c:pt idx="25">
                  <c:v>18.197008586099841</c:v>
                </c:pt>
                <c:pt idx="26">
                  <c:v>18.62087136662868</c:v>
                </c:pt>
                <c:pt idx="27">
                  <c:v>19.054607179632477</c:v>
                </c:pt>
                <c:pt idx="28">
                  <c:v>19.498445997580465</c:v>
                </c:pt>
                <c:pt idx="29">
                  <c:v>19.952623149688804</c:v>
                </c:pt>
                <c:pt idx="30">
                  <c:v>20.4173794466953</c:v>
                </c:pt>
                <c:pt idx="31">
                  <c:v>20.8929613085404</c:v>
                </c:pt>
                <c:pt idx="32">
                  <c:v>21.379620895022335</c:v>
                </c:pt>
                <c:pt idx="33">
                  <c:v>21.877616239495538</c:v>
                </c:pt>
                <c:pt idx="34">
                  <c:v>22.387211385683404</c:v>
                </c:pt>
                <c:pt idx="35">
                  <c:v>22.908676527677727</c:v>
                </c:pt>
                <c:pt idx="36">
                  <c:v>23.442288153199236</c:v>
                </c:pt>
                <c:pt idx="37">
                  <c:v>23.988329190194907</c:v>
                </c:pt>
                <c:pt idx="38">
                  <c:v>24.547089156850316</c:v>
                </c:pt>
                <c:pt idx="39">
                  <c:v>25.118864315095799</c:v>
                </c:pt>
                <c:pt idx="40">
                  <c:v>25.703957827688647</c:v>
                </c:pt>
                <c:pt idx="41">
                  <c:v>26.302679918953825</c:v>
                </c:pt>
                <c:pt idx="42">
                  <c:v>26.915348039269158</c:v>
                </c:pt>
                <c:pt idx="43">
                  <c:v>27.542287033381665</c:v>
                </c:pt>
                <c:pt idx="44">
                  <c:v>28.183829312644548</c:v>
                </c:pt>
                <c:pt idx="45">
                  <c:v>28.840315031266066</c:v>
                </c:pt>
                <c:pt idx="46">
                  <c:v>29.512092266663863</c:v>
                </c:pt>
                <c:pt idx="47">
                  <c:v>30.199517204020164</c:v>
                </c:pt>
                <c:pt idx="48">
                  <c:v>30.902954325135919</c:v>
                </c:pt>
                <c:pt idx="49">
                  <c:v>31.622776601683803</c:v>
                </c:pt>
                <c:pt idx="50">
                  <c:v>32.359365692962832</c:v>
                </c:pt>
                <c:pt idx="51">
                  <c:v>33.113112148259127</c:v>
                </c:pt>
                <c:pt idx="52">
                  <c:v>33.884415613920268</c:v>
                </c:pt>
                <c:pt idx="53">
                  <c:v>34.67368504525318</c:v>
                </c:pt>
                <c:pt idx="54">
                  <c:v>35.481338923357555</c:v>
                </c:pt>
                <c:pt idx="55">
                  <c:v>36.307805477010156</c:v>
                </c:pt>
                <c:pt idx="56">
                  <c:v>37.15352290971726</c:v>
                </c:pt>
                <c:pt idx="57">
                  <c:v>38.018939632056139</c:v>
                </c:pt>
                <c:pt idx="58">
                  <c:v>38.904514499428053</c:v>
                </c:pt>
                <c:pt idx="59">
                  <c:v>39.810717055349755</c:v>
                </c:pt>
                <c:pt idx="60">
                  <c:v>40.738027780411279</c:v>
                </c:pt>
                <c:pt idx="61">
                  <c:v>41.686938347033561</c:v>
                </c:pt>
                <c:pt idx="62">
                  <c:v>42.657951880159267</c:v>
                </c:pt>
                <c:pt idx="63">
                  <c:v>43.651583224016633</c:v>
                </c:pt>
                <c:pt idx="64">
                  <c:v>44.668359215096324</c:v>
                </c:pt>
                <c:pt idx="65">
                  <c:v>45.70881896148753</c:v>
                </c:pt>
                <c:pt idx="66">
                  <c:v>46.773514128719818</c:v>
                </c:pt>
                <c:pt idx="67">
                  <c:v>47.863009232263877</c:v>
                </c:pt>
                <c:pt idx="68">
                  <c:v>48.977881936844632</c:v>
                </c:pt>
                <c:pt idx="69">
                  <c:v>50.118723362727238</c:v>
                </c:pt>
                <c:pt idx="70">
                  <c:v>51.28613839913649</c:v>
                </c:pt>
                <c:pt idx="71">
                  <c:v>52.480746024977286</c:v>
                </c:pt>
                <c:pt idx="72">
                  <c:v>53.703179637025293</c:v>
                </c:pt>
                <c:pt idx="73">
                  <c:v>54.95408738576247</c:v>
                </c:pt>
                <c:pt idx="74">
                  <c:v>56.234132519034915</c:v>
                </c:pt>
                <c:pt idx="75">
                  <c:v>57.543993733715695</c:v>
                </c:pt>
                <c:pt idx="76">
                  <c:v>58.884365535558949</c:v>
                </c:pt>
                <c:pt idx="77">
                  <c:v>60.255958607435822</c:v>
                </c:pt>
                <c:pt idx="78">
                  <c:v>61.659500186148257</c:v>
                </c:pt>
                <c:pt idx="79">
                  <c:v>63.095734448019364</c:v>
                </c:pt>
                <c:pt idx="80">
                  <c:v>64.565422903465588</c:v>
                </c:pt>
                <c:pt idx="81">
                  <c:v>66.069344800759623</c:v>
                </c:pt>
                <c:pt idx="82">
                  <c:v>67.60829753919819</c:v>
                </c:pt>
                <c:pt idx="83">
                  <c:v>69.183097091893657</c:v>
                </c:pt>
                <c:pt idx="84">
                  <c:v>70.794578438413865</c:v>
                </c:pt>
                <c:pt idx="85">
                  <c:v>72.443596007499011</c:v>
                </c:pt>
                <c:pt idx="86">
                  <c:v>74.131024130091816</c:v>
                </c:pt>
                <c:pt idx="87">
                  <c:v>75.857757502918361</c:v>
                </c:pt>
                <c:pt idx="88">
                  <c:v>77.624711662869217</c:v>
                </c:pt>
                <c:pt idx="89">
                  <c:v>79.432823472428197</c:v>
                </c:pt>
                <c:pt idx="90">
                  <c:v>81.283051616409963</c:v>
                </c:pt>
                <c:pt idx="91">
                  <c:v>83.176377110267126</c:v>
                </c:pt>
                <c:pt idx="92">
                  <c:v>85.113803820237734</c:v>
                </c:pt>
                <c:pt idx="93">
                  <c:v>87.096358995608071</c:v>
                </c:pt>
                <c:pt idx="94">
                  <c:v>89.125093813374562</c:v>
                </c:pt>
                <c:pt idx="95">
                  <c:v>91.201083935590972</c:v>
                </c:pt>
                <c:pt idx="96">
                  <c:v>93.325430079699174</c:v>
                </c:pt>
                <c:pt idx="97">
                  <c:v>95.499258602143655</c:v>
                </c:pt>
                <c:pt idx="98">
                  <c:v>97.723722095581124</c:v>
                </c:pt>
                <c:pt idx="99">
                  <c:v>100</c:v>
                </c:pt>
                <c:pt idx="100">
                  <c:v>102.32929922807544</c:v>
                </c:pt>
                <c:pt idx="101">
                  <c:v>104.71285480508998</c:v>
                </c:pt>
                <c:pt idx="102">
                  <c:v>107.15193052376065</c:v>
                </c:pt>
                <c:pt idx="103">
                  <c:v>109.64781961431861</c:v>
                </c:pt>
                <c:pt idx="104">
                  <c:v>112.20184543019634</c:v>
                </c:pt>
                <c:pt idx="105">
                  <c:v>114.81536214968835</c:v>
                </c:pt>
                <c:pt idx="106">
                  <c:v>117.48975549395293</c:v>
                </c:pt>
                <c:pt idx="107">
                  <c:v>120.22644346174135</c:v>
                </c:pt>
                <c:pt idx="108">
                  <c:v>123.02687708123821</c:v>
                </c:pt>
                <c:pt idx="109">
                  <c:v>125.89254117941677</c:v>
                </c:pt>
                <c:pt idx="110">
                  <c:v>128.82495516931343</c:v>
                </c:pt>
                <c:pt idx="111">
                  <c:v>131.82567385564084</c:v>
                </c:pt>
                <c:pt idx="112">
                  <c:v>134.89628825916537</c:v>
                </c:pt>
                <c:pt idx="113">
                  <c:v>138.0384264602886</c:v>
                </c:pt>
                <c:pt idx="114">
                  <c:v>141.25375446227542</c:v>
                </c:pt>
                <c:pt idx="115">
                  <c:v>144.54397707459285</c:v>
                </c:pt>
                <c:pt idx="116">
                  <c:v>147.91083881682084</c:v>
                </c:pt>
                <c:pt idx="117">
                  <c:v>151.3561248436209</c:v>
                </c:pt>
                <c:pt idx="118">
                  <c:v>154.8816618912482</c:v>
                </c:pt>
                <c:pt idx="119">
                  <c:v>158.48931924611153</c:v>
                </c:pt>
                <c:pt idx="120">
                  <c:v>162.18100973589304</c:v>
                </c:pt>
                <c:pt idx="121">
                  <c:v>165.95869074375622</c:v>
                </c:pt>
                <c:pt idx="122">
                  <c:v>169.82436524617444</c:v>
                </c:pt>
                <c:pt idx="123">
                  <c:v>173.78008287493768</c:v>
                </c:pt>
                <c:pt idx="124">
                  <c:v>177.82794100389242</c:v>
                </c:pt>
                <c:pt idx="125">
                  <c:v>181.9700858609983</c:v>
                </c:pt>
                <c:pt idx="126">
                  <c:v>186.20871366628685</c:v>
                </c:pt>
                <c:pt idx="127">
                  <c:v>190.54607179632498</c:v>
                </c:pt>
                <c:pt idx="128">
                  <c:v>194.98445997580458</c:v>
                </c:pt>
                <c:pt idx="129">
                  <c:v>199.52623149688802</c:v>
                </c:pt>
                <c:pt idx="130">
                  <c:v>204.17379446695315</c:v>
                </c:pt>
                <c:pt idx="131">
                  <c:v>208.92961308540396</c:v>
                </c:pt>
                <c:pt idx="132">
                  <c:v>213.79620895022339</c:v>
                </c:pt>
                <c:pt idx="133">
                  <c:v>218.77616239495524</c:v>
                </c:pt>
                <c:pt idx="134">
                  <c:v>223.87211385683412</c:v>
                </c:pt>
                <c:pt idx="135">
                  <c:v>229.08676527677744</c:v>
                </c:pt>
                <c:pt idx="136">
                  <c:v>234.42288153199232</c:v>
                </c:pt>
                <c:pt idx="137">
                  <c:v>239.88329190194912</c:v>
                </c:pt>
                <c:pt idx="138">
                  <c:v>245.4708915685033</c:v>
                </c:pt>
                <c:pt idx="139">
                  <c:v>251.18864315095806</c:v>
                </c:pt>
                <c:pt idx="140">
                  <c:v>257.03957827688663</c:v>
                </c:pt>
                <c:pt idx="141">
                  <c:v>263.02679918953817</c:v>
                </c:pt>
                <c:pt idx="142">
                  <c:v>269.15348039269179</c:v>
                </c:pt>
                <c:pt idx="143">
                  <c:v>275.42287033381683</c:v>
                </c:pt>
                <c:pt idx="144">
                  <c:v>281.83829312644554</c:v>
                </c:pt>
                <c:pt idx="145">
                  <c:v>288.40315031266073</c:v>
                </c:pt>
                <c:pt idx="146">
                  <c:v>295.12092266663871</c:v>
                </c:pt>
                <c:pt idx="147">
                  <c:v>301.99517204020168</c:v>
                </c:pt>
                <c:pt idx="148">
                  <c:v>309.02954325135937</c:v>
                </c:pt>
                <c:pt idx="149">
                  <c:v>316.22776601683825</c:v>
                </c:pt>
                <c:pt idx="150">
                  <c:v>323.59365692962825</c:v>
                </c:pt>
                <c:pt idx="151">
                  <c:v>331.13112148259137</c:v>
                </c:pt>
                <c:pt idx="152">
                  <c:v>338.84415613920277</c:v>
                </c:pt>
                <c:pt idx="153">
                  <c:v>346.73685045253183</c:v>
                </c:pt>
                <c:pt idx="154">
                  <c:v>354.81338923357566</c:v>
                </c:pt>
                <c:pt idx="155">
                  <c:v>363.07805477010152</c:v>
                </c:pt>
                <c:pt idx="156">
                  <c:v>371.53522909717265</c:v>
                </c:pt>
                <c:pt idx="157">
                  <c:v>380.18939632056163</c:v>
                </c:pt>
                <c:pt idx="158">
                  <c:v>389.04514499428063</c:v>
                </c:pt>
                <c:pt idx="159">
                  <c:v>398.10717055349761</c:v>
                </c:pt>
                <c:pt idx="160">
                  <c:v>407.38027780411272</c:v>
                </c:pt>
                <c:pt idx="161">
                  <c:v>416.86938347033572</c:v>
                </c:pt>
                <c:pt idx="162">
                  <c:v>426.57951880159294</c:v>
                </c:pt>
                <c:pt idx="163">
                  <c:v>436.51583224016622</c:v>
                </c:pt>
                <c:pt idx="164">
                  <c:v>446.68359215096331</c:v>
                </c:pt>
                <c:pt idx="165">
                  <c:v>457.0881896148756</c:v>
                </c:pt>
                <c:pt idx="166">
                  <c:v>467.7351412871983</c:v>
                </c:pt>
                <c:pt idx="167">
                  <c:v>478.63009232263886</c:v>
                </c:pt>
                <c:pt idx="168">
                  <c:v>489.77881936844625</c:v>
                </c:pt>
                <c:pt idx="169">
                  <c:v>501.18723362727269</c:v>
                </c:pt>
                <c:pt idx="170">
                  <c:v>512.86138399136519</c:v>
                </c:pt>
                <c:pt idx="171">
                  <c:v>524.80746024977248</c:v>
                </c:pt>
                <c:pt idx="172">
                  <c:v>537.03179637025301</c:v>
                </c:pt>
                <c:pt idx="173">
                  <c:v>549.54087385762534</c:v>
                </c:pt>
                <c:pt idx="174">
                  <c:v>562.34132519034927</c:v>
                </c:pt>
                <c:pt idx="175">
                  <c:v>575.43993733715706</c:v>
                </c:pt>
                <c:pt idx="176">
                  <c:v>588.84365535558959</c:v>
                </c:pt>
                <c:pt idx="177">
                  <c:v>602.55958607435832</c:v>
                </c:pt>
                <c:pt idx="178">
                  <c:v>616.59500186148273</c:v>
                </c:pt>
                <c:pt idx="179">
                  <c:v>630.95734448019323</c:v>
                </c:pt>
                <c:pt idx="180">
                  <c:v>645.65422903465594</c:v>
                </c:pt>
                <c:pt idx="181">
                  <c:v>660.69344800759643</c:v>
                </c:pt>
                <c:pt idx="182">
                  <c:v>676.08297539198213</c:v>
                </c:pt>
                <c:pt idx="183">
                  <c:v>691.83097091893671</c:v>
                </c:pt>
                <c:pt idx="184">
                  <c:v>707.94578438413873</c:v>
                </c:pt>
                <c:pt idx="185">
                  <c:v>724.43596007499025</c:v>
                </c:pt>
                <c:pt idx="186">
                  <c:v>741.31024130091828</c:v>
                </c:pt>
                <c:pt idx="187">
                  <c:v>758.57757502918378</c:v>
                </c:pt>
                <c:pt idx="188">
                  <c:v>776.24711662869231</c:v>
                </c:pt>
                <c:pt idx="189">
                  <c:v>794.32823472428208</c:v>
                </c:pt>
                <c:pt idx="190">
                  <c:v>812.83051616409978</c:v>
                </c:pt>
                <c:pt idx="191">
                  <c:v>831.7637711026714</c:v>
                </c:pt>
                <c:pt idx="192">
                  <c:v>851.13803820237763</c:v>
                </c:pt>
                <c:pt idx="193">
                  <c:v>870.96358995608091</c:v>
                </c:pt>
                <c:pt idx="194">
                  <c:v>891.25093813374656</c:v>
                </c:pt>
                <c:pt idx="195">
                  <c:v>912.01083935590987</c:v>
                </c:pt>
                <c:pt idx="196">
                  <c:v>933.25430079699106</c:v>
                </c:pt>
                <c:pt idx="197">
                  <c:v>954.99258602143675</c:v>
                </c:pt>
                <c:pt idx="198">
                  <c:v>977.23722095581138</c:v>
                </c:pt>
                <c:pt idx="199">
                  <c:v>1000</c:v>
                </c:pt>
                <c:pt idx="200">
                  <c:v>1023.2929922807547</c:v>
                </c:pt>
                <c:pt idx="201">
                  <c:v>1047.1285480509</c:v>
                </c:pt>
                <c:pt idx="202">
                  <c:v>1071.5193052376069</c:v>
                </c:pt>
                <c:pt idx="203">
                  <c:v>1096.4781961431863</c:v>
                </c:pt>
                <c:pt idx="204">
                  <c:v>1122.0184543019636</c:v>
                </c:pt>
                <c:pt idx="205">
                  <c:v>1148.1536214968839</c:v>
                </c:pt>
                <c:pt idx="206">
                  <c:v>1174.8975549395295</c:v>
                </c:pt>
                <c:pt idx="207">
                  <c:v>1202.2644346174138</c:v>
                </c:pt>
                <c:pt idx="208">
                  <c:v>1230.2687708123824</c:v>
                </c:pt>
                <c:pt idx="209">
                  <c:v>1258.925411794168</c:v>
                </c:pt>
                <c:pt idx="210">
                  <c:v>1288.2495516931347</c:v>
                </c:pt>
                <c:pt idx="211">
                  <c:v>1318.2567385564089</c:v>
                </c:pt>
                <c:pt idx="212">
                  <c:v>1348.9628825916541</c:v>
                </c:pt>
                <c:pt idx="213">
                  <c:v>1380.3842646028863</c:v>
                </c:pt>
                <c:pt idx="214">
                  <c:v>1412.5375446227545</c:v>
                </c:pt>
                <c:pt idx="215">
                  <c:v>1445.4397707459289</c:v>
                </c:pt>
                <c:pt idx="216">
                  <c:v>1479.1083881682086</c:v>
                </c:pt>
                <c:pt idx="217">
                  <c:v>1513.5612484362093</c:v>
                </c:pt>
                <c:pt idx="218">
                  <c:v>1548.8166189124822</c:v>
                </c:pt>
                <c:pt idx="219">
                  <c:v>1584.8931924611156</c:v>
                </c:pt>
                <c:pt idx="220">
                  <c:v>1621.8100973589308</c:v>
                </c:pt>
                <c:pt idx="221">
                  <c:v>1659.5869074375626</c:v>
                </c:pt>
                <c:pt idx="222">
                  <c:v>1698.2436524617447</c:v>
                </c:pt>
                <c:pt idx="223">
                  <c:v>1737.8008287493772</c:v>
                </c:pt>
                <c:pt idx="224">
                  <c:v>1778.2794100389244</c:v>
                </c:pt>
                <c:pt idx="225">
                  <c:v>1819.7008586099832</c:v>
                </c:pt>
                <c:pt idx="226">
                  <c:v>1862.0871366628687</c:v>
                </c:pt>
                <c:pt idx="227">
                  <c:v>1905.4607179632501</c:v>
                </c:pt>
                <c:pt idx="228">
                  <c:v>1949.8445997580463</c:v>
                </c:pt>
                <c:pt idx="229">
                  <c:v>1995.2623149688804</c:v>
                </c:pt>
                <c:pt idx="230">
                  <c:v>2041.7379446695318</c:v>
                </c:pt>
                <c:pt idx="231">
                  <c:v>2089.2961308540398</c:v>
                </c:pt>
                <c:pt idx="232">
                  <c:v>2137.9620895022344</c:v>
                </c:pt>
                <c:pt idx="233">
                  <c:v>2187.7616239495528</c:v>
                </c:pt>
                <c:pt idx="234">
                  <c:v>2238.7211385683418</c:v>
                </c:pt>
                <c:pt idx="235">
                  <c:v>2290.8676527677749</c:v>
                </c:pt>
                <c:pt idx="236">
                  <c:v>2344.2288153199238</c:v>
                </c:pt>
                <c:pt idx="237">
                  <c:v>2398.8329190194918</c:v>
                </c:pt>
                <c:pt idx="238">
                  <c:v>2454.7089156850338</c:v>
                </c:pt>
                <c:pt idx="239">
                  <c:v>2511.8864315095811</c:v>
                </c:pt>
                <c:pt idx="240">
                  <c:v>2570.3957827688669</c:v>
                </c:pt>
                <c:pt idx="241">
                  <c:v>2630.2679918953822</c:v>
                </c:pt>
                <c:pt idx="242">
                  <c:v>2691.5348039269184</c:v>
                </c:pt>
                <c:pt idx="243">
                  <c:v>2754.228703338169</c:v>
                </c:pt>
                <c:pt idx="244">
                  <c:v>2818.3829312644561</c:v>
                </c:pt>
                <c:pt idx="245">
                  <c:v>2884.0315031266077</c:v>
                </c:pt>
                <c:pt idx="246">
                  <c:v>2951.2092266663876</c:v>
                </c:pt>
                <c:pt idx="247">
                  <c:v>3019.9517204020176</c:v>
                </c:pt>
                <c:pt idx="248">
                  <c:v>3090.295432513592</c:v>
                </c:pt>
                <c:pt idx="249">
                  <c:v>3162.2776601683804</c:v>
                </c:pt>
                <c:pt idx="250">
                  <c:v>3235.9365692962833</c:v>
                </c:pt>
                <c:pt idx="251">
                  <c:v>3311.3112148259115</c:v>
                </c:pt>
                <c:pt idx="252">
                  <c:v>3388.4415613920314</c:v>
                </c:pt>
                <c:pt idx="253">
                  <c:v>3467.3685045253224</c:v>
                </c:pt>
                <c:pt idx="254">
                  <c:v>3548.1338923357539</c:v>
                </c:pt>
                <c:pt idx="255">
                  <c:v>3630.7805477010188</c:v>
                </c:pt>
                <c:pt idx="256">
                  <c:v>3715.352290971724</c:v>
                </c:pt>
                <c:pt idx="257">
                  <c:v>3801.8939632056172</c:v>
                </c:pt>
                <c:pt idx="258">
                  <c:v>3890.451449942811</c:v>
                </c:pt>
                <c:pt idx="259">
                  <c:v>3981.0717055349769</c:v>
                </c:pt>
                <c:pt idx="260">
                  <c:v>4073.8027780411317</c:v>
                </c:pt>
                <c:pt idx="261">
                  <c:v>4168.6938347033583</c:v>
                </c:pt>
                <c:pt idx="262">
                  <c:v>4265.7951880159299</c:v>
                </c:pt>
                <c:pt idx="263">
                  <c:v>4365.1583224016631</c:v>
                </c:pt>
                <c:pt idx="264">
                  <c:v>4466.8359215096343</c:v>
                </c:pt>
                <c:pt idx="265">
                  <c:v>4570.8818961487532</c:v>
                </c:pt>
                <c:pt idx="266">
                  <c:v>4677.3514128719844</c:v>
                </c:pt>
                <c:pt idx="267">
                  <c:v>4786.3009232263848</c:v>
                </c:pt>
                <c:pt idx="268">
                  <c:v>4897.7881936844633</c:v>
                </c:pt>
                <c:pt idx="269">
                  <c:v>5011.8723362727324</c:v>
                </c:pt>
                <c:pt idx="270">
                  <c:v>5128.6138399136489</c:v>
                </c:pt>
                <c:pt idx="271">
                  <c:v>5248.0746024977261</c:v>
                </c:pt>
                <c:pt idx="272">
                  <c:v>5370.3179637025269</c:v>
                </c:pt>
                <c:pt idx="273">
                  <c:v>5495.4087385762541</c:v>
                </c:pt>
                <c:pt idx="274">
                  <c:v>5623.4132519034993</c:v>
                </c:pt>
                <c:pt idx="275">
                  <c:v>5754.399373371567</c:v>
                </c:pt>
                <c:pt idx="276">
                  <c:v>5888.4365535558973</c:v>
                </c:pt>
                <c:pt idx="277">
                  <c:v>6025.595860743585</c:v>
                </c:pt>
                <c:pt idx="278">
                  <c:v>6165.9500186148289</c:v>
                </c:pt>
                <c:pt idx="279">
                  <c:v>6309.5734448019384</c:v>
                </c:pt>
                <c:pt idx="280">
                  <c:v>6456.5422903465615</c:v>
                </c:pt>
                <c:pt idx="281">
                  <c:v>6606.9344800759654</c:v>
                </c:pt>
                <c:pt idx="282">
                  <c:v>6760.8297539198229</c:v>
                </c:pt>
                <c:pt idx="283">
                  <c:v>6918.3097091893687</c:v>
                </c:pt>
                <c:pt idx="284">
                  <c:v>7079.4578438413828</c:v>
                </c:pt>
                <c:pt idx="285">
                  <c:v>7244.3596007499036</c:v>
                </c:pt>
                <c:pt idx="286">
                  <c:v>7413.1024130091773</c:v>
                </c:pt>
                <c:pt idx="287">
                  <c:v>7585.7757502918394</c:v>
                </c:pt>
                <c:pt idx="288">
                  <c:v>7762.4711662869322</c:v>
                </c:pt>
                <c:pt idx="289">
                  <c:v>7943.2823472428154</c:v>
                </c:pt>
                <c:pt idx="290">
                  <c:v>8128.3051616410066</c:v>
                </c:pt>
                <c:pt idx="291">
                  <c:v>8317.6377110267094</c:v>
                </c:pt>
                <c:pt idx="292">
                  <c:v>8511.3803820237772</c:v>
                </c:pt>
                <c:pt idx="293">
                  <c:v>8709.6358995608189</c:v>
                </c:pt>
                <c:pt idx="294">
                  <c:v>8912.5093813374679</c:v>
                </c:pt>
                <c:pt idx="295">
                  <c:v>9120.1083935591087</c:v>
                </c:pt>
                <c:pt idx="296">
                  <c:v>9332.5430079699217</c:v>
                </c:pt>
                <c:pt idx="297">
                  <c:v>9549.9258602143691</c:v>
                </c:pt>
                <c:pt idx="298">
                  <c:v>9772.3722095581161</c:v>
                </c:pt>
                <c:pt idx="299">
                  <c:v>10000</c:v>
                </c:pt>
                <c:pt idx="300">
                  <c:v>10232.929922807549</c:v>
                </c:pt>
                <c:pt idx="301">
                  <c:v>10471.285480509003</c:v>
                </c:pt>
                <c:pt idx="302">
                  <c:v>10715.193052376071</c:v>
                </c:pt>
                <c:pt idx="303">
                  <c:v>10964.781961431856</c:v>
                </c:pt>
                <c:pt idx="304">
                  <c:v>11220.184543019639</c:v>
                </c:pt>
                <c:pt idx="305">
                  <c:v>11481.536214968832</c:v>
                </c:pt>
                <c:pt idx="306">
                  <c:v>11748.975549395318</c:v>
                </c:pt>
                <c:pt idx="307">
                  <c:v>12022.644346174151</c:v>
                </c:pt>
                <c:pt idx="308">
                  <c:v>12302.687708123816</c:v>
                </c:pt>
                <c:pt idx="309">
                  <c:v>12589.254117941671</c:v>
                </c:pt>
                <c:pt idx="310">
                  <c:v>12882.49551693136</c:v>
                </c:pt>
                <c:pt idx="311">
                  <c:v>13182.567385564091</c:v>
                </c:pt>
                <c:pt idx="312">
                  <c:v>13489.628825916556</c:v>
                </c:pt>
                <c:pt idx="313">
                  <c:v>13803.842646028841</c:v>
                </c:pt>
                <c:pt idx="314">
                  <c:v>14125.375446227561</c:v>
                </c:pt>
                <c:pt idx="315">
                  <c:v>14454.397707459291</c:v>
                </c:pt>
                <c:pt idx="316">
                  <c:v>14791.083881682089</c:v>
                </c:pt>
                <c:pt idx="317">
                  <c:v>15135.612484362096</c:v>
                </c:pt>
                <c:pt idx="318">
                  <c:v>15488.166189124853</c:v>
                </c:pt>
                <c:pt idx="319">
                  <c:v>15848.931924611146</c:v>
                </c:pt>
                <c:pt idx="320">
                  <c:v>16218.100973589309</c:v>
                </c:pt>
                <c:pt idx="321">
                  <c:v>16595.869074375616</c:v>
                </c:pt>
                <c:pt idx="322">
                  <c:v>16982.436524617482</c:v>
                </c:pt>
                <c:pt idx="323">
                  <c:v>17378.008287493791</c:v>
                </c:pt>
                <c:pt idx="324">
                  <c:v>17782.794100389234</c:v>
                </c:pt>
                <c:pt idx="325">
                  <c:v>18197.008586099837</c:v>
                </c:pt>
                <c:pt idx="326">
                  <c:v>18620.871366628675</c:v>
                </c:pt>
                <c:pt idx="327">
                  <c:v>19054.607179632505</c:v>
                </c:pt>
                <c:pt idx="328">
                  <c:v>19498.445997580486</c:v>
                </c:pt>
                <c:pt idx="329">
                  <c:v>19952.623149688792</c:v>
                </c:pt>
                <c:pt idx="330">
                  <c:v>20417.379446695286</c:v>
                </c:pt>
                <c:pt idx="331">
                  <c:v>20892.961308540423</c:v>
                </c:pt>
                <c:pt idx="332">
                  <c:v>21379.620895022348</c:v>
                </c:pt>
                <c:pt idx="333">
                  <c:v>21877.61623949555</c:v>
                </c:pt>
                <c:pt idx="334">
                  <c:v>22387.211385683382</c:v>
                </c:pt>
                <c:pt idx="335">
                  <c:v>22908.676527677751</c:v>
                </c:pt>
                <c:pt idx="336">
                  <c:v>23442.288153199243</c:v>
                </c:pt>
                <c:pt idx="337">
                  <c:v>23988.329190194923</c:v>
                </c:pt>
                <c:pt idx="338">
                  <c:v>24547.089156850321</c:v>
                </c:pt>
                <c:pt idx="339">
                  <c:v>25118.86431509586</c:v>
                </c:pt>
                <c:pt idx="340">
                  <c:v>25703.95782768865</c:v>
                </c:pt>
                <c:pt idx="341">
                  <c:v>26302.679918953829</c:v>
                </c:pt>
                <c:pt idx="342">
                  <c:v>26915.348039269167</c:v>
                </c:pt>
                <c:pt idx="343">
                  <c:v>27542.287033381719</c:v>
                </c:pt>
                <c:pt idx="344">
                  <c:v>28183.829312644593</c:v>
                </c:pt>
                <c:pt idx="345">
                  <c:v>28840.315031266062</c:v>
                </c:pt>
                <c:pt idx="346">
                  <c:v>29512.092266663854</c:v>
                </c:pt>
                <c:pt idx="347">
                  <c:v>30199.517204020212</c:v>
                </c:pt>
                <c:pt idx="348">
                  <c:v>30902.954325135954</c:v>
                </c:pt>
                <c:pt idx="349">
                  <c:v>31622.77660168384</c:v>
                </c:pt>
                <c:pt idx="350">
                  <c:v>32359.365692962871</c:v>
                </c:pt>
                <c:pt idx="351">
                  <c:v>33113.11214825909</c:v>
                </c:pt>
                <c:pt idx="352">
                  <c:v>33884.41561392029</c:v>
                </c:pt>
                <c:pt idx="353">
                  <c:v>34673.685045253202</c:v>
                </c:pt>
                <c:pt idx="354">
                  <c:v>35481.33892335758</c:v>
                </c:pt>
                <c:pt idx="355">
                  <c:v>36307.805477010232</c:v>
                </c:pt>
                <c:pt idx="356">
                  <c:v>37153.522909717351</c:v>
                </c:pt>
                <c:pt idx="357">
                  <c:v>38018.939632056143</c:v>
                </c:pt>
                <c:pt idx="358">
                  <c:v>38904.514499428085</c:v>
                </c:pt>
                <c:pt idx="359">
                  <c:v>39810.717055349742</c:v>
                </c:pt>
                <c:pt idx="360">
                  <c:v>40738.027780411358</c:v>
                </c:pt>
                <c:pt idx="361">
                  <c:v>41686.938347033625</c:v>
                </c:pt>
                <c:pt idx="362">
                  <c:v>42657.951880159271</c:v>
                </c:pt>
                <c:pt idx="363">
                  <c:v>43651.583224016598</c:v>
                </c:pt>
                <c:pt idx="364">
                  <c:v>44668.359215096389</c:v>
                </c:pt>
                <c:pt idx="365">
                  <c:v>45708.818961487581</c:v>
                </c:pt>
                <c:pt idx="366">
                  <c:v>46773.514128719893</c:v>
                </c:pt>
                <c:pt idx="367">
                  <c:v>47863.009232263823</c:v>
                </c:pt>
                <c:pt idx="368">
                  <c:v>48977.881936844598</c:v>
                </c:pt>
                <c:pt idx="369">
                  <c:v>50118.723362727294</c:v>
                </c:pt>
                <c:pt idx="370">
                  <c:v>51286.138399136544</c:v>
                </c:pt>
                <c:pt idx="371">
                  <c:v>52480.746024977314</c:v>
                </c:pt>
                <c:pt idx="372">
                  <c:v>53703.179637025423</c:v>
                </c:pt>
                <c:pt idx="373">
                  <c:v>54954.087385762505</c:v>
                </c:pt>
                <c:pt idx="374">
                  <c:v>56234.132519034953</c:v>
                </c:pt>
                <c:pt idx="375">
                  <c:v>57543.993733715732</c:v>
                </c:pt>
                <c:pt idx="376">
                  <c:v>58884.365535558936</c:v>
                </c:pt>
                <c:pt idx="377">
                  <c:v>60255.95860743591</c:v>
                </c:pt>
                <c:pt idx="378">
                  <c:v>61659.500186148245</c:v>
                </c:pt>
                <c:pt idx="379">
                  <c:v>63095.734448019342</c:v>
                </c:pt>
                <c:pt idx="380">
                  <c:v>64565.422903465682</c:v>
                </c:pt>
                <c:pt idx="381">
                  <c:v>66069.344800759733</c:v>
                </c:pt>
                <c:pt idx="382">
                  <c:v>67608.297539198305</c:v>
                </c:pt>
                <c:pt idx="383">
                  <c:v>69183.097091893651</c:v>
                </c:pt>
                <c:pt idx="384">
                  <c:v>70794.578438413781</c:v>
                </c:pt>
                <c:pt idx="385">
                  <c:v>72443.596007499116</c:v>
                </c:pt>
                <c:pt idx="386">
                  <c:v>74131.024130091857</c:v>
                </c:pt>
                <c:pt idx="387">
                  <c:v>75857.757502918481</c:v>
                </c:pt>
                <c:pt idx="388">
                  <c:v>77624.711662869129</c:v>
                </c:pt>
                <c:pt idx="389">
                  <c:v>79432.823472428237</c:v>
                </c:pt>
                <c:pt idx="390">
                  <c:v>81283.051616410012</c:v>
                </c:pt>
                <c:pt idx="391">
                  <c:v>83176.377110267174</c:v>
                </c:pt>
                <c:pt idx="392">
                  <c:v>85113.803820237721</c:v>
                </c:pt>
                <c:pt idx="393">
                  <c:v>87096.358995608127</c:v>
                </c:pt>
                <c:pt idx="394">
                  <c:v>89125.093813374609</c:v>
                </c:pt>
                <c:pt idx="395">
                  <c:v>91201.083935591028</c:v>
                </c:pt>
                <c:pt idx="396">
                  <c:v>93325.430079699145</c:v>
                </c:pt>
                <c:pt idx="397">
                  <c:v>95499.258602143804</c:v>
                </c:pt>
                <c:pt idx="398">
                  <c:v>97723.722095581266</c:v>
                </c:pt>
                <c:pt idx="399">
                  <c:v>100000</c:v>
                </c:pt>
                <c:pt idx="400">
                  <c:v>102329.29922807543</c:v>
                </c:pt>
                <c:pt idx="401">
                  <c:v>104712.85480508996</c:v>
                </c:pt>
                <c:pt idx="402">
                  <c:v>107151.93052376082</c:v>
                </c:pt>
                <c:pt idx="403">
                  <c:v>109647.81961431868</c:v>
                </c:pt>
                <c:pt idx="404">
                  <c:v>112201.84543019651</c:v>
                </c:pt>
                <c:pt idx="405">
                  <c:v>114815.36214968823</c:v>
                </c:pt>
                <c:pt idx="406">
                  <c:v>117489.75549395311</c:v>
                </c:pt>
                <c:pt idx="407">
                  <c:v>120226.44346174144</c:v>
                </c:pt>
                <c:pt idx="408">
                  <c:v>123026.87708123829</c:v>
                </c:pt>
                <c:pt idx="409">
                  <c:v>125892.54117941685</c:v>
                </c:pt>
                <c:pt idx="410">
                  <c:v>128824.95516931375</c:v>
                </c:pt>
                <c:pt idx="411">
                  <c:v>131825.67385564081</c:v>
                </c:pt>
                <c:pt idx="412">
                  <c:v>134896.28825916545</c:v>
                </c:pt>
                <c:pt idx="413">
                  <c:v>138038.42646028858</c:v>
                </c:pt>
                <c:pt idx="414">
                  <c:v>141253.75446227577</c:v>
                </c:pt>
                <c:pt idx="415">
                  <c:v>144543.97707459307</c:v>
                </c:pt>
                <c:pt idx="416">
                  <c:v>147910.83881682079</c:v>
                </c:pt>
                <c:pt idx="417">
                  <c:v>151356.12484362084</c:v>
                </c:pt>
                <c:pt idx="418">
                  <c:v>154881.66189124843</c:v>
                </c:pt>
                <c:pt idx="419">
                  <c:v>158489.31924611164</c:v>
                </c:pt>
                <c:pt idx="420">
                  <c:v>162181.00973589328</c:v>
                </c:pt>
                <c:pt idx="421">
                  <c:v>165958.69074375604</c:v>
                </c:pt>
                <c:pt idx="422">
                  <c:v>169824.36524617471</c:v>
                </c:pt>
                <c:pt idx="423">
                  <c:v>173780.0828749378</c:v>
                </c:pt>
                <c:pt idx="424">
                  <c:v>177827.94100389251</c:v>
                </c:pt>
                <c:pt idx="425">
                  <c:v>181970.08586099857</c:v>
                </c:pt>
                <c:pt idx="426">
                  <c:v>186208.71366628664</c:v>
                </c:pt>
                <c:pt idx="427">
                  <c:v>190546.07179632492</c:v>
                </c:pt>
                <c:pt idx="428">
                  <c:v>194984.45997580473</c:v>
                </c:pt>
                <c:pt idx="429">
                  <c:v>199526.23149688813</c:v>
                </c:pt>
                <c:pt idx="430">
                  <c:v>204173.79446695308</c:v>
                </c:pt>
                <c:pt idx="431">
                  <c:v>208929.61308540447</c:v>
                </c:pt>
                <c:pt idx="432">
                  <c:v>213796.20895022334</c:v>
                </c:pt>
                <c:pt idx="433">
                  <c:v>218776.16239495538</c:v>
                </c:pt>
                <c:pt idx="434">
                  <c:v>223872.11385683404</c:v>
                </c:pt>
                <c:pt idx="435">
                  <c:v>229086.76527677779</c:v>
                </c:pt>
                <c:pt idx="436">
                  <c:v>234422.88153199267</c:v>
                </c:pt>
                <c:pt idx="437">
                  <c:v>239883.29190194907</c:v>
                </c:pt>
                <c:pt idx="438">
                  <c:v>245470.89156850305</c:v>
                </c:pt>
                <c:pt idx="439">
                  <c:v>251188.64315095844</c:v>
                </c:pt>
                <c:pt idx="440">
                  <c:v>257039.57827688678</c:v>
                </c:pt>
                <c:pt idx="441">
                  <c:v>263026.79918953858</c:v>
                </c:pt>
                <c:pt idx="442">
                  <c:v>269153.48039269145</c:v>
                </c:pt>
                <c:pt idx="443">
                  <c:v>275422.87033381703</c:v>
                </c:pt>
                <c:pt idx="444">
                  <c:v>281838.29312644573</c:v>
                </c:pt>
                <c:pt idx="445">
                  <c:v>288403.1503126609</c:v>
                </c:pt>
                <c:pt idx="446">
                  <c:v>295120.92266663886</c:v>
                </c:pt>
                <c:pt idx="447">
                  <c:v>301995.17204020242</c:v>
                </c:pt>
                <c:pt idx="448">
                  <c:v>309029.54325135931</c:v>
                </c:pt>
                <c:pt idx="449">
                  <c:v>316227.7660168382</c:v>
                </c:pt>
                <c:pt idx="450">
                  <c:v>323593.65692962846</c:v>
                </c:pt>
                <c:pt idx="451">
                  <c:v>331131.12148259126</c:v>
                </c:pt>
                <c:pt idx="452">
                  <c:v>338844.15613920329</c:v>
                </c:pt>
                <c:pt idx="453">
                  <c:v>346736.85045253241</c:v>
                </c:pt>
                <c:pt idx="454">
                  <c:v>354813.38923357555</c:v>
                </c:pt>
                <c:pt idx="455">
                  <c:v>363078.05477010203</c:v>
                </c:pt>
                <c:pt idx="456">
                  <c:v>371535.2290971732</c:v>
                </c:pt>
                <c:pt idx="457">
                  <c:v>380189.39632056188</c:v>
                </c:pt>
                <c:pt idx="458">
                  <c:v>389045.14499428123</c:v>
                </c:pt>
                <c:pt idx="459">
                  <c:v>398107.17055349716</c:v>
                </c:pt>
                <c:pt idx="460">
                  <c:v>407380.27780411334</c:v>
                </c:pt>
                <c:pt idx="461">
                  <c:v>416869.38347033598</c:v>
                </c:pt>
                <c:pt idx="462">
                  <c:v>426579.51880159322</c:v>
                </c:pt>
                <c:pt idx="463">
                  <c:v>436515.83224016649</c:v>
                </c:pt>
                <c:pt idx="464">
                  <c:v>446683.59215096442</c:v>
                </c:pt>
                <c:pt idx="465">
                  <c:v>457088.18961487547</c:v>
                </c:pt>
                <c:pt idx="466">
                  <c:v>467735.14128719864</c:v>
                </c:pt>
                <c:pt idx="467">
                  <c:v>478630.09232263872</c:v>
                </c:pt>
                <c:pt idx="468">
                  <c:v>489778.81936844654</c:v>
                </c:pt>
                <c:pt idx="469">
                  <c:v>501187.23362727347</c:v>
                </c:pt>
                <c:pt idx="470">
                  <c:v>512861.38399136515</c:v>
                </c:pt>
                <c:pt idx="471">
                  <c:v>524807.46024977288</c:v>
                </c:pt>
                <c:pt idx="472">
                  <c:v>537031.7963702539</c:v>
                </c:pt>
                <c:pt idx="473">
                  <c:v>549540.87385762564</c:v>
                </c:pt>
                <c:pt idx="474">
                  <c:v>562341.32519035018</c:v>
                </c:pt>
                <c:pt idx="475">
                  <c:v>575439.93733715697</c:v>
                </c:pt>
                <c:pt idx="476">
                  <c:v>588843.65535558888</c:v>
                </c:pt>
                <c:pt idx="477">
                  <c:v>602559.58607435878</c:v>
                </c:pt>
                <c:pt idx="478">
                  <c:v>616595.00186148309</c:v>
                </c:pt>
                <c:pt idx="479">
                  <c:v>630957.34448019415</c:v>
                </c:pt>
                <c:pt idx="480">
                  <c:v>645654.22903465747</c:v>
                </c:pt>
                <c:pt idx="481">
                  <c:v>660693.44800759677</c:v>
                </c:pt>
                <c:pt idx="482">
                  <c:v>676082.97539198259</c:v>
                </c:pt>
                <c:pt idx="483">
                  <c:v>691830.97091893724</c:v>
                </c:pt>
                <c:pt idx="484">
                  <c:v>707945.78438413853</c:v>
                </c:pt>
                <c:pt idx="485">
                  <c:v>724435.96007499192</c:v>
                </c:pt>
                <c:pt idx="486">
                  <c:v>741310.24130091805</c:v>
                </c:pt>
                <c:pt idx="487">
                  <c:v>758577.57502918423</c:v>
                </c:pt>
                <c:pt idx="488">
                  <c:v>776247.11662869214</c:v>
                </c:pt>
                <c:pt idx="489">
                  <c:v>794328.23472428333</c:v>
                </c:pt>
                <c:pt idx="490">
                  <c:v>812830.51616410096</c:v>
                </c:pt>
                <c:pt idx="491">
                  <c:v>831763.77110267128</c:v>
                </c:pt>
                <c:pt idx="492">
                  <c:v>851138.03820237669</c:v>
                </c:pt>
                <c:pt idx="493">
                  <c:v>870963.58995608077</c:v>
                </c:pt>
                <c:pt idx="494">
                  <c:v>891250.93813374708</c:v>
                </c:pt>
                <c:pt idx="495">
                  <c:v>912010.83935591124</c:v>
                </c:pt>
                <c:pt idx="496">
                  <c:v>933254.30079699249</c:v>
                </c:pt>
                <c:pt idx="497">
                  <c:v>954992.58602143743</c:v>
                </c:pt>
                <c:pt idx="498">
                  <c:v>977237.22095581202</c:v>
                </c:pt>
                <c:pt idx="499">
                  <c:v>1000000</c:v>
                </c:pt>
                <c:pt idx="500">
                  <c:v>1023292.9922807553</c:v>
                </c:pt>
                <c:pt idx="501">
                  <c:v>1047128.5480509007</c:v>
                </c:pt>
                <c:pt idx="502">
                  <c:v>1071519.3052376076</c:v>
                </c:pt>
                <c:pt idx="503">
                  <c:v>1096478.196143186</c:v>
                </c:pt>
                <c:pt idx="504">
                  <c:v>1122018.4543019643</c:v>
                </c:pt>
                <c:pt idx="505">
                  <c:v>1148153.6214968837</c:v>
                </c:pt>
                <c:pt idx="506">
                  <c:v>1174897.5549395324</c:v>
                </c:pt>
                <c:pt idx="507">
                  <c:v>1202264.4346174158</c:v>
                </c:pt>
                <c:pt idx="508">
                  <c:v>1230268.770812382</c:v>
                </c:pt>
                <c:pt idx="509">
                  <c:v>1258925.4117941677</c:v>
                </c:pt>
                <c:pt idx="510">
                  <c:v>1288249.5516931366</c:v>
                </c:pt>
                <c:pt idx="511">
                  <c:v>1318256.7385564097</c:v>
                </c:pt>
                <c:pt idx="512">
                  <c:v>1348962.8825916562</c:v>
                </c:pt>
                <c:pt idx="513">
                  <c:v>1380384.2646028849</c:v>
                </c:pt>
                <c:pt idx="514">
                  <c:v>1412537.5446227565</c:v>
                </c:pt>
                <c:pt idx="515">
                  <c:v>1445439.7707459298</c:v>
                </c:pt>
                <c:pt idx="516">
                  <c:v>1479108.3881682095</c:v>
                </c:pt>
                <c:pt idx="517">
                  <c:v>1513561.2484362102</c:v>
                </c:pt>
                <c:pt idx="518">
                  <c:v>1548816.6189124861</c:v>
                </c:pt>
                <c:pt idx="519">
                  <c:v>1584893.1924611153</c:v>
                </c:pt>
                <c:pt idx="520">
                  <c:v>1621810.0973589318</c:v>
                </c:pt>
                <c:pt idx="521">
                  <c:v>1659586.9074375622</c:v>
                </c:pt>
                <c:pt idx="522">
                  <c:v>1698243.6524617488</c:v>
                </c:pt>
                <c:pt idx="523">
                  <c:v>1737800.8287493798</c:v>
                </c:pt>
                <c:pt idx="524">
                  <c:v>1778279.4100389241</c:v>
                </c:pt>
                <c:pt idx="525">
                  <c:v>1819700.8586099846</c:v>
                </c:pt>
                <c:pt idx="526">
                  <c:v>1862087.1366628683</c:v>
                </c:pt>
                <c:pt idx="527">
                  <c:v>1905460.7179632513</c:v>
                </c:pt>
                <c:pt idx="528">
                  <c:v>1949844.5997580495</c:v>
                </c:pt>
                <c:pt idx="529">
                  <c:v>1995262.31496888</c:v>
                </c:pt>
                <c:pt idx="530">
                  <c:v>2041737.9446695296</c:v>
                </c:pt>
                <c:pt idx="531">
                  <c:v>2089296.1308540432</c:v>
                </c:pt>
                <c:pt idx="532">
                  <c:v>2137962.0895022359</c:v>
                </c:pt>
                <c:pt idx="533">
                  <c:v>2187761.6239495561</c:v>
                </c:pt>
                <c:pt idx="534">
                  <c:v>2238721.1385683389</c:v>
                </c:pt>
                <c:pt idx="535">
                  <c:v>2290867.6527677765</c:v>
                </c:pt>
                <c:pt idx="536">
                  <c:v>2344228.8153199251</c:v>
                </c:pt>
                <c:pt idx="537">
                  <c:v>2398832.9190194933</c:v>
                </c:pt>
                <c:pt idx="538">
                  <c:v>2454708.915685033</c:v>
                </c:pt>
                <c:pt idx="539">
                  <c:v>2511886.431509587</c:v>
                </c:pt>
                <c:pt idx="540">
                  <c:v>2570395.782768866</c:v>
                </c:pt>
                <c:pt idx="541">
                  <c:v>2630267.9918953842</c:v>
                </c:pt>
              </c:numCache>
            </c:numRef>
          </c:xVal>
          <c:yVal>
            <c:numRef>
              <c:f>Control_Loop_Tables!$BL$19:$BL$560</c:f>
              <c:numCache>
                <c:formatCode>General</c:formatCode>
                <c:ptCount val="542"/>
                <c:pt idx="0">
                  <c:v>87.532408216588664</c:v>
                </c:pt>
                <c:pt idx="1">
                  <c:v>87.560115672199927</c:v>
                </c:pt>
                <c:pt idx="2">
                  <c:v>87.588329660134349</c:v>
                </c:pt>
                <c:pt idx="3">
                  <c:v>87.616998913534914</c:v>
                </c:pt>
                <c:pt idx="4">
                  <c:v>87.646072997994992</c:v>
                </c:pt>
                <c:pt idx="5">
                  <c:v>87.675502449525538</c:v>
                </c:pt>
                <c:pt idx="6">
                  <c:v>87.705238899041504</c:v>
                </c:pt>
                <c:pt idx="7">
                  <c:v>87.735235183388284</c:v>
                </c:pt>
                <c:pt idx="8">
                  <c:v>87.765445443054745</c:v>
                </c:pt>
                <c:pt idx="9">
                  <c:v>87.795825206831537</c:v>
                </c:pt>
                <c:pt idx="10">
                  <c:v>87.826331463785152</c:v>
                </c:pt>
                <c:pt idx="11">
                  <c:v>87.856922722996899</c:v>
                </c:pt>
                <c:pt idx="12">
                  <c:v>87.887559061591645</c:v>
                </c:pt>
                <c:pt idx="13">
                  <c:v>87.91820216164885</c:v>
                </c:pt>
                <c:pt idx="14">
                  <c:v>87.948815336622673</c:v>
                </c:pt>
                <c:pt idx="15">
                  <c:v>87.979363547947472</c:v>
                </c:pt>
                <c:pt idx="16">
                  <c:v>88.009813412518568</c:v>
                </c:pt>
                <c:pt idx="17">
                  <c:v>88.040133201758124</c:v>
                </c:pt>
                <c:pt idx="18">
                  <c:v>88.070292832977785</c:v>
                </c:pt>
                <c:pt idx="19">
                  <c:v>88.10026385374745</c:v>
                </c:pt>
                <c:pt idx="20">
                  <c:v>88.130019419967226</c:v>
                </c:pt>
                <c:pt idx="21">
                  <c:v>88.159534268324251</c:v>
                </c:pt>
                <c:pt idx="22">
                  <c:v>88.188784683792036</c:v>
                </c:pt>
                <c:pt idx="23">
                  <c:v>88.21774846280519</c:v>
                </c:pt>
                <c:pt idx="24">
                  <c:v>88.246404872708993</c:v>
                </c:pt>
                <c:pt idx="25">
                  <c:v>88.274734608055851</c:v>
                </c:pt>
                <c:pt idx="26">
                  <c:v>88.302719744280907</c:v>
                </c:pt>
                <c:pt idx="27">
                  <c:v>88.330343689255102</c:v>
                </c:pt>
                <c:pt idx="28">
                  <c:v>88.357591133180222</c:v>
                </c:pt>
                <c:pt idx="29">
                  <c:v>88.384447997248316</c:v>
                </c:pt>
                <c:pt idx="30">
                  <c:v>88.41090138145853</c:v>
                </c:pt>
                <c:pt idx="31">
                  <c:v>88.436939511940849</c:v>
                </c:pt>
                <c:pt idx="32">
                  <c:v>88.462551688110182</c:v>
                </c:pt>
                <c:pt idx="33">
                  <c:v>88.48772822993449</c:v>
                </c:pt>
                <c:pt idx="34">
                  <c:v>88.512460425571007</c:v>
                </c:pt>
                <c:pt idx="35">
                  <c:v>88.536740479596617</c:v>
                </c:pt>
                <c:pt idx="36">
                  <c:v>88.560561462025561</c:v>
                </c:pt>
                <c:pt idx="37">
                  <c:v>88.583917258285439</c:v>
                </c:pt>
                <c:pt idx="38">
                  <c:v>88.606802520293968</c:v>
                </c:pt>
                <c:pt idx="39">
                  <c:v>88.629212618759624</c:v>
                </c:pt>
                <c:pt idx="40">
                  <c:v>88.651143596804587</c:v>
                </c:pt>
                <c:pt idx="41">
                  <c:v>88.672592124989905</c:v>
                </c:pt>
                <c:pt idx="42">
                  <c:v>88.693555457809637</c:v>
                </c:pt>
                <c:pt idx="43">
                  <c:v>88.714031391696182</c:v>
                </c:pt>
                <c:pt idx="44">
                  <c:v>88.734018224573191</c:v>
                </c:pt>
                <c:pt idx="45">
                  <c:v>88.753514716973996</c:v>
                </c:pt>
                <c:pt idx="46">
                  <c:v>88.772520054734898</c:v>
                </c:pt>
                <c:pt idx="47">
                  <c:v>88.791033813261365</c:v>
                </c:pt>
                <c:pt idx="48">
                  <c:v>88.809055923356894</c:v>
                </c:pt>
                <c:pt idx="49">
                  <c:v>88.826586638595927</c:v>
                </c:pt>
                <c:pt idx="50">
                  <c:v>88.843626504217468</c:v>
                </c:pt>
                <c:pt idx="51">
                  <c:v>88.86017632750729</c:v>
                </c:pt>
                <c:pt idx="52">
                  <c:v>88.876237149635017</c:v>
                </c:pt>
                <c:pt idx="53">
                  <c:v>88.891810218906741</c:v>
                </c:pt>
                <c:pt idx="54">
                  <c:v>88.906896965391283</c:v>
                </c:pt>
                <c:pt idx="55">
                  <c:v>88.921498976874361</c:v>
                </c:pt>
                <c:pt idx="56">
                  <c:v>88.935617976096125</c:v>
                </c:pt>
                <c:pt idx="57">
                  <c:v>88.94925579922149</c:v>
                </c:pt>
                <c:pt idx="58">
                  <c:v>88.962414375497033</c:v>
                </c:pt>
                <c:pt idx="59">
                  <c:v>88.97509570804236</c:v>
                </c:pt>
                <c:pt idx="60">
                  <c:v>88.987301855728546</c:v>
                </c:pt>
                <c:pt idx="61">
                  <c:v>88.999034916092214</c:v>
                </c:pt>
                <c:pt idx="62">
                  <c:v>89.010297009237846</c:v>
                </c:pt>
                <c:pt idx="63">
                  <c:v>89.021090262678456</c:v>
                </c:pt>
                <c:pt idx="64">
                  <c:v>89.031416797068289</c:v>
                </c:pt>
                <c:pt idx="65">
                  <c:v>89.041278712778777</c:v>
                </c:pt>
                <c:pt idx="66">
                  <c:v>89.050678077274981</c:v>
                </c:pt>
                <c:pt idx="67">
                  <c:v>89.059616913245932</c:v>
                </c:pt>
                <c:pt idx="68">
                  <c:v>89.068097187447393</c:v>
                </c:pt>
                <c:pt idx="69">
                  <c:v>89.076120800214014</c:v>
                </c:pt>
                <c:pt idx="70">
                  <c:v>89.083689575602037</c:v>
                </c:pt>
                <c:pt idx="71">
                  <c:v>89.090805252123005</c:v>
                </c:pt>
                <c:pt idx="72">
                  <c:v>89.097469474031314</c:v>
                </c:pt>
                <c:pt idx="73">
                  <c:v>89.103683783130904</c:v>
                </c:pt>
                <c:pt idx="74">
                  <c:v>89.109449611064193</c:v>
                </c:pt>
                <c:pt idx="75">
                  <c:v>89.114768272054164</c:v>
                </c:pt>
                <c:pt idx="76">
                  <c:v>89.119640956064785</c:v>
                </c:pt>
                <c:pt idx="77">
                  <c:v>89.124068722351566</c:v>
                </c:pt>
                <c:pt idx="78">
                  <c:v>89.128052493374327</c:v>
                </c:pt>
                <c:pt idx="79">
                  <c:v>89.131593049042721</c:v>
                </c:pt>
                <c:pt idx="80">
                  <c:v>89.134691021270839</c:v>
                </c:pt>
                <c:pt idx="81">
                  <c:v>89.137346888815358</c:v>
                </c:pt>
                <c:pt idx="82">
                  <c:v>89.139560972373644</c:v>
                </c:pt>
                <c:pt idx="83">
                  <c:v>89.141333429920138</c:v>
                </c:pt>
                <c:pt idx="84">
                  <c:v>89.142664252259564</c:v>
                </c:pt>
                <c:pt idx="85">
                  <c:v>89.143553258777501</c:v>
                </c:pt>
                <c:pt idx="86">
                  <c:v>89.144000093368547</c:v>
                </c:pt>
                <c:pt idx="87">
                  <c:v>89.144004220525389</c:v>
                </c:pt>
                <c:pt idx="88">
                  <c:v>89.143564921570473</c:v>
                </c:pt>
                <c:pt idx="89">
                  <c:v>89.142681291015492</c:v>
                </c:pt>
                <c:pt idx="90">
                  <c:v>89.141352233032379</c:v>
                </c:pt>
                <c:pt idx="91">
                  <c:v>89.13957645802229</c:v>
                </c:pt>
                <c:pt idx="92">
                  <c:v>89.13735247926877</c:v>
                </c:pt>
                <c:pt idx="93">
                  <c:v>89.134678609661989</c:v>
                </c:pt>
                <c:pt idx="94">
                  <c:v>89.131552958482075</c:v>
                </c:pt>
                <c:pt idx="95">
                  <c:v>89.127973428230348</c:v>
                </c:pt>
                <c:pt idx="96">
                  <c:v>89.123937711497177</c:v>
                </c:pt>
                <c:pt idx="97">
                  <c:v>89.119443287856683</c:v>
                </c:pt>
                <c:pt idx="98">
                  <c:v>89.114487420777635</c:v>
                </c:pt>
                <c:pt idx="99">
                  <c:v>89.109067154543126</c:v>
                </c:pt>
                <c:pt idx="100">
                  <c:v>89.103179311168276</c:v>
                </c:pt>
                <c:pt idx="101">
                  <c:v>89.096820487309344</c:v>
                </c:pt>
                <c:pt idx="102">
                  <c:v>89.089987051155845</c:v>
                </c:pt>
                <c:pt idx="103">
                  <c:v>89.082675139298033</c:v>
                </c:pt>
                <c:pt idx="104">
                  <c:v>89.074880653563909</c:v>
                </c:pt>
                <c:pt idx="105">
                  <c:v>89.066599257817671</c:v>
                </c:pt>
                <c:pt idx="106">
                  <c:v>89.057826374714423</c:v>
                </c:pt>
                <c:pt idx="107">
                  <c:v>89.048557182404977</c:v>
                </c:pt>
                <c:pt idx="108">
                  <c:v>89.038786611185117</c:v>
                </c:pt>
                <c:pt idx="109">
                  <c:v>89.028509340083659</c:v>
                </c:pt>
                <c:pt idx="110">
                  <c:v>89.017719793385027</c:v>
                </c:pt>
                <c:pt idx="111">
                  <c:v>89.006412137080574</c:v>
                </c:pt>
                <c:pt idx="112">
                  <c:v>88.994580275245099</c:v>
                </c:pt>
                <c:pt idx="113">
                  <c:v>88.982217846333569</c:v>
                </c:pt>
                <c:pt idx="114">
                  <c:v>88.969318219393898</c:v>
                </c:pt>
                <c:pt idx="115">
                  <c:v>88.955874490192627</c:v>
                </c:pt>
                <c:pt idx="116">
                  <c:v>88.941879477248804</c:v>
                </c:pt>
                <c:pt idx="117">
                  <c:v>88.9273257177734</c:v>
                </c:pt>
                <c:pt idx="118">
                  <c:v>88.912205463510233</c:v>
                </c:pt>
                <c:pt idx="119">
                  <c:v>88.89651067647614</c:v>
                </c:pt>
                <c:pt idx="120">
                  <c:v>88.880233024596066</c:v>
                </c:pt>
                <c:pt idx="121">
                  <c:v>88.863363877231805</c:v>
                </c:pt>
                <c:pt idx="122">
                  <c:v>88.845894300600406</c:v>
                </c:pt>
                <c:pt idx="123">
                  <c:v>88.827815053080315</c:v>
                </c:pt>
                <c:pt idx="124">
                  <c:v>88.809116580403014</c:v>
                </c:pt>
                <c:pt idx="125">
                  <c:v>88.789789010727702</c:v>
                </c:pt>
                <c:pt idx="126">
                  <c:v>88.769822149596578</c:v>
                </c:pt>
                <c:pt idx="127">
                  <c:v>88.749205474769795</c:v>
                </c:pt>
                <c:pt idx="128">
                  <c:v>88.7279281309373</c:v>
                </c:pt>
                <c:pt idx="129">
                  <c:v>88.705978924306194</c:v>
                </c:pt>
                <c:pt idx="130">
                  <c:v>88.683346317062899</c:v>
                </c:pt>
                <c:pt idx="131">
                  <c:v>88.660018421707377</c:v>
                </c:pt>
                <c:pt idx="132">
                  <c:v>88.635982995259809</c:v>
                </c:pt>
                <c:pt idx="133">
                  <c:v>88.611227433337234</c:v>
                </c:pt>
                <c:pt idx="134">
                  <c:v>88.585738764100583</c:v>
                </c:pt>
                <c:pt idx="135">
                  <c:v>88.559503642070709</c:v>
                </c:pt>
                <c:pt idx="136">
                  <c:v>88.532508341812928</c:v>
                </c:pt>
                <c:pt idx="137">
                  <c:v>88.504738751490308</c:v>
                </c:pt>
                <c:pt idx="138">
                  <c:v>88.476180366284908</c:v>
                </c:pt>
                <c:pt idx="139">
                  <c:v>88.446818281687612</c:v>
                </c:pt>
                <c:pt idx="140">
                  <c:v>88.416637186656459</c:v>
                </c:pt>
                <c:pt idx="141">
                  <c:v>88.385621356644506</c:v>
                </c:pt>
                <c:pt idx="142">
                  <c:v>88.353754646496967</c:v>
                </c:pt>
                <c:pt idx="143">
                  <c:v>88.321020483220124</c:v>
                </c:pt>
                <c:pt idx="144">
                  <c:v>88.287401858621607</c:v>
                </c:pt>
                <c:pt idx="145">
                  <c:v>88.252881321824773</c:v>
                </c:pt>
                <c:pt idx="146">
                  <c:v>88.217440971658235</c:v>
                </c:pt>
                <c:pt idx="147">
                  <c:v>88.181062448922731</c:v>
                </c:pt>
                <c:pt idx="148">
                  <c:v>88.14372692853766</c:v>
                </c:pt>
                <c:pt idx="149">
                  <c:v>88.105415111570181</c:v>
                </c:pt>
                <c:pt idx="150">
                  <c:v>88.066107217148897</c:v>
                </c:pt>
                <c:pt idx="151">
                  <c:v>88.025782974266392</c:v>
                </c:pt>
                <c:pt idx="152">
                  <c:v>87.98442161347316</c:v>
                </c:pt>
                <c:pt idx="153">
                  <c:v>87.942001858467393</c:v>
                </c:pt>
                <c:pt idx="154">
                  <c:v>87.898501917585051</c:v>
                </c:pt>
                <c:pt idx="155">
                  <c:v>87.853899475192989</c:v>
                </c:pt>
                <c:pt idx="156">
                  <c:v>87.808171682992324</c:v>
                </c:pt>
                <c:pt idx="157">
                  <c:v>87.761295151235359</c:v>
                </c:pt>
                <c:pt idx="158">
                  <c:v>87.713245939862375</c:v>
                </c:pt>
                <c:pt idx="159">
                  <c:v>87.663999549563073</c:v>
                </c:pt>
                <c:pt idx="160">
                  <c:v>87.61353091276996</c:v>
                </c:pt>
                <c:pt idx="161">
                  <c:v>87.561814384589198</c:v>
                </c:pt>
                <c:pt idx="162">
                  <c:v>87.508823733674603</c:v>
                </c:pt>
                <c:pt idx="163">
                  <c:v>87.454532133053505</c:v>
                </c:pt>
                <c:pt idx="164">
                  <c:v>87.398912150909524</c:v>
                </c:pt>
                <c:pt idx="165">
                  <c:v>87.341935741329436</c:v>
                </c:pt>
                <c:pt idx="166">
                  <c:v>87.28357423502311</c:v>
                </c:pt>
                <c:pt idx="167">
                  <c:v>87.223798330020344</c:v>
                </c:pt>
                <c:pt idx="168">
                  <c:v>87.162578082354543</c:v>
                </c:pt>
                <c:pt idx="169">
                  <c:v>87.099882896738194</c:v>
                </c:pt>
                <c:pt idx="170">
                  <c:v>87.035681517237975</c:v>
                </c:pt>
                <c:pt idx="171">
                  <c:v>86.969942017954224</c:v>
                </c:pt>
                <c:pt idx="172">
                  <c:v>86.902631793712146</c:v>
                </c:pt>
                <c:pt idx="173">
                  <c:v>86.83371755076854</c:v>
                </c:pt>
                <c:pt idx="174">
                  <c:v>86.76316529753862</c:v>
                </c:pt>
                <c:pt idx="175">
                  <c:v>86.690940335346525</c:v>
                </c:pt>
                <c:pt idx="176">
                  <c:v>86.617007249201549</c:v>
                </c:pt>
                <c:pt idx="177">
                  <c:v>86.541329898599784</c:v>
                </c:pt>
                <c:pt idx="178">
                  <c:v>86.463871408352603</c:v>
                </c:pt>
                <c:pt idx="179">
                  <c:v>86.384594159435593</c:v>
                </c:pt>
                <c:pt idx="180">
                  <c:v>86.303459779857036</c:v>
                </c:pt>
                <c:pt idx="181">
                  <c:v>86.220429135534303</c:v>
                </c:pt>
                <c:pt idx="182">
                  <c:v>86.135462321171758</c:v>
                </c:pt>
                <c:pt idx="183">
                  <c:v>86.048518651123359</c:v>
                </c:pt>
                <c:pt idx="184">
                  <c:v>85.959556650225437</c:v>
                </c:pt>
                <c:pt idx="185">
                  <c:v>85.868534044577061</c:v>
                </c:pt>
                <c:pt idx="186">
                  <c:v>85.775407752243368</c:v>
                </c:pt>
                <c:pt idx="187">
                  <c:v>85.680133873853052</c:v>
                </c:pt>
                <c:pt idx="188">
                  <c:v>85.582667683052208</c:v>
                </c:pt>
                <c:pt idx="189">
                  <c:v>85.48296361677599</c:v>
                </c:pt>
                <c:pt idx="190">
                  <c:v>85.38097526529036</c:v>
                </c:pt>
                <c:pt idx="191">
                  <c:v>85.276655361950787</c:v>
                </c:pt>
                <c:pt idx="192">
                  <c:v>85.169955772617001</c:v>
                </c:pt>
                <c:pt idx="193">
                  <c:v>85.060827484658247</c:v>
                </c:pt>
                <c:pt idx="194">
                  <c:v>84.9492205954691</c:v>
                </c:pt>
                <c:pt idx="195">
                  <c:v>84.835084300418998</c:v>
                </c:pt>
                <c:pt idx="196">
                  <c:v>84.718366880137992</c:v>
                </c:pt>
                <c:pt idx="197">
                  <c:v>84.599015687042211</c:v>
                </c:pt>
                <c:pt idx="198">
                  <c:v>84.476977130987166</c:v>
                </c:pt>
                <c:pt idx="199">
                  <c:v>84.352196663935914</c:v>
                </c:pt>
                <c:pt idx="200">
                  <c:v>84.224618763509753</c:v>
                </c:pt>
                <c:pt idx="201">
                  <c:v>84.094186915293932</c:v>
                </c:pt>
                <c:pt idx="202">
                  <c:v>83.960843593749345</c:v>
                </c:pt>
                <c:pt idx="203">
                  <c:v>83.824530241587055</c:v>
                </c:pt>
                <c:pt idx="204">
                  <c:v>83.685187247443679</c:v>
                </c:pt>
                <c:pt idx="205">
                  <c:v>83.542753921699145</c:v>
                </c:pt>
                <c:pt idx="206">
                  <c:v>83.397168470270131</c:v>
                </c:pt>
                <c:pt idx="207">
                  <c:v>83.248367966208775</c:v>
                </c:pt>
                <c:pt idx="208">
                  <c:v>83.096288318938335</c:v>
                </c:pt>
                <c:pt idx="209">
                  <c:v>82.940864240953005</c:v>
                </c:pt>
                <c:pt idx="210">
                  <c:v>82.782029211821367</c:v>
                </c:pt>
                <c:pt idx="211">
                  <c:v>82.619715439324395</c:v>
                </c:pt>
                <c:pt idx="212">
                  <c:v>82.453853817584246</c:v>
                </c:pt>
                <c:pt idx="213">
                  <c:v>82.284373882038764</c:v>
                </c:pt>
                <c:pt idx="214">
                  <c:v>82.111203761135087</c:v>
                </c:pt>
                <c:pt idx="215">
                  <c:v>81.934270124641031</c:v>
                </c:pt>
                <c:pt idx="216">
                  <c:v>81.753498128479961</c:v>
                </c:pt>
                <c:pt idx="217">
                  <c:v>81.568811356042531</c:v>
                </c:pt>
                <c:pt idx="218">
                  <c:v>81.38013175593305</c:v>
                </c:pt>
                <c:pt idx="219">
                  <c:v>81.187379576166578</c:v>
                </c:pt>
                <c:pt idx="220">
                  <c:v>80.990473294854894</c:v>
                </c:pt>
                <c:pt idx="221">
                  <c:v>80.789329547460341</c:v>
                </c:pt>
                <c:pt idx="222">
                  <c:v>80.583863050756094</c:v>
                </c:pt>
                <c:pt idx="223">
                  <c:v>80.373986523659454</c:v>
                </c:pt>
                <c:pt idx="224">
                  <c:v>80.159610605170315</c:v>
                </c:pt>
                <c:pt idx="225">
                  <c:v>79.940643769687981</c:v>
                </c:pt>
                <c:pt idx="226">
                  <c:v>79.716992240043709</c:v>
                </c:pt>
                <c:pt idx="227">
                  <c:v>79.488559898628083</c:v>
                </c:pt>
                <c:pt idx="228">
                  <c:v>79.255248197056687</c:v>
                </c:pt>
                <c:pt idx="229">
                  <c:v>79.016956064863962</c:v>
                </c:pt>
                <c:pt idx="230">
                  <c:v>78.77357981776747</c:v>
                </c:pt>
                <c:pt idx="231">
                  <c:v>78.525013066087453</c:v>
                </c:pt>
                <c:pt idx="232">
                  <c:v>78.271146623963119</c:v>
                </c:pt>
                <c:pt idx="233">
                  <c:v>78.011868420022964</c:v>
                </c:pt>
                <c:pt idx="234">
                  <c:v>77.7470634102216</c:v>
                </c:pt>
                <c:pt idx="235">
                  <c:v>77.476613493564031</c:v>
                </c:pt>
                <c:pt idx="236">
                  <c:v>77.200397431463657</c:v>
                </c:pt>
                <c:pt idx="237">
                  <c:v>76.918290771491755</c:v>
                </c:pt>
                <c:pt idx="238">
                  <c:v>76.630165776266296</c:v>
                </c:pt>
                <c:pt idx="239">
                  <c:v>76.335891358239124</c:v>
                </c:pt>
                <c:pt idx="240">
                  <c:v>76.035333021105544</c:v>
                </c:pt>
                <c:pt idx="241">
                  <c:v>75.728352808545324</c:v>
                </c:pt>
                <c:pt idx="242">
                  <c:v>75.414809260975915</c:v>
                </c:pt>
                <c:pt idx="243">
                  <c:v>75.094557380947393</c:v>
                </c:pt>
                <c:pt idx="244">
                  <c:v>74.767448607768841</c:v>
                </c:pt>
                <c:pt idx="245">
                  <c:v>74.433330801906678</c:v>
                </c:pt>
                <c:pt idx="246">
                  <c:v>74.092048239631978</c:v>
                </c:pt>
                <c:pt idx="247">
                  <c:v>73.743441618339119</c:v>
                </c:pt>
                <c:pt idx="248">
                  <c:v>73.387348072896927</c:v>
                </c:pt>
                <c:pt idx="249">
                  <c:v>73.023601203333811</c:v>
                </c:pt>
                <c:pt idx="250">
                  <c:v>72.652031114088643</c:v>
                </c:pt>
                <c:pt idx="251">
                  <c:v>72.272464465022935</c:v>
                </c:pt>
                <c:pt idx="252">
                  <c:v>71.884724534314188</c:v>
                </c:pt>
                <c:pt idx="253">
                  <c:v>71.488631293319457</c:v>
                </c:pt>
                <c:pt idx="254">
                  <c:v>71.084001493447104</c:v>
                </c:pt>
                <c:pt idx="255">
                  <c:v>70.670648765052704</c:v>
                </c:pt>
                <c:pt idx="256">
                  <c:v>70.248383728335014</c:v>
                </c:pt>
                <c:pt idx="257">
                  <c:v>69.817014116203794</c:v>
                </c:pt>
                <c:pt idx="258">
                  <c:v>69.376344909079847</c:v>
                </c:pt>
                <c:pt idx="259">
                  <c:v>68.926178481582227</c:v>
                </c:pt>
                <c:pt idx="260">
                  <c:v>68.466314761077925</c:v>
                </c:pt>
                <c:pt idx="261">
                  <c:v>67.996551398078637</c:v>
                </c:pt>
                <c:pt idx="262">
                  <c:v>67.516683948495285</c:v>
                </c:pt>
                <c:pt idx="263">
                  <c:v>67.026506067796561</c:v>
                </c:pt>
                <c:pt idx="264">
                  <c:v>66.525809717149698</c:v>
                </c:pt>
                <c:pt idx="265">
                  <c:v>66.014385381667395</c:v>
                </c:pt>
                <c:pt idx="266">
                  <c:v>65.492022300920368</c:v>
                </c:pt>
                <c:pt idx="267">
                  <c:v>64.958508711934655</c:v>
                </c:pt>
                <c:pt idx="268">
                  <c:v>64.413632104925426</c:v>
                </c:pt>
                <c:pt idx="269">
                  <c:v>63.857179492071289</c:v>
                </c:pt>
                <c:pt idx="270">
                  <c:v>63.288937689669304</c:v>
                </c:pt>
                <c:pt idx="271">
                  <c:v>62.708693614059584</c:v>
                </c:pt>
                <c:pt idx="272">
                  <c:v>62.11623459172408</c:v>
                </c:pt>
                <c:pt idx="273">
                  <c:v>61.511348684008858</c:v>
                </c:pt>
                <c:pt idx="274">
                  <c:v>60.893825026917796</c:v>
                </c:pt>
                <c:pt idx="275">
                  <c:v>60.26345418644928</c:v>
                </c:pt>
                <c:pt idx="276">
                  <c:v>59.620028529935574</c:v>
                </c:pt>
                <c:pt idx="277">
                  <c:v>58.96334261383911</c:v>
                </c:pt>
                <c:pt idx="278">
                  <c:v>58.293193588419797</c:v>
                </c:pt>
                <c:pt idx="279">
                  <c:v>57.60938161967173</c:v>
                </c:pt>
                <c:pt idx="280">
                  <c:v>56.911710328848891</c:v>
                </c:pt>
                <c:pt idx="281">
                  <c:v>56.199987249856271</c:v>
                </c:pt>
                <c:pt idx="282">
                  <c:v>55.474024304681372</c:v>
                </c:pt>
                <c:pt idx="283">
                  <c:v>54.733638296957956</c:v>
                </c:pt>
                <c:pt idx="284">
                  <c:v>53.978651423639647</c:v>
                </c:pt>
                <c:pt idx="285">
                  <c:v>53.208891804619334</c:v>
                </c:pt>
                <c:pt idx="286">
                  <c:v>52.424194030010369</c:v>
                </c:pt>
                <c:pt idx="287">
                  <c:v>51.624399724623522</c:v>
                </c:pt>
                <c:pt idx="288">
                  <c:v>50.80935812902127</c:v>
                </c:pt>
                <c:pt idx="289">
                  <c:v>49.978926696315717</c:v>
                </c:pt>
                <c:pt idx="290">
                  <c:v>49.132971703710766</c:v>
                </c:pt>
                <c:pt idx="291">
                  <c:v>48.271368877537427</c:v>
                </c:pt>
                <c:pt idx="292">
                  <c:v>47.394004030326997</c:v>
                </c:pt>
                <c:pt idx="293">
                  <c:v>46.500773708226575</c:v>
                </c:pt>
                <c:pt idx="294">
                  <c:v>45.591585846807988</c:v>
                </c:pt>
                <c:pt idx="295">
                  <c:v>44.666360433078147</c:v>
                </c:pt>
                <c:pt idx="296">
                  <c:v>43.725030171233342</c:v>
                </c:pt>
                <c:pt idx="297">
                  <c:v>42.767541149448718</c:v>
                </c:pt>
                <c:pt idx="298">
                  <c:v>41.793853504729597</c:v>
                </c:pt>
                <c:pt idx="299">
                  <c:v>40.803942082600969</c:v>
                </c:pt>
                <c:pt idx="300">
                  <c:v>39.797797088158553</c:v>
                </c:pt>
                <c:pt idx="301">
                  <c:v>38.775424724775249</c:v>
                </c:pt>
                <c:pt idx="302">
                  <c:v>37.736847816522292</c:v>
                </c:pt>
                <c:pt idx="303">
                  <c:v>36.682106410173681</c:v>
                </c:pt>
                <c:pt idx="304">
                  <c:v>35.611258352464063</c:v>
                </c:pt>
                <c:pt idx="305">
                  <c:v>34.524379838128354</c:v>
                </c:pt>
                <c:pt idx="306">
                  <c:v>33.421565924109885</c:v>
                </c:pt>
                <c:pt idx="307">
                  <c:v>32.302931005248993</c:v>
                </c:pt>
                <c:pt idx="308">
                  <c:v>31.168609246690593</c:v>
                </c:pt>
                <c:pt idx="309">
                  <c:v>30.01875496825588</c:v>
                </c:pt>
                <c:pt idx="310">
                  <c:v>28.853542976040799</c:v>
                </c:pt>
                <c:pt idx="311">
                  <c:v>27.673168836596659</c:v>
                </c:pt>
                <c:pt idx="312">
                  <c:v>26.477849089170967</c:v>
                </c:pt>
                <c:pt idx="313">
                  <c:v>25.267821391675547</c:v>
                </c:pt>
                <c:pt idx="314">
                  <c:v>24.043344596285731</c:v>
                </c:pt>
                <c:pt idx="315">
                  <c:v>22.804698750861448</c:v>
                </c:pt>
                <c:pt idx="316">
                  <c:v>21.552185022727823</c:v>
                </c:pt>
                <c:pt idx="317">
                  <c:v>20.286125541754362</c:v>
                </c:pt>
                <c:pt idx="318">
                  <c:v>19.006863160108217</c:v>
                </c:pt>
                <c:pt idx="319">
                  <c:v>17.714761126560841</c:v>
                </c:pt>
                <c:pt idx="320">
                  <c:v>16.410202673762242</c:v>
                </c:pt>
                <c:pt idx="321">
                  <c:v>15.093590517471215</c:v>
                </c:pt>
                <c:pt idx="322">
                  <c:v>13.765346267349178</c:v>
                </c:pt>
                <c:pt idx="323">
                  <c:v>12.425909749553128</c:v>
                </c:pt>
                <c:pt idx="324">
                  <c:v>11.07573824203185</c:v>
                </c:pt>
                <c:pt idx="325">
                  <c:v>9.7153056241033706</c:v>
                </c:pt>
                <c:pt idx="326">
                  <c:v>8.3451014425689394</c:v>
                </c:pt>
                <c:pt idx="327">
                  <c:v>6.9656298972971378</c:v>
                </c:pt>
                <c:pt idx="328">
                  <c:v>5.5774087498948584</c:v>
                </c:pt>
                <c:pt idx="329">
                  <c:v>4.180968159711143</c:v>
                </c:pt>
                <c:pt idx="330">
                  <c:v>2.7768494520841682</c:v>
                </c:pt>
                <c:pt idx="331">
                  <c:v>1.3656038242977075</c:v>
                </c:pt>
                <c:pt idx="332">
                  <c:v>-5.2209004693293204E-2</c:v>
                </c:pt>
                <c:pt idx="333">
                  <c:v>-1.4760221942293441</c:v>
                </c:pt>
                <c:pt idx="334">
                  <c:v>-2.9052632245834782</c:v>
                </c:pt>
                <c:pt idx="335">
                  <c:v>-4.3393553748687239</c:v>
                </c:pt>
                <c:pt idx="336">
                  <c:v>-5.777719228463388</c:v>
                </c:pt>
                <c:pt idx="337">
                  <c:v>-7.2197741979527308</c:v>
                </c:pt>
                <c:pt idx="338">
                  <c:v>-8.6649400613677159</c:v>
                </c:pt>
                <c:pt idx="339">
                  <c:v>-10.112638501389936</c:v>
                </c:pt>
                <c:pt idx="340">
                  <c:v>-11.562294639138548</c:v>
                </c:pt>
                <c:pt idx="341">
                  <c:v>-13.013338554182891</c:v>
                </c:pt>
                <c:pt idx="342">
                  <c:v>-14.465206782511801</c:v>
                </c:pt>
                <c:pt idx="343">
                  <c:v>-15.917343784378815</c:v>
                </c:pt>
                <c:pt idx="344">
                  <c:v>-17.369203374178586</c:v>
                </c:pt>
                <c:pt idx="345">
                  <c:v>-18.820250104814484</c:v>
                </c:pt>
                <c:pt idx="346">
                  <c:v>-20.269960599409156</c:v>
                </c:pt>
                <c:pt idx="347">
                  <c:v>-21.717824823618116</c:v>
                </c:pt>
                <c:pt idx="348">
                  <c:v>-23.163347292331526</c:v>
                </c:pt>
                <c:pt idx="349">
                  <c:v>-24.606048205036231</c:v>
                </c:pt>
                <c:pt idx="350">
                  <c:v>-26.045464504735694</c:v>
                </c:pt>
                <c:pt idx="351">
                  <c:v>-27.481150855891805</c:v>
                </c:pt>
                <c:pt idx="352">
                  <c:v>-28.912680537522615</c:v>
                </c:pt>
                <c:pt idx="353">
                  <c:v>-30.33964624820949</c:v>
                </c:pt>
                <c:pt idx="354">
                  <c:v>-31.761660820475434</c:v>
                </c:pt>
                <c:pt idx="355">
                  <c:v>-33.17835784260253</c:v>
                </c:pt>
                <c:pt idx="356">
                  <c:v>-34.589392186682815</c:v>
                </c:pt>
                <c:pt idx="357">
                  <c:v>-35.994440442293495</c:v>
                </c:pt>
                <c:pt idx="358">
                  <c:v>-37.393201255845341</c:v>
                </c:pt>
                <c:pt idx="359">
                  <c:v>-38.785395576241399</c:v>
                </c:pt>
                <c:pt idx="360">
                  <c:v>-40.170766808064535</c:v>
                </c:pt>
                <c:pt idx="361">
                  <c:v>-41.549080874027254</c:v>
                </c:pt>
                <c:pt idx="362">
                  <c:v>-42.920126188934049</c:v>
                </c:pt>
                <c:pt idx="363">
                  <c:v>-44.283713547824277</c:v>
                </c:pt>
                <c:pt idx="364">
                  <c:v>-45.639675931379081</c:v>
                </c:pt>
                <c:pt idx="365">
                  <c:v>-46.987868232018286</c:v>
                </c:pt>
                <c:pt idx="366">
                  <c:v>-48.328166904404171</c:v>
                </c:pt>
                <c:pt idx="367">
                  <c:v>-49.66046954431966</c:v>
                </c:pt>
                <c:pt idx="368">
                  <c:v>-50.984694400078858</c:v>
                </c:pt>
                <c:pt idx="369">
                  <c:v>-52.300779820773826</c:v>
                </c:pt>
                <c:pt idx="370">
                  <c:v>-53.608683645758497</c:v>
                </c:pt>
                <c:pt idx="371">
                  <c:v>-54.908382539822263</c:v>
                </c:pt>
                <c:pt idx="372">
                  <c:v>-56.199871278526068</c:v>
                </c:pt>
                <c:pt idx="373">
                  <c:v>-57.483161988127392</c:v>
                </c:pt>
                <c:pt idx="374">
                  <c:v>-58.758283344491758</c:v>
                </c:pt>
                <c:pt idx="375">
                  <c:v>-60.025279735270523</c:v>
                </c:pt>
                <c:pt idx="376">
                  <c:v>-61.28421038952974</c:v>
                </c:pt>
                <c:pt idx="377">
                  <c:v>-62.535148478874916</c:v>
                </c:pt>
                <c:pt idx="378">
                  <c:v>-63.778180193962918</c:v>
                </c:pt>
                <c:pt idx="379">
                  <c:v>-65.01340380014507</c:v>
                </c:pt>
                <c:pt idx="380">
                  <c:v>-66.240928675793327</c:v>
                </c:pt>
                <c:pt idx="381">
                  <c:v>-67.460874336715165</c:v>
                </c:pt>
                <c:pt idx="382">
                  <c:v>-68.673369449875437</c:v>
                </c:pt>
                <c:pt idx="383">
                  <c:v>-69.878550839481548</c:v>
                </c:pt>
                <c:pt idx="384">
                  <c:v>-71.076562488328364</c:v>
                </c:pt>
                <c:pt idx="385">
                  <c:v>-72.267554537150247</c:v>
                </c:pt>
                <c:pt idx="386">
                  <c:v>-73.451682284590703</c:v>
                </c:pt>
                <c:pt idx="387">
                  <c:v>-74.629105190276462</c:v>
                </c:pt>
                <c:pt idx="388">
                  <c:v>-75.799985883377857</c:v>
                </c:pt>
                <c:pt idx="389">
                  <c:v>-76.964489178947304</c:v>
                </c:pt>
                <c:pt idx="390">
                  <c:v>-78.122781104258607</c:v>
                </c:pt>
                <c:pt idx="391">
                  <c:v>-79.275027937315471</c:v>
                </c:pt>
                <c:pt idx="392">
                  <c:v>-80.42139525966445</c:v>
                </c:pt>
                <c:pt idx="393">
                  <c:v>-81.56204702563285</c:v>
                </c:pt>
                <c:pt idx="394">
                  <c:v>-82.697144650108825</c:v>
                </c:pt>
                <c:pt idx="395">
                  <c:v>-83.826846117002447</c:v>
                </c:pt>
                <c:pt idx="396">
                  <c:v>-84.951305110549669</c:v>
                </c:pt>
                <c:pt idx="397">
                  <c:v>-86.070670171670699</c:v>
                </c:pt>
                <c:pt idx="398">
                  <c:v>-87.185083881638008</c:v>
                </c:pt>
                <c:pt idx="399">
                  <c:v>-88.294682075370403</c:v>
                </c:pt>
                <c:pt idx="400">
                  <c:v>-89.39959308672816</c:v>
                </c:pt>
                <c:pt idx="401">
                  <c:v>-90.499937028245839</c:v>
                </c:pt>
                <c:pt idx="402">
                  <c:v>-91.595825107794454</c:v>
                </c:pt>
                <c:pt idx="403">
                  <c:v>-92.687358984715814</c:v>
                </c:pt>
                <c:pt idx="404">
                  <c:v>-93.774630168005231</c:v>
                </c:pt>
                <c:pt idx="405">
                  <c:v>-94.857719459147802</c:v>
                </c:pt>
                <c:pt idx="406">
                  <c:v>-95.936696442208557</c:v>
                </c:pt>
                <c:pt idx="407">
                  <c:v>-97.011619023761853</c:v>
                </c:pt>
                <c:pt idx="408">
                  <c:v>-98.082533025195758</c:v>
                </c:pt>
                <c:pt idx="409">
                  <c:v>-99.149471829851834</c:v>
                </c:pt>
                <c:pt idx="410">
                  <c:v>-100.21245608734402</c:v>
                </c:pt>
                <c:pt idx="411">
                  <c:v>-101.27149347726112</c:v>
                </c:pt>
                <c:pt idx="412">
                  <c:v>-102.32657853426666</c:v>
                </c:pt>
                <c:pt idx="413">
                  <c:v>-103.37769253638565</c:v>
                </c:pt>
                <c:pt idx="414">
                  <c:v>-104.42480345800834</c:v>
                </c:pt>
                <c:pt idx="415">
                  <c:v>-105.46786598882723</c:v>
                </c:pt>
                <c:pt idx="416">
                  <c:v>-106.50682161959024</c:v>
                </c:pt>
                <c:pt idx="417">
                  <c:v>-107.54159879516095</c:v>
                </c:pt>
                <c:pt idx="418">
                  <c:v>-108.57211313497345</c:v>
                </c:pt>
                <c:pt idx="419">
                  <c:v>-109.5982677205081</c:v>
                </c:pt>
                <c:pt idx="420">
                  <c:v>-110.61995344896106</c:v>
                </c:pt>
                <c:pt idx="421">
                  <c:v>-111.63704945177106</c:v>
                </c:pt>
                <c:pt idx="422">
                  <c:v>-112.64942357616687</c:v>
                </c:pt>
                <c:pt idx="423">
                  <c:v>-113.6569329273932</c:v>
                </c:pt>
                <c:pt idx="424">
                  <c:v>-114.65942446874166</c:v>
                </c:pt>
                <c:pt idx="425">
                  <c:v>-115.65673567602778</c:v>
                </c:pt>
                <c:pt idx="426">
                  <c:v>-116.64869524265853</c:v>
                </c:pt>
                <c:pt idx="427">
                  <c:v>-117.6351238309643</c:v>
                </c:pt>
                <c:pt idx="428">
                  <c:v>-118.61583486505664</c:v>
                </c:pt>
                <c:pt idx="429">
                  <c:v>-119.59063536007709</c:v>
                </c:pt>
                <c:pt idx="430">
                  <c:v>-120.55932678235141</c:v>
                </c:pt>
                <c:pt idx="431">
                  <c:v>-121.52170593469991</c:v>
                </c:pt>
                <c:pt idx="432">
                  <c:v>-122.47756586090956</c:v>
                </c:pt>
                <c:pt idx="433">
                  <c:v>-123.42669676323146</c:v>
                </c:pt>
                <c:pt idx="434">
                  <c:v>-124.36888692665565</c:v>
                </c:pt>
                <c:pt idx="435">
                  <c:v>-125.30392364371568</c:v>
                </c:pt>
                <c:pt idx="436">
                  <c:v>-126.23159413360979</c:v>
                </c:pt>
                <c:pt idx="437">
                  <c:v>-127.15168644955533</c:v>
                </c:pt>
                <c:pt idx="438">
                  <c:v>-128.06399036847159</c:v>
                </c:pt>
                <c:pt idx="439">
                  <c:v>-128.96829825735483</c:v>
                </c:pt>
                <c:pt idx="440">
                  <c:v>-129.86440591100916</c:v>
                </c:pt>
                <c:pt idx="441">
                  <c:v>-130.75211335617661</c:v>
                </c:pt>
                <c:pt idx="442">
                  <c:v>-131.63122561752127</c:v>
                </c:pt>
                <c:pt idx="443">
                  <c:v>-132.50155344138608</c:v>
                </c:pt>
                <c:pt idx="444">
                  <c:v>-133.36291397372614</c:v>
                </c:pt>
                <c:pt idx="445">
                  <c:v>-134.21513138915068</c:v>
                </c:pt>
                <c:pt idx="446">
                  <c:v>-135.05803746852277</c:v>
                </c:pt>
                <c:pt idx="447">
                  <c:v>-135.8914721231271</c:v>
                </c:pt>
                <c:pt idx="448">
                  <c:v>-136.71528386394149</c:v>
                </c:pt>
                <c:pt idx="449">
                  <c:v>-137.52933021509131</c:v>
                </c:pt>
                <c:pt idx="450">
                  <c:v>-138.33347807108154</c:v>
                </c:pt>
                <c:pt idx="451">
                  <c:v>-139.12760399789926</c:v>
                </c:pt>
                <c:pt idx="452">
                  <c:v>-139.91159447855256</c:v>
                </c:pt>
                <c:pt idx="453">
                  <c:v>-140.68534610404376</c:v>
                </c:pt>
                <c:pt idx="454">
                  <c:v>-141.4487657111805</c:v>
                </c:pt>
                <c:pt idx="455">
                  <c:v>-142.20177046899573</c:v>
                </c:pt>
                <c:pt idx="456">
                  <c:v>-142.94428791585065</c:v>
                </c:pt>
                <c:pt idx="457">
                  <c:v>-143.6762559495962</c:v>
                </c:pt>
                <c:pt idx="458">
                  <c:v>-144.39762277337837</c:v>
                </c:pt>
                <c:pt idx="459">
                  <c:v>-145.10834679988011</c:v>
                </c:pt>
                <c:pt idx="460">
                  <c:v>-145.80839651693051</c:v>
                </c:pt>
                <c:pt idx="461">
                  <c:v>-146.49775031751966</c:v>
                </c:pt>
                <c:pt idx="462">
                  <c:v>-147.17639629732673</c:v>
                </c:pt>
                <c:pt idx="463">
                  <c:v>-147.84433202290353</c:v>
                </c:pt>
                <c:pt idx="464">
                  <c:v>-148.50156427363692</c:v>
                </c:pt>
                <c:pt idx="465">
                  <c:v>-149.14810876060221</c:v>
                </c:pt>
                <c:pt idx="466">
                  <c:v>-149.78398982534284</c:v>
                </c:pt>
                <c:pt idx="467">
                  <c:v>-150.40924012153022</c:v>
                </c:pt>
                <c:pt idx="468">
                  <c:v>-151.02390028235533</c:v>
                </c:pt>
                <c:pt idx="469">
                  <c:v>-151.62801857637854</c:v>
                </c:pt>
                <c:pt idx="470">
                  <c:v>-152.22165055442375</c:v>
                </c:pt>
                <c:pt idx="471">
                  <c:v>-152.80485868996294</c:v>
                </c:pt>
                <c:pt idx="472">
                  <c:v>-153.37771201526749</c:v>
                </c:pt>
                <c:pt idx="473">
                  <c:v>-153.94028575545613</c:v>
                </c:pt>
                <c:pt idx="474">
                  <c:v>-154.49266096238796</c:v>
                </c:pt>
                <c:pt idx="475">
                  <c:v>-155.03492415019579</c:v>
                </c:pt>
                <c:pt idx="476">
                  <c:v>-155.56716693407733</c:v>
                </c:pt>
                <c:pt idx="477">
                  <c:v>-156.08948567381168</c:v>
                </c:pt>
                <c:pt idx="478">
                  <c:v>-156.6019811232961</c:v>
                </c:pt>
                <c:pt idx="479">
                  <c:v>-157.10475808725366</c:v>
                </c:pt>
                <c:pt idx="480">
                  <c:v>-157.59792508611415</c:v>
                </c:pt>
                <c:pt idx="481">
                  <c:v>-158.08159402992166</c:v>
                </c:pt>
                <c:pt idx="482">
                  <c:v>-158.55587990200434</c:v>
                </c:pt>
                <c:pt idx="483">
                  <c:v>-159.02090045300125</c:v>
                </c:pt>
                <c:pt idx="484">
                  <c:v>-159.47677590573792</c:v>
                </c:pt>
                <c:pt idx="485">
                  <c:v>-159.92362867132755</c:v>
                </c:pt>
                <c:pt idx="486">
                  <c:v>-160.36158307677667</c:v>
                </c:pt>
                <c:pt idx="487">
                  <c:v>-160.79076510429007</c:v>
                </c:pt>
                <c:pt idx="488">
                  <c:v>-161.21130214237078</c:v>
                </c:pt>
                <c:pt idx="489">
                  <c:v>-161.62332274876402</c:v>
                </c:pt>
                <c:pt idx="490">
                  <c:v>-162.02695642519498</c:v>
                </c:pt>
                <c:pt idx="491">
                  <c:v>-162.42233340382276</c:v>
                </c:pt>
                <c:pt idx="492">
                  <c:v>-162.80958444525569</c:v>
                </c:pt>
                <c:pt idx="493">
                  <c:v>-163.18884064794347</c:v>
                </c:pt>
                <c:pt idx="494">
                  <c:v>-163.56023326871778</c:v>
                </c:pt>
                <c:pt idx="495">
                  <c:v>-163.92389355421687</c:v>
                </c:pt>
                <c:pt idx="496">
                  <c:v>-164.27995258290684</c:v>
                </c:pt>
                <c:pt idx="497">
                  <c:v>-164.62854111738491</c:v>
                </c:pt>
                <c:pt idx="498">
                  <c:v>-164.96978946663509</c:v>
                </c:pt>
                <c:pt idx="499">
                  <c:v>-165.30382735788865</c:v>
                </c:pt>
                <c:pt idx="500">
                  <c:v>-165.63078381773391</c:v>
                </c:pt>
                <c:pt idx="501">
                  <c:v>-165.95078706211183</c:v>
                </c:pt>
                <c:pt idx="502">
                  <c:v>-166.26396439482627</c:v>
                </c:pt>
                <c:pt idx="503">
                  <c:v>-166.57044211420418</c:v>
                </c:pt>
                <c:pt idx="504">
                  <c:v>-166.87034542752878</c:v>
                </c:pt>
                <c:pt idx="505">
                  <c:v>-167.16379837288457</c:v>
                </c:pt>
                <c:pt idx="506">
                  <c:v>-167.45092374804889</c:v>
                </c:pt>
                <c:pt idx="507">
                  <c:v>-167.73184304607184</c:v>
                </c:pt>
                <c:pt idx="508">
                  <c:v>-168.00667639719748</c:v>
                </c:pt>
                <c:pt idx="509">
                  <c:v>-168.27554251678191</c:v>
                </c:pt>
                <c:pt idx="510">
                  <c:v>-168.53855865887704</c:v>
                </c:pt>
                <c:pt idx="511">
                  <c:v>-168.79584057515694</c:v>
                </c:pt>
                <c:pt idx="512">
                  <c:v>-169.04750247887392</c:v>
                </c:pt>
                <c:pt idx="513">
                  <c:v>-169.29365701354305</c:v>
                </c:pt>
                <c:pt idx="514">
                  <c:v>-169.53441522606485</c:v>
                </c:pt>
                <c:pt idx="515">
                  <c:v>-169.76988654400535</c:v>
                </c:pt>
                <c:pt idx="516">
                  <c:v>-170.00017875676855</c:v>
                </c:pt>
                <c:pt idx="517">
                  <c:v>-170.22539800040278</c:v>
                </c:pt>
                <c:pt idx="518">
                  <c:v>-170.44564874579524</c:v>
                </c:pt>
                <c:pt idx="519">
                  <c:v>-170.66103379002476</c:v>
                </c:pt>
                <c:pt idx="520">
                  <c:v>-170.87165425064634</c:v>
                </c:pt>
                <c:pt idx="521">
                  <c:v>-171.07760956269857</c:v>
                </c:pt>
                <c:pt idx="522">
                  <c:v>-171.27899747823133</c:v>
                </c:pt>
                <c:pt idx="523">
                  <c:v>-171.47591406816517</c:v>
                </c:pt>
                <c:pt idx="524">
                  <c:v>-171.66845372630013</c:v>
                </c:pt>
                <c:pt idx="525">
                  <c:v>-171.85670917530558</c:v>
                </c:pt>
                <c:pt idx="526">
                  <c:v>-172.0407714745279</c:v>
                </c:pt>
                <c:pt idx="527">
                  <c:v>-172.22073002946581</c:v>
                </c:pt>
                <c:pt idx="528">
                  <c:v>-172.3966726027698</c:v>
                </c:pt>
                <c:pt idx="529">
                  <c:v>-172.56868532663111</c:v>
                </c:pt>
                <c:pt idx="530">
                  <c:v>-172.73685271643248</c:v>
                </c:pt>
                <c:pt idx="531">
                  <c:v>-172.90125768554401</c:v>
                </c:pt>
                <c:pt idx="532">
                  <c:v>-173.06198156115096</c:v>
                </c:pt>
                <c:pt idx="533">
                  <c:v>-173.21910410100972</c:v>
                </c:pt>
                <c:pt idx="534">
                  <c:v>-173.37270351103422</c:v>
                </c:pt>
                <c:pt idx="535">
                  <c:v>-173.52285646362085</c:v>
                </c:pt>
                <c:pt idx="536">
                  <c:v>-173.66963811662757</c:v>
                </c:pt>
                <c:pt idx="537">
                  <c:v>-173.81312213292688</c:v>
                </c:pt>
                <c:pt idx="538">
                  <c:v>-173.95338070045827</c:v>
                </c:pt>
                <c:pt idx="539">
                  <c:v>-174.09048455271227</c:v>
                </c:pt>
                <c:pt idx="540">
                  <c:v>-174.22450298958003</c:v>
                </c:pt>
                <c:pt idx="541">
                  <c:v>-174.35550389851088</c:v>
                </c:pt>
              </c:numCache>
            </c:numRef>
          </c:yVal>
          <c:smooth val="1"/>
          <c:extLst>
            <c:ext xmlns:c16="http://schemas.microsoft.com/office/drawing/2014/chart" uri="{C3380CC4-5D6E-409C-BE32-E72D297353CC}">
              <c16:uniqueId val="{00000001-3223-41D7-8B33-833B9B1F2597}"/>
            </c:ext>
          </c:extLst>
        </c:ser>
        <c:dLbls>
          <c:showLegendKey val="0"/>
          <c:showVal val="0"/>
          <c:showCatName val="0"/>
          <c:showSerName val="0"/>
          <c:showPercent val="0"/>
          <c:showBubbleSize val="0"/>
        </c:dLbls>
        <c:axId val="555537920"/>
        <c:axId val="555536384"/>
      </c:scatterChart>
      <c:valAx>
        <c:axId val="555528192"/>
        <c:scaling>
          <c:logBase val="10"/>
          <c:orientation val="minMax"/>
          <c:max val="220000.00000000003"/>
          <c:min val="10"/>
        </c:scaling>
        <c:delete val="0"/>
        <c:axPos val="b"/>
        <c:minorGridlines/>
        <c:title>
          <c:tx>
            <c:rich>
              <a:bodyPr/>
              <a:lstStyle/>
              <a:p>
                <a:pPr>
                  <a:defRPr sz="1200"/>
                </a:pPr>
                <a:r>
                  <a:rPr lang="en-US" sz="1200"/>
                  <a:t>Frequency</a:t>
                </a:r>
                <a:r>
                  <a:rPr lang="en-US" sz="1200" baseline="0"/>
                  <a:t> (Hz)</a:t>
                </a:r>
                <a:endParaRPr lang="en-US" sz="1200"/>
              </a:p>
            </c:rich>
          </c:tx>
          <c:overlay val="0"/>
        </c:title>
        <c:numFmt formatCode="0" sourceLinked="0"/>
        <c:majorTickMark val="out"/>
        <c:minorTickMark val="none"/>
        <c:tickLblPos val="low"/>
        <c:txPr>
          <a:bodyPr/>
          <a:lstStyle/>
          <a:p>
            <a:pPr>
              <a:defRPr b="1"/>
            </a:pPr>
            <a:endParaRPr lang="en-US"/>
          </a:p>
        </c:txPr>
        <c:crossAx val="555530112"/>
        <c:crosses val="autoZero"/>
        <c:crossBetween val="midCat"/>
      </c:valAx>
      <c:valAx>
        <c:axId val="555530112"/>
        <c:scaling>
          <c:orientation val="minMax"/>
          <c:max val="60"/>
          <c:min val="-60"/>
        </c:scaling>
        <c:delete val="0"/>
        <c:axPos val="l"/>
        <c:majorGridlines/>
        <c:minorGridlines/>
        <c:title>
          <c:tx>
            <c:rich>
              <a:bodyPr rot="-5400000" vert="horz"/>
              <a:lstStyle/>
              <a:p>
                <a:pPr>
                  <a:defRPr sz="1200"/>
                </a:pPr>
                <a:r>
                  <a:rPr lang="en-US" sz="1200">
                    <a:solidFill>
                      <a:srgbClr val="FF0000"/>
                    </a:solidFill>
                  </a:rPr>
                  <a:t>Gain</a:t>
                </a:r>
                <a:r>
                  <a:rPr lang="en-US" sz="1200" baseline="0">
                    <a:solidFill>
                      <a:srgbClr val="FF0000"/>
                    </a:solidFill>
                  </a:rPr>
                  <a:t> (dB)</a:t>
                </a:r>
                <a:endParaRPr lang="en-US" sz="1200">
                  <a:solidFill>
                    <a:srgbClr val="FF0000"/>
                  </a:solidFill>
                </a:endParaRPr>
              </a:p>
            </c:rich>
          </c:tx>
          <c:overlay val="0"/>
        </c:title>
        <c:numFmt formatCode="General" sourceLinked="0"/>
        <c:majorTickMark val="out"/>
        <c:minorTickMark val="none"/>
        <c:tickLblPos val="nextTo"/>
        <c:txPr>
          <a:bodyPr/>
          <a:lstStyle/>
          <a:p>
            <a:pPr>
              <a:defRPr>
                <a:solidFill>
                  <a:srgbClr val="FF0000"/>
                </a:solidFill>
              </a:defRPr>
            </a:pPr>
            <a:endParaRPr lang="en-US"/>
          </a:p>
        </c:txPr>
        <c:crossAx val="555528192"/>
        <c:crosses val="autoZero"/>
        <c:crossBetween val="midCat"/>
        <c:majorUnit val="20"/>
        <c:minorUnit val="10"/>
      </c:valAx>
      <c:valAx>
        <c:axId val="555536384"/>
        <c:scaling>
          <c:orientation val="minMax"/>
          <c:max val="180"/>
          <c:min val="-180"/>
        </c:scaling>
        <c:delete val="0"/>
        <c:axPos val="r"/>
        <c:numFmt formatCode="General" sourceLinked="1"/>
        <c:majorTickMark val="out"/>
        <c:minorTickMark val="none"/>
        <c:tickLblPos val="nextTo"/>
        <c:txPr>
          <a:bodyPr/>
          <a:lstStyle/>
          <a:p>
            <a:pPr>
              <a:defRPr b="1">
                <a:solidFill>
                  <a:schemeClr val="tx1">
                    <a:lumMod val="95000"/>
                    <a:lumOff val="5000"/>
                  </a:schemeClr>
                </a:solidFill>
              </a:defRPr>
            </a:pPr>
            <a:endParaRPr lang="en-US"/>
          </a:p>
        </c:txPr>
        <c:crossAx val="555537920"/>
        <c:crosses val="max"/>
        <c:crossBetween val="midCat"/>
        <c:majorUnit val="90"/>
        <c:minorUnit val="45"/>
      </c:valAx>
      <c:valAx>
        <c:axId val="555537920"/>
        <c:scaling>
          <c:logBase val="10"/>
          <c:orientation val="minMax"/>
        </c:scaling>
        <c:delete val="1"/>
        <c:axPos val="b"/>
        <c:numFmt formatCode="0.00" sourceLinked="1"/>
        <c:majorTickMark val="out"/>
        <c:minorTickMark val="none"/>
        <c:tickLblPos val="nextTo"/>
        <c:crossAx val="555536384"/>
        <c:crosses val="autoZero"/>
        <c:crossBetween val="midCat"/>
      </c:valAx>
    </c:plotArea>
    <c:plotVisOnly val="1"/>
    <c:dispBlanksAs val="gap"/>
    <c:showDLblsOverMax val="0"/>
  </c:chart>
  <c:spPr>
    <a:ln>
      <a:noFill/>
    </a:ln>
  </c:sp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Efficiency</a:t>
            </a:r>
          </a:p>
        </c:rich>
      </c:tx>
      <c:overlay val="0"/>
    </c:title>
    <c:autoTitleDeleted val="0"/>
    <c:plotArea>
      <c:layout/>
      <c:scatterChart>
        <c:scatterStyle val="smoothMarker"/>
        <c:varyColors val="0"/>
        <c:ser>
          <c:idx val="0"/>
          <c:order val="0"/>
          <c:tx>
            <c:v>Eff</c:v>
          </c:tx>
          <c:marker>
            <c:symbol val="none"/>
          </c:marker>
          <c:xVal>
            <c:numRef>
              <c:f>[1]Eff_vs_IOUT!$S$7:$S$157</c:f>
              <c:numCache>
                <c:formatCode>General</c:formatCode>
                <c:ptCount val="151"/>
                <c:pt idx="0">
                  <c:v>0</c:v>
                </c:pt>
                <c:pt idx="1">
                  <c:v>9.3333333333333338E-2</c:v>
                </c:pt>
                <c:pt idx="2">
                  <c:v>0.18666666666666668</c:v>
                </c:pt>
                <c:pt idx="3">
                  <c:v>0.28000000000000003</c:v>
                </c:pt>
                <c:pt idx="4">
                  <c:v>0.37333333333333335</c:v>
                </c:pt>
                <c:pt idx="5">
                  <c:v>0.46666666666666667</c:v>
                </c:pt>
                <c:pt idx="6">
                  <c:v>0.56000000000000005</c:v>
                </c:pt>
                <c:pt idx="7">
                  <c:v>0.65333333333333332</c:v>
                </c:pt>
                <c:pt idx="8">
                  <c:v>0.7466666666666667</c:v>
                </c:pt>
                <c:pt idx="9">
                  <c:v>0.84000000000000008</c:v>
                </c:pt>
                <c:pt idx="10">
                  <c:v>0.93333333333333335</c:v>
                </c:pt>
                <c:pt idx="11">
                  <c:v>1.0266666666666666</c:v>
                </c:pt>
                <c:pt idx="12">
                  <c:v>1.1200000000000001</c:v>
                </c:pt>
                <c:pt idx="13">
                  <c:v>1.2133333333333334</c:v>
                </c:pt>
                <c:pt idx="14">
                  <c:v>1.3066666666666666</c:v>
                </c:pt>
                <c:pt idx="15">
                  <c:v>1.4000000000000001</c:v>
                </c:pt>
                <c:pt idx="16">
                  <c:v>1.4933333333333334</c:v>
                </c:pt>
                <c:pt idx="17">
                  <c:v>1.5866666666666667</c:v>
                </c:pt>
                <c:pt idx="18">
                  <c:v>1.6800000000000002</c:v>
                </c:pt>
                <c:pt idx="19">
                  <c:v>1.7733333333333334</c:v>
                </c:pt>
                <c:pt idx="20">
                  <c:v>1.8666666666666667</c:v>
                </c:pt>
                <c:pt idx="21">
                  <c:v>1.9600000000000002</c:v>
                </c:pt>
                <c:pt idx="22">
                  <c:v>2.0533333333333332</c:v>
                </c:pt>
                <c:pt idx="23">
                  <c:v>2.1466666666666669</c:v>
                </c:pt>
                <c:pt idx="24">
                  <c:v>2.2400000000000002</c:v>
                </c:pt>
                <c:pt idx="25">
                  <c:v>2.3333333333333335</c:v>
                </c:pt>
                <c:pt idx="26">
                  <c:v>2.4266666666666667</c:v>
                </c:pt>
                <c:pt idx="27">
                  <c:v>2.52</c:v>
                </c:pt>
                <c:pt idx="28">
                  <c:v>2.6133333333333333</c:v>
                </c:pt>
                <c:pt idx="29">
                  <c:v>2.706666666666667</c:v>
                </c:pt>
                <c:pt idx="30">
                  <c:v>2.8000000000000003</c:v>
                </c:pt>
                <c:pt idx="31">
                  <c:v>2.8933333333333335</c:v>
                </c:pt>
                <c:pt idx="32">
                  <c:v>2.9866666666666668</c:v>
                </c:pt>
                <c:pt idx="33">
                  <c:v>3.08</c:v>
                </c:pt>
                <c:pt idx="34">
                  <c:v>3.1733333333333333</c:v>
                </c:pt>
                <c:pt idx="35">
                  <c:v>3.2666666666666666</c:v>
                </c:pt>
                <c:pt idx="36">
                  <c:v>3.3600000000000003</c:v>
                </c:pt>
                <c:pt idx="37">
                  <c:v>3.4533333333333336</c:v>
                </c:pt>
                <c:pt idx="38">
                  <c:v>3.5466666666666669</c:v>
                </c:pt>
                <c:pt idx="39">
                  <c:v>3.64</c:v>
                </c:pt>
                <c:pt idx="40">
                  <c:v>3.7333333333333334</c:v>
                </c:pt>
                <c:pt idx="41">
                  <c:v>3.8266666666666667</c:v>
                </c:pt>
                <c:pt idx="42">
                  <c:v>3.9200000000000004</c:v>
                </c:pt>
                <c:pt idx="43">
                  <c:v>4.0133333333333336</c:v>
                </c:pt>
                <c:pt idx="44">
                  <c:v>4.1066666666666665</c:v>
                </c:pt>
                <c:pt idx="45">
                  <c:v>4.2</c:v>
                </c:pt>
                <c:pt idx="46">
                  <c:v>4.2933333333333339</c:v>
                </c:pt>
                <c:pt idx="47">
                  <c:v>4.3866666666666667</c:v>
                </c:pt>
                <c:pt idx="48">
                  <c:v>4.4800000000000004</c:v>
                </c:pt>
                <c:pt idx="49">
                  <c:v>4.5733333333333333</c:v>
                </c:pt>
                <c:pt idx="50">
                  <c:v>4.666666666666667</c:v>
                </c:pt>
                <c:pt idx="51">
                  <c:v>4.76</c:v>
                </c:pt>
                <c:pt idx="52">
                  <c:v>4.8533333333333335</c:v>
                </c:pt>
                <c:pt idx="53">
                  <c:v>4.9466666666666672</c:v>
                </c:pt>
                <c:pt idx="54">
                  <c:v>5.04</c:v>
                </c:pt>
                <c:pt idx="55">
                  <c:v>5.1333333333333337</c:v>
                </c:pt>
                <c:pt idx="56">
                  <c:v>5.2266666666666666</c:v>
                </c:pt>
                <c:pt idx="57">
                  <c:v>5.32</c:v>
                </c:pt>
                <c:pt idx="58">
                  <c:v>5.413333333333334</c:v>
                </c:pt>
                <c:pt idx="59">
                  <c:v>5.5066666666666668</c:v>
                </c:pt>
                <c:pt idx="60">
                  <c:v>5.6000000000000005</c:v>
                </c:pt>
                <c:pt idx="61">
                  <c:v>5.6933333333333334</c:v>
                </c:pt>
                <c:pt idx="62">
                  <c:v>5.7866666666666671</c:v>
                </c:pt>
                <c:pt idx="63">
                  <c:v>5.88</c:v>
                </c:pt>
                <c:pt idx="64">
                  <c:v>5.9733333333333336</c:v>
                </c:pt>
                <c:pt idx="65">
                  <c:v>6.0666666666666673</c:v>
                </c:pt>
                <c:pt idx="66">
                  <c:v>6.16</c:v>
                </c:pt>
                <c:pt idx="67">
                  <c:v>6.2533333333333339</c:v>
                </c:pt>
                <c:pt idx="68">
                  <c:v>6.3466666666666667</c:v>
                </c:pt>
                <c:pt idx="69">
                  <c:v>6.44</c:v>
                </c:pt>
                <c:pt idx="70">
                  <c:v>6.5333333333333332</c:v>
                </c:pt>
                <c:pt idx="71">
                  <c:v>6.6266666666666669</c:v>
                </c:pt>
                <c:pt idx="72">
                  <c:v>6.7200000000000006</c:v>
                </c:pt>
                <c:pt idx="73">
                  <c:v>6.8133333333333335</c:v>
                </c:pt>
                <c:pt idx="74">
                  <c:v>6.9066666666666672</c:v>
                </c:pt>
                <c:pt idx="75">
                  <c:v>7</c:v>
                </c:pt>
                <c:pt idx="76">
                  <c:v>7.0933333333333337</c:v>
                </c:pt>
                <c:pt idx="77">
                  <c:v>7.1866666666666674</c:v>
                </c:pt>
                <c:pt idx="78">
                  <c:v>7.28</c:v>
                </c:pt>
                <c:pt idx="79">
                  <c:v>7.373333333333334</c:v>
                </c:pt>
                <c:pt idx="80">
                  <c:v>7.4666666666666668</c:v>
                </c:pt>
                <c:pt idx="81">
                  <c:v>7.5600000000000005</c:v>
                </c:pt>
                <c:pt idx="82">
                  <c:v>7.6533333333333333</c:v>
                </c:pt>
                <c:pt idx="83">
                  <c:v>7.746666666666667</c:v>
                </c:pt>
                <c:pt idx="84">
                  <c:v>7.8400000000000007</c:v>
                </c:pt>
                <c:pt idx="85">
                  <c:v>7.9333333333333336</c:v>
                </c:pt>
                <c:pt idx="86">
                  <c:v>8.0266666666666673</c:v>
                </c:pt>
                <c:pt idx="87">
                  <c:v>8.120000000000001</c:v>
                </c:pt>
                <c:pt idx="88">
                  <c:v>8.2133333333333329</c:v>
                </c:pt>
                <c:pt idx="89">
                  <c:v>8.3066666666666666</c:v>
                </c:pt>
                <c:pt idx="90">
                  <c:v>8.4</c:v>
                </c:pt>
                <c:pt idx="91">
                  <c:v>8.4933333333333341</c:v>
                </c:pt>
                <c:pt idx="92">
                  <c:v>8.5866666666666678</c:v>
                </c:pt>
                <c:pt idx="93">
                  <c:v>8.68</c:v>
                </c:pt>
                <c:pt idx="94">
                  <c:v>8.7733333333333334</c:v>
                </c:pt>
                <c:pt idx="95">
                  <c:v>8.8666666666666671</c:v>
                </c:pt>
                <c:pt idx="96">
                  <c:v>8.9600000000000009</c:v>
                </c:pt>
                <c:pt idx="97">
                  <c:v>9.0533333333333346</c:v>
                </c:pt>
                <c:pt idx="98">
                  <c:v>9.1466666666666665</c:v>
                </c:pt>
                <c:pt idx="99">
                  <c:v>9.24</c:v>
                </c:pt>
                <c:pt idx="100">
                  <c:v>9.3333333333333339</c:v>
                </c:pt>
                <c:pt idx="101">
                  <c:v>9.4266666666666676</c:v>
                </c:pt>
                <c:pt idx="102">
                  <c:v>9.52</c:v>
                </c:pt>
                <c:pt idx="103">
                  <c:v>9.6133333333333333</c:v>
                </c:pt>
                <c:pt idx="104">
                  <c:v>9.706666666666667</c:v>
                </c:pt>
                <c:pt idx="105">
                  <c:v>9.8000000000000007</c:v>
                </c:pt>
                <c:pt idx="106">
                  <c:v>9.8933333333333344</c:v>
                </c:pt>
                <c:pt idx="107">
                  <c:v>9.9866666666666664</c:v>
                </c:pt>
                <c:pt idx="108">
                  <c:v>10.08</c:v>
                </c:pt>
                <c:pt idx="109">
                  <c:v>10.173333333333334</c:v>
                </c:pt>
                <c:pt idx="110">
                  <c:v>10.266666666666667</c:v>
                </c:pt>
                <c:pt idx="111">
                  <c:v>10.360000000000001</c:v>
                </c:pt>
                <c:pt idx="112">
                  <c:v>10.453333333333333</c:v>
                </c:pt>
                <c:pt idx="113">
                  <c:v>10.546666666666667</c:v>
                </c:pt>
                <c:pt idx="114">
                  <c:v>10.64</c:v>
                </c:pt>
                <c:pt idx="115">
                  <c:v>10.733333333333334</c:v>
                </c:pt>
                <c:pt idx="116">
                  <c:v>10.826666666666668</c:v>
                </c:pt>
                <c:pt idx="117">
                  <c:v>10.92</c:v>
                </c:pt>
                <c:pt idx="118">
                  <c:v>11.013333333333334</c:v>
                </c:pt>
                <c:pt idx="119">
                  <c:v>11.106666666666667</c:v>
                </c:pt>
                <c:pt idx="120">
                  <c:v>11.200000000000001</c:v>
                </c:pt>
                <c:pt idx="121">
                  <c:v>11.293333333333333</c:v>
                </c:pt>
                <c:pt idx="122">
                  <c:v>11.386666666666667</c:v>
                </c:pt>
                <c:pt idx="123">
                  <c:v>11.48</c:v>
                </c:pt>
                <c:pt idx="124">
                  <c:v>11.573333333333334</c:v>
                </c:pt>
                <c:pt idx="125">
                  <c:v>11.666666666666668</c:v>
                </c:pt>
                <c:pt idx="126">
                  <c:v>11.76</c:v>
                </c:pt>
                <c:pt idx="127">
                  <c:v>11.853333333333333</c:v>
                </c:pt>
                <c:pt idx="128">
                  <c:v>11.946666666666667</c:v>
                </c:pt>
                <c:pt idx="129">
                  <c:v>12.040000000000001</c:v>
                </c:pt>
                <c:pt idx="130">
                  <c:v>12.133333333333335</c:v>
                </c:pt>
                <c:pt idx="131">
                  <c:v>12.226666666666667</c:v>
                </c:pt>
                <c:pt idx="132">
                  <c:v>12.32</c:v>
                </c:pt>
                <c:pt idx="133">
                  <c:v>12.413333333333334</c:v>
                </c:pt>
                <c:pt idx="134">
                  <c:v>12.506666666666668</c:v>
                </c:pt>
                <c:pt idx="135">
                  <c:v>12.600000000000001</c:v>
                </c:pt>
                <c:pt idx="136">
                  <c:v>12.693333333333333</c:v>
                </c:pt>
                <c:pt idx="137">
                  <c:v>12.786666666666667</c:v>
                </c:pt>
                <c:pt idx="138">
                  <c:v>12.88</c:v>
                </c:pt>
                <c:pt idx="139">
                  <c:v>12.973333333333334</c:v>
                </c:pt>
                <c:pt idx="140">
                  <c:v>13.066666666666666</c:v>
                </c:pt>
                <c:pt idx="141">
                  <c:v>13.16</c:v>
                </c:pt>
                <c:pt idx="142">
                  <c:v>13.253333333333334</c:v>
                </c:pt>
                <c:pt idx="143">
                  <c:v>13.346666666666668</c:v>
                </c:pt>
                <c:pt idx="144">
                  <c:v>13.440000000000001</c:v>
                </c:pt>
                <c:pt idx="145">
                  <c:v>13.533333333333333</c:v>
                </c:pt>
                <c:pt idx="146">
                  <c:v>13.626666666666667</c:v>
                </c:pt>
                <c:pt idx="147">
                  <c:v>13.72</c:v>
                </c:pt>
                <c:pt idx="148">
                  <c:v>13.813333333333334</c:v>
                </c:pt>
                <c:pt idx="149">
                  <c:v>13.906666666666668</c:v>
                </c:pt>
                <c:pt idx="150">
                  <c:v>14</c:v>
                </c:pt>
              </c:numCache>
            </c:numRef>
          </c:xVal>
          <c:yVal>
            <c:numRef>
              <c:f>[1]Eff_vs_IOUT!$AW$7:$AW$157</c:f>
              <c:numCache>
                <c:formatCode>General</c:formatCode>
                <c:ptCount val="151"/>
                <c:pt idx="0">
                  <c:v>0</c:v>
                </c:pt>
                <c:pt idx="1">
                  <c:v>72.074743546197936</c:v>
                </c:pt>
                <c:pt idx="2">
                  <c:v>83.278946320422875</c:v>
                </c:pt>
                <c:pt idx="3">
                  <c:v>87.823398093854962</c:v>
                </c:pt>
                <c:pt idx="4">
                  <c:v>90.281532425115813</c:v>
                </c:pt>
                <c:pt idx="5">
                  <c:v>91.819206893500748</c:v>
                </c:pt>
                <c:pt idx="6">
                  <c:v>92.870019459561121</c:v>
                </c:pt>
                <c:pt idx="7">
                  <c:v>93.632190379295068</c:v>
                </c:pt>
                <c:pt idx="8">
                  <c:v>94.209194553124718</c:v>
                </c:pt>
                <c:pt idx="9">
                  <c:v>94.660327183697774</c:v>
                </c:pt>
                <c:pt idx="10">
                  <c:v>95.022008446023904</c:v>
                </c:pt>
                <c:pt idx="11">
                  <c:v>95.317844151427352</c:v>
                </c:pt>
                <c:pt idx="12">
                  <c:v>95.563805969178546</c:v>
                </c:pt>
                <c:pt idx="13">
                  <c:v>95.771086688792309</c:v>
                </c:pt>
                <c:pt idx="14">
                  <c:v>95.947763185503092</c:v>
                </c:pt>
                <c:pt idx="15">
                  <c:v>96.099810151145334</c:v>
                </c:pt>
                <c:pt idx="16">
                  <c:v>96.231742235239238</c:v>
                </c:pt>
                <c:pt idx="17">
                  <c:v>96.347034357137446</c:v>
                </c:pt>
                <c:pt idx="18">
                  <c:v>96.448404725179344</c:v>
                </c:pt>
                <c:pt idx="19">
                  <c:v>96.538010182006872</c:v>
                </c:pt>
                <c:pt idx="20">
                  <c:v>96.617584006656713</c:v>
                </c:pt>
                <c:pt idx="21">
                  <c:v>96.688535023683485</c:v>
                </c:pt>
                <c:pt idx="22">
                  <c:v>96.752020127868875</c:v>
                </c:pt>
                <c:pt idx="23">
                  <c:v>96.808998187822311</c:v>
                </c:pt>
                <c:pt idx="24">
                  <c:v>96.860270677489993</c:v>
                </c:pt>
                <c:pt idx="25">
                  <c:v>96.906512697769813</c:v>
                </c:pt>
                <c:pt idx="26">
                  <c:v>96.948296939349646</c:v>
                </c:pt>
                <c:pt idx="27">
                  <c:v>96.986112392178498</c:v>
                </c:pt>
                <c:pt idx="28">
                  <c:v>97.020379097850068</c:v>
                </c:pt>
                <c:pt idx="29">
                  <c:v>97.051459888071491</c:v>
                </c:pt>
                <c:pt idx="30">
                  <c:v>97.079669803929562</c:v>
                </c:pt>
                <c:pt idx="31">
                  <c:v>97.10528371349254</c:v>
                </c:pt>
                <c:pt idx="32">
                  <c:v>97.1285425173742</c:v>
                </c:pt>
                <c:pt idx="33">
                  <c:v>97.149658238475084</c:v>
                </c:pt>
                <c:pt idx="34">
                  <c:v>97.168818223165886</c:v>
                </c:pt>
                <c:pt idx="35">
                  <c:v>97.18618862977246</c:v>
                </c:pt>
                <c:pt idx="36">
                  <c:v>97.201917341538817</c:v>
                </c:pt>
                <c:pt idx="37">
                  <c:v>97.216136411876164</c:v>
                </c:pt>
                <c:pt idx="38">
                  <c:v>97.228964127228892</c:v>
                </c:pt>
                <c:pt idx="39">
                  <c:v>97.240506755547358</c:v>
                </c:pt>
                <c:pt idx="40">
                  <c:v>97.250860034884298</c:v>
                </c:pt>
                <c:pt idx="41">
                  <c:v>97.260110446088532</c:v>
                </c:pt>
                <c:pt idx="42">
                  <c:v>97.268336305266828</c:v>
                </c:pt>
                <c:pt idx="43">
                  <c:v>97.275608705104659</c:v>
                </c:pt>
                <c:pt idx="44">
                  <c:v>97.281992328891221</c:v>
                </c:pt>
                <c:pt idx="45">
                  <c:v>97.287546156889562</c:v>
                </c:pt>
                <c:pt idx="46">
                  <c:v>97.29232408130369</c:v>
                </c:pt>
                <c:pt idx="47">
                  <c:v>97.296375443350129</c:v>
                </c:pt>
                <c:pt idx="48">
                  <c:v>97.299745503707015</c:v>
                </c:pt>
                <c:pt idx="49">
                  <c:v>97.302475855787279</c:v>
                </c:pt>
                <c:pt idx="50">
                  <c:v>97.304604789781806</c:v>
                </c:pt>
                <c:pt idx="51">
                  <c:v>97.306167614181433</c:v>
                </c:pt>
                <c:pt idx="52">
                  <c:v>97.30719694046121</c:v>
                </c:pt>
                <c:pt idx="53">
                  <c:v>97.307722935758818</c:v>
                </c:pt>
                <c:pt idx="54">
                  <c:v>97.307773547667992</c:v>
                </c:pt>
                <c:pt idx="55">
                  <c:v>97.307374704672227</c:v>
                </c:pt>
                <c:pt idx="56">
                  <c:v>97.306550495243812</c:v>
                </c:pt>
                <c:pt idx="57">
                  <c:v>97.305323328211514</c:v>
                </c:pt>
                <c:pt idx="58">
                  <c:v>97.303714076643189</c:v>
                </c:pt>
                <c:pt idx="59">
                  <c:v>97.301742207187147</c:v>
                </c:pt>
                <c:pt idx="60">
                  <c:v>97.299425896558276</c:v>
                </c:pt>
                <c:pt idx="61">
                  <c:v>97.296782136635429</c:v>
                </c:pt>
                <c:pt idx="62">
                  <c:v>97.293826829448079</c:v>
                </c:pt>
                <c:pt idx="63">
                  <c:v>97.290574873169362</c:v>
                </c:pt>
                <c:pt idx="64">
                  <c:v>97.287040240093262</c:v>
                </c:pt>
                <c:pt idx="65">
                  <c:v>97.283236047454679</c:v>
                </c:pt>
                <c:pt idx="66">
                  <c:v>97.279174621846934</c:v>
                </c:pt>
                <c:pt idx="67">
                  <c:v>97.274867557902127</c:v>
                </c:pt>
                <c:pt idx="68">
                  <c:v>97.270325771821732</c:v>
                </c:pt>
                <c:pt idx="69">
                  <c:v>97.265559550277132</c:v>
                </c:pt>
                <c:pt idx="70">
                  <c:v>97.260578595140458</c:v>
                </c:pt>
                <c:pt idx="71">
                  <c:v>97.255392064455208</c:v>
                </c:pt>
                <c:pt idx="72">
                  <c:v>97.250008610009715</c:v>
                </c:pt>
                <c:pt idx="73">
                  <c:v>97.244436411838009</c:v>
                </c:pt>
                <c:pt idx="74">
                  <c:v>97.238683209937207</c:v>
                </c:pt>
                <c:pt idx="75">
                  <c:v>97.232756333459918</c:v>
                </c:pt>
                <c:pt idx="76">
                  <c:v>97.226662727613117</c:v>
                </c:pt>
                <c:pt idx="77">
                  <c:v>97.220408978470843</c:v>
                </c:pt>
                <c:pt idx="78">
                  <c:v>97.214001335887403</c:v>
                </c:pt>
                <c:pt idx="79">
                  <c:v>97.20744573467833</c:v>
                </c:pt>
                <c:pt idx="80">
                  <c:v>97.200747814220009</c:v>
                </c:pt>
                <c:pt idx="81">
                  <c:v>97.19391293660415</c:v>
                </c:pt>
                <c:pt idx="82">
                  <c:v>97.186946203469688</c:v>
                </c:pt>
                <c:pt idx="83">
                  <c:v>97.179852471623491</c:v>
                </c:pt>
                <c:pt idx="84">
                  <c:v>97.172636367549998</c:v>
                </c:pt>
                <c:pt idx="85">
                  <c:v>97.165302300901175</c:v>
                </c:pt>
                <c:pt idx="86">
                  <c:v>97.157854477049284</c:v>
                </c:pt>
                <c:pt idx="87">
                  <c:v>97.150296908777591</c:v>
                </c:pt>
                <c:pt idx="88">
                  <c:v>97.142633427177358</c:v>
                </c:pt>
                <c:pt idx="89">
                  <c:v>97.13486769181317</c:v>
                </c:pt>
                <c:pt idx="90">
                  <c:v>97.127003200213366</c:v>
                </c:pt>
                <c:pt idx="91">
                  <c:v>97.119043296737274</c:v>
                </c:pt>
                <c:pt idx="92">
                  <c:v>97.110991180866407</c:v>
                </c:pt>
                <c:pt idx="93">
                  <c:v>97.102849914962846</c:v>
                </c:pt>
                <c:pt idx="94">
                  <c:v>97.094622431534489</c:v>
                </c:pt>
                <c:pt idx="95">
                  <c:v>97.086311540042971</c:v>
                </c:pt>
                <c:pt idx="96">
                  <c:v>97.07791993328793</c:v>
                </c:pt>
                <c:pt idx="97">
                  <c:v>97.069450193397714</c:v>
                </c:pt>
                <c:pt idx="98">
                  <c:v>97.060904797454839</c:v>
                </c:pt>
                <c:pt idx="99">
                  <c:v>97.052286122781609</c:v>
                </c:pt>
                <c:pt idx="100">
                  <c:v>97.043596451909877</c:v>
                </c:pt>
                <c:pt idx="101">
                  <c:v>97.034837977256586</c:v>
                </c:pt>
                <c:pt idx="102">
                  <c:v>97.02601280552534</c:v>
                </c:pt>
                <c:pt idx="103">
                  <c:v>97.01712296185238</c:v>
                </c:pt>
                <c:pt idx="104">
                  <c:v>97.008170393714295</c:v>
                </c:pt>
                <c:pt idx="105">
                  <c:v>96.999156974613214</c:v>
                </c:pt>
                <c:pt idx="106">
                  <c:v>96.990084507554101</c:v>
                </c:pt>
                <c:pt idx="107">
                  <c:v>96.980954728327688</c:v>
                </c:pt>
                <c:pt idx="108">
                  <c:v>96.971769308611755</c:v>
                </c:pt>
                <c:pt idx="109">
                  <c:v>96.962529858902172</c:v>
                </c:pt>
                <c:pt idx="110">
                  <c:v>96.953237931284619</c:v>
                </c:pt>
                <c:pt idx="111">
                  <c:v>96.943895022057049</c:v>
                </c:pt>
                <c:pt idx="112">
                  <c:v>96.934502574212033</c:v>
                </c:pt>
                <c:pt idx="113">
                  <c:v>96.925061979787714</c:v>
                </c:pt>
                <c:pt idx="114">
                  <c:v>96.91557458209563</c:v>
                </c:pt>
                <c:pt idx="115">
                  <c:v>96.90604167783232</c:v>
                </c:pt>
                <c:pt idx="116">
                  <c:v>96.896464519082414</c:v>
                </c:pt>
                <c:pt idx="117">
                  <c:v>96.886844315219065</c:v>
                </c:pt>
                <c:pt idx="118">
                  <c:v>96.877182234708187</c:v>
                </c:pt>
                <c:pt idx="119">
                  <c:v>96.867479406821971</c:v>
                </c:pt>
                <c:pt idx="120">
                  <c:v>96.857736923266984</c:v>
                </c:pt>
                <c:pt idx="121">
                  <c:v>96.847955839731725</c:v>
                </c:pt>
                <c:pt idx="122">
                  <c:v>96.838137177358405</c:v>
                </c:pt>
                <c:pt idx="123">
                  <c:v>96.828281924143127</c:v>
                </c:pt>
                <c:pt idx="124">
                  <c:v>96.818391036268366</c:v>
                </c:pt>
                <c:pt idx="125">
                  <c:v>96.808465439371929</c:v>
                </c:pt>
                <c:pt idx="126">
                  <c:v>96.798506029755458</c:v>
                </c:pt>
                <c:pt idx="127">
                  <c:v>96.78851367553608</c:v>
                </c:pt>
                <c:pt idx="128">
                  <c:v>96.778489217744266</c:v>
                </c:pt>
                <c:pt idx="129">
                  <c:v>96.768433471370713</c:v>
                </c:pt>
                <c:pt idx="130">
                  <c:v>96.758347226365046</c:v>
                </c:pt>
                <c:pt idx="131">
                  <c:v>96.748231248588937</c:v>
                </c:pt>
                <c:pt idx="132">
                  <c:v>96.738086280726023</c:v>
                </c:pt>
                <c:pt idx="133">
                  <c:v>96.727913043150849</c:v>
                </c:pt>
                <c:pt idx="134">
                  <c:v>96.717712234759063</c:v>
                </c:pt>
                <c:pt idx="135">
                  <c:v>96.707484533760763</c:v>
                </c:pt>
                <c:pt idx="136">
                  <c:v>96.697230598438992</c:v>
                </c:pt>
                <c:pt idx="137">
                  <c:v>96.686951067875043</c:v>
                </c:pt>
                <c:pt idx="138">
                  <c:v>96.676646562642304</c:v>
                </c:pt>
                <c:pt idx="139">
                  <c:v>96.666317685470432</c:v>
                </c:pt>
                <c:pt idx="140">
                  <c:v>96.655965021880732</c:v>
                </c:pt>
                <c:pt idx="141">
                  <c:v>96.645589140794996</c:v>
                </c:pt>
                <c:pt idx="142">
                  <c:v>96.635190595118459</c:v>
                </c:pt>
                <c:pt idx="143">
                  <c:v>96.624769922298384</c:v>
                </c:pt>
                <c:pt idx="144">
                  <c:v>96.614327644859429</c:v>
                </c:pt>
                <c:pt idx="145">
                  <c:v>96.603864270916958</c:v>
                </c:pt>
                <c:pt idx="146">
                  <c:v>96.593380294669288</c:v>
                </c:pt>
                <c:pt idx="147">
                  <c:v>96.582876196869904</c:v>
                </c:pt>
                <c:pt idx="148">
                  <c:v>96.572352445280515</c:v>
                </c:pt>
                <c:pt idx="149">
                  <c:v>96.561809495106033</c:v>
                </c:pt>
                <c:pt idx="150">
                  <c:v>96.551247789412059</c:v>
                </c:pt>
              </c:numCache>
            </c:numRef>
          </c:yVal>
          <c:smooth val="0"/>
          <c:extLst>
            <c:ext xmlns:c16="http://schemas.microsoft.com/office/drawing/2014/chart" uri="{C3380CC4-5D6E-409C-BE32-E72D297353CC}">
              <c16:uniqueId val="{00000000-8268-4C3F-B748-2F54233BBCCC}"/>
            </c:ext>
          </c:extLst>
        </c:ser>
        <c:dLbls>
          <c:showLegendKey val="0"/>
          <c:showVal val="0"/>
          <c:showCatName val="0"/>
          <c:showSerName val="0"/>
          <c:showPercent val="0"/>
          <c:showBubbleSize val="0"/>
        </c:dLbls>
        <c:axId val="224130176"/>
        <c:axId val="224131712"/>
      </c:scatterChart>
      <c:scatterChart>
        <c:scatterStyle val="smoothMarker"/>
        <c:varyColors val="0"/>
        <c:ser>
          <c:idx val="1"/>
          <c:order val="1"/>
          <c:tx>
            <c:v>MOSFET</c:v>
          </c:tx>
          <c:marker>
            <c:symbol val="none"/>
          </c:marker>
          <c:xVal>
            <c:numRef>
              <c:f>[1]Eff_vs_IOUT!$S$7:$S$157</c:f>
              <c:numCache>
                <c:formatCode>General</c:formatCode>
                <c:ptCount val="151"/>
                <c:pt idx="0">
                  <c:v>0</c:v>
                </c:pt>
                <c:pt idx="1">
                  <c:v>9.3333333333333338E-2</c:v>
                </c:pt>
                <c:pt idx="2">
                  <c:v>0.18666666666666668</c:v>
                </c:pt>
                <c:pt idx="3">
                  <c:v>0.28000000000000003</c:v>
                </c:pt>
                <c:pt idx="4">
                  <c:v>0.37333333333333335</c:v>
                </c:pt>
                <c:pt idx="5">
                  <c:v>0.46666666666666667</c:v>
                </c:pt>
                <c:pt idx="6">
                  <c:v>0.56000000000000005</c:v>
                </c:pt>
                <c:pt idx="7">
                  <c:v>0.65333333333333332</c:v>
                </c:pt>
                <c:pt idx="8">
                  <c:v>0.7466666666666667</c:v>
                </c:pt>
                <c:pt idx="9">
                  <c:v>0.84000000000000008</c:v>
                </c:pt>
                <c:pt idx="10">
                  <c:v>0.93333333333333335</c:v>
                </c:pt>
                <c:pt idx="11">
                  <c:v>1.0266666666666666</c:v>
                </c:pt>
                <c:pt idx="12">
                  <c:v>1.1200000000000001</c:v>
                </c:pt>
                <c:pt idx="13">
                  <c:v>1.2133333333333334</c:v>
                </c:pt>
                <c:pt idx="14">
                  <c:v>1.3066666666666666</c:v>
                </c:pt>
                <c:pt idx="15">
                  <c:v>1.4000000000000001</c:v>
                </c:pt>
                <c:pt idx="16">
                  <c:v>1.4933333333333334</c:v>
                </c:pt>
                <c:pt idx="17">
                  <c:v>1.5866666666666667</c:v>
                </c:pt>
                <c:pt idx="18">
                  <c:v>1.6800000000000002</c:v>
                </c:pt>
                <c:pt idx="19">
                  <c:v>1.7733333333333334</c:v>
                </c:pt>
                <c:pt idx="20">
                  <c:v>1.8666666666666667</c:v>
                </c:pt>
                <c:pt idx="21">
                  <c:v>1.9600000000000002</c:v>
                </c:pt>
                <c:pt idx="22">
                  <c:v>2.0533333333333332</c:v>
                </c:pt>
                <c:pt idx="23">
                  <c:v>2.1466666666666669</c:v>
                </c:pt>
                <c:pt idx="24">
                  <c:v>2.2400000000000002</c:v>
                </c:pt>
                <c:pt idx="25">
                  <c:v>2.3333333333333335</c:v>
                </c:pt>
                <c:pt idx="26">
                  <c:v>2.4266666666666667</c:v>
                </c:pt>
                <c:pt idx="27">
                  <c:v>2.52</c:v>
                </c:pt>
                <c:pt idx="28">
                  <c:v>2.6133333333333333</c:v>
                </c:pt>
                <c:pt idx="29">
                  <c:v>2.706666666666667</c:v>
                </c:pt>
                <c:pt idx="30">
                  <c:v>2.8000000000000003</c:v>
                </c:pt>
                <c:pt idx="31">
                  <c:v>2.8933333333333335</c:v>
                </c:pt>
                <c:pt idx="32">
                  <c:v>2.9866666666666668</c:v>
                </c:pt>
                <c:pt idx="33">
                  <c:v>3.08</c:v>
                </c:pt>
                <c:pt idx="34">
                  <c:v>3.1733333333333333</c:v>
                </c:pt>
                <c:pt idx="35">
                  <c:v>3.2666666666666666</c:v>
                </c:pt>
                <c:pt idx="36">
                  <c:v>3.3600000000000003</c:v>
                </c:pt>
                <c:pt idx="37">
                  <c:v>3.4533333333333336</c:v>
                </c:pt>
                <c:pt idx="38">
                  <c:v>3.5466666666666669</c:v>
                </c:pt>
                <c:pt idx="39">
                  <c:v>3.64</c:v>
                </c:pt>
                <c:pt idx="40">
                  <c:v>3.7333333333333334</c:v>
                </c:pt>
                <c:pt idx="41">
                  <c:v>3.8266666666666667</c:v>
                </c:pt>
                <c:pt idx="42">
                  <c:v>3.9200000000000004</c:v>
                </c:pt>
                <c:pt idx="43">
                  <c:v>4.0133333333333336</c:v>
                </c:pt>
                <c:pt idx="44">
                  <c:v>4.1066666666666665</c:v>
                </c:pt>
                <c:pt idx="45">
                  <c:v>4.2</c:v>
                </c:pt>
                <c:pt idx="46">
                  <c:v>4.2933333333333339</c:v>
                </c:pt>
                <c:pt idx="47">
                  <c:v>4.3866666666666667</c:v>
                </c:pt>
                <c:pt idx="48">
                  <c:v>4.4800000000000004</c:v>
                </c:pt>
                <c:pt idx="49">
                  <c:v>4.5733333333333333</c:v>
                </c:pt>
                <c:pt idx="50">
                  <c:v>4.666666666666667</c:v>
                </c:pt>
                <c:pt idx="51">
                  <c:v>4.76</c:v>
                </c:pt>
                <c:pt idx="52">
                  <c:v>4.8533333333333335</c:v>
                </c:pt>
                <c:pt idx="53">
                  <c:v>4.9466666666666672</c:v>
                </c:pt>
                <c:pt idx="54">
                  <c:v>5.04</c:v>
                </c:pt>
                <c:pt idx="55">
                  <c:v>5.1333333333333337</c:v>
                </c:pt>
                <c:pt idx="56">
                  <c:v>5.2266666666666666</c:v>
                </c:pt>
                <c:pt idx="57">
                  <c:v>5.32</c:v>
                </c:pt>
                <c:pt idx="58">
                  <c:v>5.413333333333334</c:v>
                </c:pt>
                <c:pt idx="59">
                  <c:v>5.5066666666666668</c:v>
                </c:pt>
                <c:pt idx="60">
                  <c:v>5.6000000000000005</c:v>
                </c:pt>
                <c:pt idx="61">
                  <c:v>5.6933333333333334</c:v>
                </c:pt>
                <c:pt idx="62">
                  <c:v>5.7866666666666671</c:v>
                </c:pt>
                <c:pt idx="63">
                  <c:v>5.88</c:v>
                </c:pt>
                <c:pt idx="64">
                  <c:v>5.9733333333333336</c:v>
                </c:pt>
                <c:pt idx="65">
                  <c:v>6.0666666666666673</c:v>
                </c:pt>
                <c:pt idx="66">
                  <c:v>6.16</c:v>
                </c:pt>
                <c:pt idx="67">
                  <c:v>6.2533333333333339</c:v>
                </c:pt>
                <c:pt idx="68">
                  <c:v>6.3466666666666667</c:v>
                </c:pt>
                <c:pt idx="69">
                  <c:v>6.44</c:v>
                </c:pt>
                <c:pt idx="70">
                  <c:v>6.5333333333333332</c:v>
                </c:pt>
                <c:pt idx="71">
                  <c:v>6.6266666666666669</c:v>
                </c:pt>
                <c:pt idx="72">
                  <c:v>6.7200000000000006</c:v>
                </c:pt>
                <c:pt idx="73">
                  <c:v>6.8133333333333335</c:v>
                </c:pt>
                <c:pt idx="74">
                  <c:v>6.9066666666666672</c:v>
                </c:pt>
                <c:pt idx="75">
                  <c:v>7</c:v>
                </c:pt>
                <c:pt idx="76">
                  <c:v>7.0933333333333337</c:v>
                </c:pt>
                <c:pt idx="77">
                  <c:v>7.1866666666666674</c:v>
                </c:pt>
                <c:pt idx="78">
                  <c:v>7.28</c:v>
                </c:pt>
                <c:pt idx="79">
                  <c:v>7.373333333333334</c:v>
                </c:pt>
                <c:pt idx="80">
                  <c:v>7.4666666666666668</c:v>
                </c:pt>
                <c:pt idx="81">
                  <c:v>7.5600000000000005</c:v>
                </c:pt>
                <c:pt idx="82">
                  <c:v>7.6533333333333333</c:v>
                </c:pt>
                <c:pt idx="83">
                  <c:v>7.746666666666667</c:v>
                </c:pt>
                <c:pt idx="84">
                  <c:v>7.8400000000000007</c:v>
                </c:pt>
                <c:pt idx="85">
                  <c:v>7.9333333333333336</c:v>
                </c:pt>
                <c:pt idx="86">
                  <c:v>8.0266666666666673</c:v>
                </c:pt>
                <c:pt idx="87">
                  <c:v>8.120000000000001</c:v>
                </c:pt>
                <c:pt idx="88">
                  <c:v>8.2133333333333329</c:v>
                </c:pt>
                <c:pt idx="89">
                  <c:v>8.3066666666666666</c:v>
                </c:pt>
                <c:pt idx="90">
                  <c:v>8.4</c:v>
                </c:pt>
                <c:pt idx="91">
                  <c:v>8.4933333333333341</c:v>
                </c:pt>
                <c:pt idx="92">
                  <c:v>8.5866666666666678</c:v>
                </c:pt>
                <c:pt idx="93">
                  <c:v>8.68</c:v>
                </c:pt>
                <c:pt idx="94">
                  <c:v>8.7733333333333334</c:v>
                </c:pt>
                <c:pt idx="95">
                  <c:v>8.8666666666666671</c:v>
                </c:pt>
                <c:pt idx="96">
                  <c:v>8.9600000000000009</c:v>
                </c:pt>
                <c:pt idx="97">
                  <c:v>9.0533333333333346</c:v>
                </c:pt>
                <c:pt idx="98">
                  <c:v>9.1466666666666665</c:v>
                </c:pt>
                <c:pt idx="99">
                  <c:v>9.24</c:v>
                </c:pt>
                <c:pt idx="100">
                  <c:v>9.3333333333333339</c:v>
                </c:pt>
                <c:pt idx="101">
                  <c:v>9.4266666666666676</c:v>
                </c:pt>
                <c:pt idx="102">
                  <c:v>9.52</c:v>
                </c:pt>
                <c:pt idx="103">
                  <c:v>9.6133333333333333</c:v>
                </c:pt>
                <c:pt idx="104">
                  <c:v>9.706666666666667</c:v>
                </c:pt>
                <c:pt idx="105">
                  <c:v>9.8000000000000007</c:v>
                </c:pt>
                <c:pt idx="106">
                  <c:v>9.8933333333333344</c:v>
                </c:pt>
                <c:pt idx="107">
                  <c:v>9.9866666666666664</c:v>
                </c:pt>
                <c:pt idx="108">
                  <c:v>10.08</c:v>
                </c:pt>
                <c:pt idx="109">
                  <c:v>10.173333333333334</c:v>
                </c:pt>
                <c:pt idx="110">
                  <c:v>10.266666666666667</c:v>
                </c:pt>
                <c:pt idx="111">
                  <c:v>10.360000000000001</c:v>
                </c:pt>
                <c:pt idx="112">
                  <c:v>10.453333333333333</c:v>
                </c:pt>
                <c:pt idx="113">
                  <c:v>10.546666666666667</c:v>
                </c:pt>
                <c:pt idx="114">
                  <c:v>10.64</c:v>
                </c:pt>
                <c:pt idx="115">
                  <c:v>10.733333333333334</c:v>
                </c:pt>
                <c:pt idx="116">
                  <c:v>10.826666666666668</c:v>
                </c:pt>
                <c:pt idx="117">
                  <c:v>10.92</c:v>
                </c:pt>
                <c:pt idx="118">
                  <c:v>11.013333333333334</c:v>
                </c:pt>
                <c:pt idx="119">
                  <c:v>11.106666666666667</c:v>
                </c:pt>
                <c:pt idx="120">
                  <c:v>11.200000000000001</c:v>
                </c:pt>
                <c:pt idx="121">
                  <c:v>11.293333333333333</c:v>
                </c:pt>
                <c:pt idx="122">
                  <c:v>11.386666666666667</c:v>
                </c:pt>
                <c:pt idx="123">
                  <c:v>11.48</c:v>
                </c:pt>
                <c:pt idx="124">
                  <c:v>11.573333333333334</c:v>
                </c:pt>
                <c:pt idx="125">
                  <c:v>11.666666666666668</c:v>
                </c:pt>
                <c:pt idx="126">
                  <c:v>11.76</c:v>
                </c:pt>
                <c:pt idx="127">
                  <c:v>11.853333333333333</c:v>
                </c:pt>
                <c:pt idx="128">
                  <c:v>11.946666666666667</c:v>
                </c:pt>
                <c:pt idx="129">
                  <c:v>12.040000000000001</c:v>
                </c:pt>
                <c:pt idx="130">
                  <c:v>12.133333333333335</c:v>
                </c:pt>
                <c:pt idx="131">
                  <c:v>12.226666666666667</c:v>
                </c:pt>
                <c:pt idx="132">
                  <c:v>12.32</c:v>
                </c:pt>
                <c:pt idx="133">
                  <c:v>12.413333333333334</c:v>
                </c:pt>
                <c:pt idx="134">
                  <c:v>12.506666666666668</c:v>
                </c:pt>
                <c:pt idx="135">
                  <c:v>12.600000000000001</c:v>
                </c:pt>
                <c:pt idx="136">
                  <c:v>12.693333333333333</c:v>
                </c:pt>
                <c:pt idx="137">
                  <c:v>12.786666666666667</c:v>
                </c:pt>
                <c:pt idx="138">
                  <c:v>12.88</c:v>
                </c:pt>
                <c:pt idx="139">
                  <c:v>12.973333333333334</c:v>
                </c:pt>
                <c:pt idx="140">
                  <c:v>13.066666666666666</c:v>
                </c:pt>
                <c:pt idx="141">
                  <c:v>13.16</c:v>
                </c:pt>
                <c:pt idx="142">
                  <c:v>13.253333333333334</c:v>
                </c:pt>
                <c:pt idx="143">
                  <c:v>13.346666666666668</c:v>
                </c:pt>
                <c:pt idx="144">
                  <c:v>13.440000000000001</c:v>
                </c:pt>
                <c:pt idx="145">
                  <c:v>13.533333333333333</c:v>
                </c:pt>
                <c:pt idx="146">
                  <c:v>13.626666666666667</c:v>
                </c:pt>
                <c:pt idx="147">
                  <c:v>13.72</c:v>
                </c:pt>
                <c:pt idx="148">
                  <c:v>13.813333333333334</c:v>
                </c:pt>
                <c:pt idx="149">
                  <c:v>13.906666666666668</c:v>
                </c:pt>
                <c:pt idx="150">
                  <c:v>14</c:v>
                </c:pt>
              </c:numCache>
            </c:numRef>
          </c:xVal>
          <c:yVal>
            <c:numRef>
              <c:f>[1]Eff_vs_IOUT!$AI$7:$AI$157</c:f>
              <c:numCache>
                <c:formatCode>General</c:formatCode>
                <c:ptCount val="151"/>
                <c:pt idx="0">
                  <c:v>1.13161834494674E-3</c:v>
                </c:pt>
                <c:pt idx="1">
                  <c:v>5.3029569450771509E-2</c:v>
                </c:pt>
                <c:pt idx="2">
                  <c:v>0.10503205388992962</c:v>
                </c:pt>
                <c:pt idx="3">
                  <c:v>0.15713907166242103</c:v>
                </c:pt>
                <c:pt idx="4">
                  <c:v>0.20935062276824581</c:v>
                </c:pt>
                <c:pt idx="5">
                  <c:v>0.26166670720740393</c:v>
                </c:pt>
                <c:pt idx="6">
                  <c:v>0.31408732497989528</c:v>
                </c:pt>
                <c:pt idx="7">
                  <c:v>0.36661247608572006</c:v>
                </c:pt>
                <c:pt idx="8">
                  <c:v>0.41924216052487823</c:v>
                </c:pt>
                <c:pt idx="9">
                  <c:v>0.4719763782973696</c:v>
                </c:pt>
                <c:pt idx="10">
                  <c:v>0.52481512940319441</c:v>
                </c:pt>
                <c:pt idx="11">
                  <c:v>0.57775841384235238</c:v>
                </c:pt>
                <c:pt idx="12">
                  <c:v>0.63080623161484384</c:v>
                </c:pt>
                <c:pt idx="13">
                  <c:v>0.68395858272066867</c:v>
                </c:pt>
                <c:pt idx="14">
                  <c:v>0.73721546715982667</c:v>
                </c:pt>
                <c:pt idx="15">
                  <c:v>0.79057688493231826</c:v>
                </c:pt>
                <c:pt idx="16">
                  <c:v>0.84404283603814301</c:v>
                </c:pt>
                <c:pt idx="17">
                  <c:v>0.89761332047730091</c:v>
                </c:pt>
                <c:pt idx="18">
                  <c:v>0.95128833824979242</c:v>
                </c:pt>
                <c:pt idx="19">
                  <c:v>1.0050678893556171</c:v>
                </c:pt>
                <c:pt idx="20">
                  <c:v>1.0589519737947755</c:v>
                </c:pt>
                <c:pt idx="21">
                  <c:v>1.112940591567267</c:v>
                </c:pt>
                <c:pt idx="22">
                  <c:v>1.1670337426730912</c:v>
                </c:pt>
                <c:pt idx="23">
                  <c:v>1.2212314271122497</c:v>
                </c:pt>
                <c:pt idx="24">
                  <c:v>1.275533644884741</c:v>
                </c:pt>
                <c:pt idx="25">
                  <c:v>1.3299403959905658</c:v>
                </c:pt>
                <c:pt idx="26">
                  <c:v>1.384451680429724</c:v>
                </c:pt>
                <c:pt idx="27">
                  <c:v>1.4390674982022156</c:v>
                </c:pt>
                <c:pt idx="28">
                  <c:v>1.4937878493080401</c:v>
                </c:pt>
                <c:pt idx="29">
                  <c:v>1.5486127337471982</c:v>
                </c:pt>
                <c:pt idx="30">
                  <c:v>1.6035421515196897</c:v>
                </c:pt>
                <c:pt idx="31">
                  <c:v>1.6585761026255148</c:v>
                </c:pt>
                <c:pt idx="32">
                  <c:v>1.7137145870646726</c:v>
                </c:pt>
                <c:pt idx="33">
                  <c:v>1.768957604837164</c:v>
                </c:pt>
                <c:pt idx="34">
                  <c:v>1.8243051559429886</c:v>
                </c:pt>
                <c:pt idx="35">
                  <c:v>1.8797572403821465</c:v>
                </c:pt>
                <c:pt idx="36">
                  <c:v>1.9353138581546381</c:v>
                </c:pt>
                <c:pt idx="37">
                  <c:v>1.9909750092604632</c:v>
                </c:pt>
                <c:pt idx="38">
                  <c:v>2.0467406936996211</c:v>
                </c:pt>
                <c:pt idx="39">
                  <c:v>2.1026109114721123</c:v>
                </c:pt>
                <c:pt idx="40">
                  <c:v>2.1585856625779374</c:v>
                </c:pt>
                <c:pt idx="41">
                  <c:v>2.2146649470170954</c:v>
                </c:pt>
                <c:pt idx="42">
                  <c:v>2.2708487647895872</c:v>
                </c:pt>
                <c:pt idx="43">
                  <c:v>2.3271371158954119</c:v>
                </c:pt>
                <c:pt idx="44">
                  <c:v>2.3835300003345692</c:v>
                </c:pt>
                <c:pt idx="45">
                  <c:v>2.4400274181070611</c:v>
                </c:pt>
                <c:pt idx="46">
                  <c:v>2.496629369212886</c:v>
                </c:pt>
                <c:pt idx="47">
                  <c:v>2.5533358536520439</c:v>
                </c:pt>
                <c:pt idx="48">
                  <c:v>2.6101468714245351</c:v>
                </c:pt>
                <c:pt idx="49">
                  <c:v>2.6670624225303601</c:v>
                </c:pt>
                <c:pt idx="50">
                  <c:v>2.724082506969518</c:v>
                </c:pt>
                <c:pt idx="51">
                  <c:v>2.7812071247420094</c:v>
                </c:pt>
                <c:pt idx="52">
                  <c:v>2.8384362758478345</c:v>
                </c:pt>
                <c:pt idx="53">
                  <c:v>2.8957699602869931</c:v>
                </c:pt>
                <c:pt idx="54">
                  <c:v>2.9532081780594845</c:v>
                </c:pt>
                <c:pt idx="55">
                  <c:v>3.0107509291653094</c:v>
                </c:pt>
                <c:pt idx="56">
                  <c:v>3.0683982136044667</c:v>
                </c:pt>
                <c:pt idx="57">
                  <c:v>3.1261500313769579</c:v>
                </c:pt>
                <c:pt idx="58">
                  <c:v>3.1840063824827829</c:v>
                </c:pt>
                <c:pt idx="59">
                  <c:v>3.2419672669219408</c:v>
                </c:pt>
                <c:pt idx="60">
                  <c:v>3.3000326846944326</c:v>
                </c:pt>
                <c:pt idx="61">
                  <c:v>3.3582026358002577</c:v>
                </c:pt>
                <c:pt idx="62">
                  <c:v>3.4164771202394162</c:v>
                </c:pt>
                <c:pt idx="63">
                  <c:v>3.4748561380119067</c:v>
                </c:pt>
                <c:pt idx="64">
                  <c:v>3.533339689117732</c:v>
                </c:pt>
                <c:pt idx="65">
                  <c:v>3.5919277735568906</c:v>
                </c:pt>
                <c:pt idx="66">
                  <c:v>3.6506203913293813</c:v>
                </c:pt>
                <c:pt idx="67">
                  <c:v>3.7094175424352063</c:v>
                </c:pt>
                <c:pt idx="68">
                  <c:v>3.7683192268743637</c:v>
                </c:pt>
                <c:pt idx="69">
                  <c:v>3.8273254446468554</c:v>
                </c:pt>
                <c:pt idx="70">
                  <c:v>3.8864361957526796</c:v>
                </c:pt>
                <c:pt idx="71">
                  <c:v>3.9456514801918376</c:v>
                </c:pt>
                <c:pt idx="72">
                  <c:v>4.0049712979643299</c:v>
                </c:pt>
                <c:pt idx="73">
                  <c:v>4.0643956490701543</c:v>
                </c:pt>
                <c:pt idx="74">
                  <c:v>4.1239245335093129</c:v>
                </c:pt>
                <c:pt idx="75">
                  <c:v>4.183557951281804</c:v>
                </c:pt>
                <c:pt idx="76">
                  <c:v>4.2432959023876284</c:v>
                </c:pt>
                <c:pt idx="77">
                  <c:v>4.3031383868267872</c:v>
                </c:pt>
                <c:pt idx="78">
                  <c:v>4.3630854045992784</c:v>
                </c:pt>
                <c:pt idx="79">
                  <c:v>4.4231369557051039</c:v>
                </c:pt>
                <c:pt idx="80">
                  <c:v>4.4832930401442619</c:v>
                </c:pt>
                <c:pt idx="81">
                  <c:v>4.5435536579167533</c:v>
                </c:pt>
                <c:pt idx="82">
                  <c:v>4.6039188090225771</c:v>
                </c:pt>
                <c:pt idx="83">
                  <c:v>4.6643884934617352</c:v>
                </c:pt>
                <c:pt idx="84">
                  <c:v>4.7249627112342276</c:v>
                </c:pt>
                <c:pt idx="85">
                  <c:v>4.7856414623400516</c:v>
                </c:pt>
                <c:pt idx="86">
                  <c:v>4.8464247467792099</c:v>
                </c:pt>
                <c:pt idx="87">
                  <c:v>4.9073125645517015</c:v>
                </c:pt>
                <c:pt idx="88">
                  <c:v>4.9683049156575247</c:v>
                </c:pt>
                <c:pt idx="89">
                  <c:v>5.0294018000966831</c:v>
                </c:pt>
                <c:pt idx="90">
                  <c:v>5.0906032178691749</c:v>
                </c:pt>
                <c:pt idx="91">
                  <c:v>5.151909168975001</c:v>
                </c:pt>
                <c:pt idx="92">
                  <c:v>5.2133196534141586</c:v>
                </c:pt>
                <c:pt idx="93">
                  <c:v>5.2748346711866496</c:v>
                </c:pt>
                <c:pt idx="94">
                  <c:v>5.336454222292474</c:v>
                </c:pt>
                <c:pt idx="95">
                  <c:v>5.3981783067316327</c:v>
                </c:pt>
                <c:pt idx="96">
                  <c:v>5.4600069245041238</c:v>
                </c:pt>
                <c:pt idx="97">
                  <c:v>5.5219400756099501</c:v>
                </c:pt>
                <c:pt idx="98">
                  <c:v>5.5839777600491072</c:v>
                </c:pt>
                <c:pt idx="99">
                  <c:v>5.6461199778215985</c:v>
                </c:pt>
                <c:pt idx="100">
                  <c:v>5.7083667289274231</c:v>
                </c:pt>
                <c:pt idx="101">
                  <c:v>5.7707180133665812</c:v>
                </c:pt>
                <c:pt idx="102">
                  <c:v>5.8331738311390726</c:v>
                </c:pt>
                <c:pt idx="103">
                  <c:v>5.8957341822448974</c:v>
                </c:pt>
                <c:pt idx="104">
                  <c:v>5.9583990666840556</c:v>
                </c:pt>
                <c:pt idx="105">
                  <c:v>6.0211684844565481</c:v>
                </c:pt>
                <c:pt idx="106">
                  <c:v>6.084042435562373</c:v>
                </c:pt>
                <c:pt idx="107">
                  <c:v>6.1470209200015296</c:v>
                </c:pt>
                <c:pt idx="108">
                  <c:v>6.2101039377740221</c:v>
                </c:pt>
                <c:pt idx="109">
                  <c:v>6.2732914888798472</c:v>
                </c:pt>
                <c:pt idx="110">
                  <c:v>6.3365835733190048</c:v>
                </c:pt>
                <c:pt idx="111">
                  <c:v>6.3999801910914957</c:v>
                </c:pt>
                <c:pt idx="112">
                  <c:v>6.4634813421973201</c:v>
                </c:pt>
                <c:pt idx="113">
                  <c:v>6.5270870266364778</c:v>
                </c:pt>
                <c:pt idx="114">
                  <c:v>6.5907972444089697</c:v>
                </c:pt>
                <c:pt idx="115">
                  <c:v>6.6546119955147951</c:v>
                </c:pt>
                <c:pt idx="116">
                  <c:v>6.7185312799539529</c:v>
                </c:pt>
                <c:pt idx="117">
                  <c:v>6.7825550977264433</c:v>
                </c:pt>
                <c:pt idx="118">
                  <c:v>6.8466834488322688</c:v>
                </c:pt>
                <c:pt idx="119">
                  <c:v>6.9109163332714267</c:v>
                </c:pt>
                <c:pt idx="120">
                  <c:v>6.975253751043919</c:v>
                </c:pt>
                <c:pt idx="121">
                  <c:v>7.0396957021497428</c:v>
                </c:pt>
                <c:pt idx="122">
                  <c:v>7.1042421865889018</c:v>
                </c:pt>
                <c:pt idx="123">
                  <c:v>7.1688932043613933</c:v>
                </c:pt>
                <c:pt idx="124">
                  <c:v>7.2336487554672191</c:v>
                </c:pt>
                <c:pt idx="125">
                  <c:v>7.2985088399063773</c:v>
                </c:pt>
                <c:pt idx="126">
                  <c:v>7.3634734576788672</c:v>
                </c:pt>
                <c:pt idx="127">
                  <c:v>7.4285426087846922</c:v>
                </c:pt>
                <c:pt idx="128">
                  <c:v>7.4937162932238506</c:v>
                </c:pt>
                <c:pt idx="129">
                  <c:v>7.5589945109963432</c:v>
                </c:pt>
                <c:pt idx="130">
                  <c:v>7.6243772621021675</c:v>
                </c:pt>
                <c:pt idx="131">
                  <c:v>7.6898645465413242</c:v>
                </c:pt>
                <c:pt idx="132">
                  <c:v>7.7554563643138161</c:v>
                </c:pt>
                <c:pt idx="133">
                  <c:v>7.8211527154196414</c:v>
                </c:pt>
                <c:pt idx="134">
                  <c:v>7.8869535998587992</c:v>
                </c:pt>
                <c:pt idx="135">
                  <c:v>7.9528590176312912</c:v>
                </c:pt>
                <c:pt idx="136">
                  <c:v>8.0188689687371149</c:v>
                </c:pt>
                <c:pt idx="137">
                  <c:v>8.0849834531762728</c:v>
                </c:pt>
                <c:pt idx="138">
                  <c:v>8.151202470948764</c:v>
                </c:pt>
                <c:pt idx="139">
                  <c:v>8.2175260220545887</c:v>
                </c:pt>
                <c:pt idx="140">
                  <c:v>8.283954106493745</c:v>
                </c:pt>
                <c:pt idx="141">
                  <c:v>8.3504867242662382</c:v>
                </c:pt>
                <c:pt idx="142">
                  <c:v>8.4171238753720612</c:v>
                </c:pt>
                <c:pt idx="143">
                  <c:v>8.4838655598112229</c:v>
                </c:pt>
                <c:pt idx="144">
                  <c:v>8.5507117775837127</c:v>
                </c:pt>
                <c:pt idx="145">
                  <c:v>8.6176625286895376</c:v>
                </c:pt>
                <c:pt idx="146">
                  <c:v>8.684717813128696</c:v>
                </c:pt>
                <c:pt idx="147">
                  <c:v>8.7518776309011876</c:v>
                </c:pt>
                <c:pt idx="148">
                  <c:v>8.8191419820070127</c:v>
                </c:pt>
                <c:pt idx="149">
                  <c:v>8.8865108664461712</c:v>
                </c:pt>
                <c:pt idx="150">
                  <c:v>8.9539842842186612</c:v>
                </c:pt>
              </c:numCache>
            </c:numRef>
          </c:yVal>
          <c:smooth val="1"/>
          <c:extLst>
            <c:ext xmlns:c16="http://schemas.microsoft.com/office/drawing/2014/chart" uri="{C3380CC4-5D6E-409C-BE32-E72D297353CC}">
              <c16:uniqueId val="{00000001-8268-4C3F-B748-2F54233BBCCC}"/>
            </c:ext>
          </c:extLst>
        </c:ser>
        <c:ser>
          <c:idx val="2"/>
          <c:order val="2"/>
          <c:tx>
            <c:v>Diode</c:v>
          </c:tx>
          <c:marker>
            <c:symbol val="none"/>
          </c:marker>
          <c:xVal>
            <c:numRef>
              <c:f>[1]Eff_vs_IOUT!$S$7:$S$157</c:f>
              <c:numCache>
                <c:formatCode>General</c:formatCode>
                <c:ptCount val="151"/>
                <c:pt idx="0">
                  <c:v>0</c:v>
                </c:pt>
                <c:pt idx="1">
                  <c:v>9.3333333333333338E-2</c:v>
                </c:pt>
                <c:pt idx="2">
                  <c:v>0.18666666666666668</c:v>
                </c:pt>
                <c:pt idx="3">
                  <c:v>0.28000000000000003</c:v>
                </c:pt>
                <c:pt idx="4">
                  <c:v>0.37333333333333335</c:v>
                </c:pt>
                <c:pt idx="5">
                  <c:v>0.46666666666666667</c:v>
                </c:pt>
                <c:pt idx="6">
                  <c:v>0.56000000000000005</c:v>
                </c:pt>
                <c:pt idx="7">
                  <c:v>0.65333333333333332</c:v>
                </c:pt>
                <c:pt idx="8">
                  <c:v>0.7466666666666667</c:v>
                </c:pt>
                <c:pt idx="9">
                  <c:v>0.84000000000000008</c:v>
                </c:pt>
                <c:pt idx="10">
                  <c:v>0.93333333333333335</c:v>
                </c:pt>
                <c:pt idx="11">
                  <c:v>1.0266666666666666</c:v>
                </c:pt>
                <c:pt idx="12">
                  <c:v>1.1200000000000001</c:v>
                </c:pt>
                <c:pt idx="13">
                  <c:v>1.2133333333333334</c:v>
                </c:pt>
                <c:pt idx="14">
                  <c:v>1.3066666666666666</c:v>
                </c:pt>
                <c:pt idx="15">
                  <c:v>1.4000000000000001</c:v>
                </c:pt>
                <c:pt idx="16">
                  <c:v>1.4933333333333334</c:v>
                </c:pt>
                <c:pt idx="17">
                  <c:v>1.5866666666666667</c:v>
                </c:pt>
                <c:pt idx="18">
                  <c:v>1.6800000000000002</c:v>
                </c:pt>
                <c:pt idx="19">
                  <c:v>1.7733333333333334</c:v>
                </c:pt>
                <c:pt idx="20">
                  <c:v>1.8666666666666667</c:v>
                </c:pt>
                <c:pt idx="21">
                  <c:v>1.9600000000000002</c:v>
                </c:pt>
                <c:pt idx="22">
                  <c:v>2.0533333333333332</c:v>
                </c:pt>
                <c:pt idx="23">
                  <c:v>2.1466666666666669</c:v>
                </c:pt>
                <c:pt idx="24">
                  <c:v>2.2400000000000002</c:v>
                </c:pt>
                <c:pt idx="25">
                  <c:v>2.3333333333333335</c:v>
                </c:pt>
                <c:pt idx="26">
                  <c:v>2.4266666666666667</c:v>
                </c:pt>
                <c:pt idx="27">
                  <c:v>2.52</c:v>
                </c:pt>
                <c:pt idx="28">
                  <c:v>2.6133333333333333</c:v>
                </c:pt>
                <c:pt idx="29">
                  <c:v>2.706666666666667</c:v>
                </c:pt>
                <c:pt idx="30">
                  <c:v>2.8000000000000003</c:v>
                </c:pt>
                <c:pt idx="31">
                  <c:v>2.8933333333333335</c:v>
                </c:pt>
                <c:pt idx="32">
                  <c:v>2.9866666666666668</c:v>
                </c:pt>
                <c:pt idx="33">
                  <c:v>3.08</c:v>
                </c:pt>
                <c:pt idx="34">
                  <c:v>3.1733333333333333</c:v>
                </c:pt>
                <c:pt idx="35">
                  <c:v>3.2666666666666666</c:v>
                </c:pt>
                <c:pt idx="36">
                  <c:v>3.3600000000000003</c:v>
                </c:pt>
                <c:pt idx="37">
                  <c:v>3.4533333333333336</c:v>
                </c:pt>
                <c:pt idx="38">
                  <c:v>3.5466666666666669</c:v>
                </c:pt>
                <c:pt idx="39">
                  <c:v>3.64</c:v>
                </c:pt>
                <c:pt idx="40">
                  <c:v>3.7333333333333334</c:v>
                </c:pt>
                <c:pt idx="41">
                  <c:v>3.8266666666666667</c:v>
                </c:pt>
                <c:pt idx="42">
                  <c:v>3.9200000000000004</c:v>
                </c:pt>
                <c:pt idx="43">
                  <c:v>4.0133333333333336</c:v>
                </c:pt>
                <c:pt idx="44">
                  <c:v>4.1066666666666665</c:v>
                </c:pt>
                <c:pt idx="45">
                  <c:v>4.2</c:v>
                </c:pt>
                <c:pt idx="46">
                  <c:v>4.2933333333333339</c:v>
                </c:pt>
                <c:pt idx="47">
                  <c:v>4.3866666666666667</c:v>
                </c:pt>
                <c:pt idx="48">
                  <c:v>4.4800000000000004</c:v>
                </c:pt>
                <c:pt idx="49">
                  <c:v>4.5733333333333333</c:v>
                </c:pt>
                <c:pt idx="50">
                  <c:v>4.666666666666667</c:v>
                </c:pt>
                <c:pt idx="51">
                  <c:v>4.76</c:v>
                </c:pt>
                <c:pt idx="52">
                  <c:v>4.8533333333333335</c:v>
                </c:pt>
                <c:pt idx="53">
                  <c:v>4.9466666666666672</c:v>
                </c:pt>
                <c:pt idx="54">
                  <c:v>5.04</c:v>
                </c:pt>
                <c:pt idx="55">
                  <c:v>5.1333333333333337</c:v>
                </c:pt>
                <c:pt idx="56">
                  <c:v>5.2266666666666666</c:v>
                </c:pt>
                <c:pt idx="57">
                  <c:v>5.32</c:v>
                </c:pt>
                <c:pt idx="58">
                  <c:v>5.413333333333334</c:v>
                </c:pt>
                <c:pt idx="59">
                  <c:v>5.5066666666666668</c:v>
                </c:pt>
                <c:pt idx="60">
                  <c:v>5.6000000000000005</c:v>
                </c:pt>
                <c:pt idx="61">
                  <c:v>5.6933333333333334</c:v>
                </c:pt>
                <c:pt idx="62">
                  <c:v>5.7866666666666671</c:v>
                </c:pt>
                <c:pt idx="63">
                  <c:v>5.88</c:v>
                </c:pt>
                <c:pt idx="64">
                  <c:v>5.9733333333333336</c:v>
                </c:pt>
                <c:pt idx="65">
                  <c:v>6.0666666666666673</c:v>
                </c:pt>
                <c:pt idx="66">
                  <c:v>6.16</c:v>
                </c:pt>
                <c:pt idx="67">
                  <c:v>6.2533333333333339</c:v>
                </c:pt>
                <c:pt idx="68">
                  <c:v>6.3466666666666667</c:v>
                </c:pt>
                <c:pt idx="69">
                  <c:v>6.44</c:v>
                </c:pt>
                <c:pt idx="70">
                  <c:v>6.5333333333333332</c:v>
                </c:pt>
                <c:pt idx="71">
                  <c:v>6.6266666666666669</c:v>
                </c:pt>
                <c:pt idx="72">
                  <c:v>6.7200000000000006</c:v>
                </c:pt>
                <c:pt idx="73">
                  <c:v>6.8133333333333335</c:v>
                </c:pt>
                <c:pt idx="74">
                  <c:v>6.9066666666666672</c:v>
                </c:pt>
                <c:pt idx="75">
                  <c:v>7</c:v>
                </c:pt>
                <c:pt idx="76">
                  <c:v>7.0933333333333337</c:v>
                </c:pt>
                <c:pt idx="77">
                  <c:v>7.1866666666666674</c:v>
                </c:pt>
                <c:pt idx="78">
                  <c:v>7.28</c:v>
                </c:pt>
                <c:pt idx="79">
                  <c:v>7.373333333333334</c:v>
                </c:pt>
                <c:pt idx="80">
                  <c:v>7.4666666666666668</c:v>
                </c:pt>
                <c:pt idx="81">
                  <c:v>7.5600000000000005</c:v>
                </c:pt>
                <c:pt idx="82">
                  <c:v>7.6533333333333333</c:v>
                </c:pt>
                <c:pt idx="83">
                  <c:v>7.746666666666667</c:v>
                </c:pt>
                <c:pt idx="84">
                  <c:v>7.8400000000000007</c:v>
                </c:pt>
                <c:pt idx="85">
                  <c:v>7.9333333333333336</c:v>
                </c:pt>
                <c:pt idx="86">
                  <c:v>8.0266666666666673</c:v>
                </c:pt>
                <c:pt idx="87">
                  <c:v>8.120000000000001</c:v>
                </c:pt>
                <c:pt idx="88">
                  <c:v>8.2133333333333329</c:v>
                </c:pt>
                <c:pt idx="89">
                  <c:v>8.3066666666666666</c:v>
                </c:pt>
                <c:pt idx="90">
                  <c:v>8.4</c:v>
                </c:pt>
                <c:pt idx="91">
                  <c:v>8.4933333333333341</c:v>
                </c:pt>
                <c:pt idx="92">
                  <c:v>8.5866666666666678</c:v>
                </c:pt>
                <c:pt idx="93">
                  <c:v>8.68</c:v>
                </c:pt>
                <c:pt idx="94">
                  <c:v>8.7733333333333334</c:v>
                </c:pt>
                <c:pt idx="95">
                  <c:v>8.8666666666666671</c:v>
                </c:pt>
                <c:pt idx="96">
                  <c:v>8.9600000000000009</c:v>
                </c:pt>
                <c:pt idx="97">
                  <c:v>9.0533333333333346</c:v>
                </c:pt>
                <c:pt idx="98">
                  <c:v>9.1466666666666665</c:v>
                </c:pt>
                <c:pt idx="99">
                  <c:v>9.24</c:v>
                </c:pt>
                <c:pt idx="100">
                  <c:v>9.3333333333333339</c:v>
                </c:pt>
                <c:pt idx="101">
                  <c:v>9.4266666666666676</c:v>
                </c:pt>
                <c:pt idx="102">
                  <c:v>9.52</c:v>
                </c:pt>
                <c:pt idx="103">
                  <c:v>9.6133333333333333</c:v>
                </c:pt>
                <c:pt idx="104">
                  <c:v>9.706666666666667</c:v>
                </c:pt>
                <c:pt idx="105">
                  <c:v>9.8000000000000007</c:v>
                </c:pt>
                <c:pt idx="106">
                  <c:v>9.8933333333333344</c:v>
                </c:pt>
                <c:pt idx="107">
                  <c:v>9.9866666666666664</c:v>
                </c:pt>
                <c:pt idx="108">
                  <c:v>10.08</c:v>
                </c:pt>
                <c:pt idx="109">
                  <c:v>10.173333333333334</c:v>
                </c:pt>
                <c:pt idx="110">
                  <c:v>10.266666666666667</c:v>
                </c:pt>
                <c:pt idx="111">
                  <c:v>10.360000000000001</c:v>
                </c:pt>
                <c:pt idx="112">
                  <c:v>10.453333333333333</c:v>
                </c:pt>
                <c:pt idx="113">
                  <c:v>10.546666666666667</c:v>
                </c:pt>
                <c:pt idx="114">
                  <c:v>10.64</c:v>
                </c:pt>
                <c:pt idx="115">
                  <c:v>10.733333333333334</c:v>
                </c:pt>
                <c:pt idx="116">
                  <c:v>10.826666666666668</c:v>
                </c:pt>
                <c:pt idx="117">
                  <c:v>10.92</c:v>
                </c:pt>
                <c:pt idx="118">
                  <c:v>11.013333333333334</c:v>
                </c:pt>
                <c:pt idx="119">
                  <c:v>11.106666666666667</c:v>
                </c:pt>
                <c:pt idx="120">
                  <c:v>11.200000000000001</c:v>
                </c:pt>
                <c:pt idx="121">
                  <c:v>11.293333333333333</c:v>
                </c:pt>
                <c:pt idx="122">
                  <c:v>11.386666666666667</c:v>
                </c:pt>
                <c:pt idx="123">
                  <c:v>11.48</c:v>
                </c:pt>
                <c:pt idx="124">
                  <c:v>11.573333333333334</c:v>
                </c:pt>
                <c:pt idx="125">
                  <c:v>11.666666666666668</c:v>
                </c:pt>
                <c:pt idx="126">
                  <c:v>11.76</c:v>
                </c:pt>
                <c:pt idx="127">
                  <c:v>11.853333333333333</c:v>
                </c:pt>
                <c:pt idx="128">
                  <c:v>11.946666666666667</c:v>
                </c:pt>
                <c:pt idx="129">
                  <c:v>12.040000000000001</c:v>
                </c:pt>
                <c:pt idx="130">
                  <c:v>12.133333333333335</c:v>
                </c:pt>
                <c:pt idx="131">
                  <c:v>12.226666666666667</c:v>
                </c:pt>
                <c:pt idx="132">
                  <c:v>12.32</c:v>
                </c:pt>
                <c:pt idx="133">
                  <c:v>12.413333333333334</c:v>
                </c:pt>
                <c:pt idx="134">
                  <c:v>12.506666666666668</c:v>
                </c:pt>
                <c:pt idx="135">
                  <c:v>12.600000000000001</c:v>
                </c:pt>
                <c:pt idx="136">
                  <c:v>12.693333333333333</c:v>
                </c:pt>
                <c:pt idx="137">
                  <c:v>12.786666666666667</c:v>
                </c:pt>
                <c:pt idx="138">
                  <c:v>12.88</c:v>
                </c:pt>
                <c:pt idx="139">
                  <c:v>12.973333333333334</c:v>
                </c:pt>
                <c:pt idx="140">
                  <c:v>13.066666666666666</c:v>
                </c:pt>
                <c:pt idx="141">
                  <c:v>13.16</c:v>
                </c:pt>
                <c:pt idx="142">
                  <c:v>13.253333333333334</c:v>
                </c:pt>
                <c:pt idx="143">
                  <c:v>13.346666666666668</c:v>
                </c:pt>
                <c:pt idx="144">
                  <c:v>13.440000000000001</c:v>
                </c:pt>
                <c:pt idx="145">
                  <c:v>13.533333333333333</c:v>
                </c:pt>
                <c:pt idx="146">
                  <c:v>13.626666666666667</c:v>
                </c:pt>
                <c:pt idx="147">
                  <c:v>13.72</c:v>
                </c:pt>
                <c:pt idx="148">
                  <c:v>13.813333333333334</c:v>
                </c:pt>
                <c:pt idx="149">
                  <c:v>13.906666666666668</c:v>
                </c:pt>
                <c:pt idx="150">
                  <c:v>14</c:v>
                </c:pt>
              </c:numCache>
            </c:numRef>
          </c:xVal>
          <c:yVal>
            <c:numRef>
              <c:f>[1]Eff_vs_IOUT!$AO$7:$AO$157</c:f>
              <c:numCache>
                <c:formatCode>General</c:formatCode>
                <c:ptCount val="151"/>
                <c:pt idx="0">
                  <c:v>0.63790833399516844</c:v>
                </c:pt>
                <c:pt idx="1">
                  <c:v>0.63990566732850174</c:v>
                </c:pt>
                <c:pt idx="2">
                  <c:v>0.64195526732850172</c:v>
                </c:pt>
                <c:pt idx="3">
                  <c:v>0.6440571339951684</c:v>
                </c:pt>
                <c:pt idx="4">
                  <c:v>0.64621126732850176</c:v>
                </c:pt>
                <c:pt idx="5">
                  <c:v>0.6484176673285017</c:v>
                </c:pt>
                <c:pt idx="6">
                  <c:v>0.65067633399516844</c:v>
                </c:pt>
                <c:pt idx="7">
                  <c:v>0.65298726732850176</c:v>
                </c:pt>
                <c:pt idx="8">
                  <c:v>0.65535046732850177</c:v>
                </c:pt>
                <c:pt idx="9">
                  <c:v>0.65776593399516836</c:v>
                </c:pt>
                <c:pt idx="10">
                  <c:v>0.66023366732850175</c:v>
                </c:pt>
                <c:pt idx="11">
                  <c:v>0.66275366732850172</c:v>
                </c:pt>
                <c:pt idx="12">
                  <c:v>0.66532593399516837</c:v>
                </c:pt>
                <c:pt idx="13">
                  <c:v>0.66795046732850172</c:v>
                </c:pt>
                <c:pt idx="14">
                  <c:v>0.67062726732850175</c:v>
                </c:pt>
                <c:pt idx="15">
                  <c:v>0.67335633399516848</c:v>
                </c:pt>
                <c:pt idx="16">
                  <c:v>0.67613766732850178</c:v>
                </c:pt>
                <c:pt idx="17">
                  <c:v>0.67897126732850177</c:v>
                </c:pt>
                <c:pt idx="18">
                  <c:v>0.68185713399516845</c:v>
                </c:pt>
                <c:pt idx="19">
                  <c:v>0.68479526732850171</c:v>
                </c:pt>
                <c:pt idx="20">
                  <c:v>0.68778566732850177</c:v>
                </c:pt>
                <c:pt idx="21">
                  <c:v>0.69082833399516841</c:v>
                </c:pt>
                <c:pt idx="22">
                  <c:v>0.69392326732850174</c:v>
                </c:pt>
                <c:pt idx="23">
                  <c:v>0.69707046732850175</c:v>
                </c:pt>
                <c:pt idx="24">
                  <c:v>0.70026993399516846</c:v>
                </c:pt>
                <c:pt idx="25">
                  <c:v>0.70352166732850174</c:v>
                </c:pt>
                <c:pt idx="26">
                  <c:v>0.70682566732850183</c:v>
                </c:pt>
                <c:pt idx="27">
                  <c:v>0.71018193399516838</c:v>
                </c:pt>
                <c:pt idx="28">
                  <c:v>0.71359046732850173</c:v>
                </c:pt>
                <c:pt idx="29">
                  <c:v>0.71705126732850177</c:v>
                </c:pt>
                <c:pt idx="30">
                  <c:v>0.72056433399516839</c:v>
                </c:pt>
                <c:pt idx="31">
                  <c:v>0.72412966732850181</c:v>
                </c:pt>
                <c:pt idx="32">
                  <c:v>0.7277472673285017</c:v>
                </c:pt>
                <c:pt idx="33">
                  <c:v>0.7314171339951685</c:v>
                </c:pt>
                <c:pt idx="34">
                  <c:v>0.73513926732850177</c:v>
                </c:pt>
                <c:pt idx="35">
                  <c:v>0.73891366732850172</c:v>
                </c:pt>
                <c:pt idx="36">
                  <c:v>0.74274033399516837</c:v>
                </c:pt>
                <c:pt idx="37">
                  <c:v>0.7466192673285017</c:v>
                </c:pt>
                <c:pt idx="38">
                  <c:v>0.75055046732850172</c:v>
                </c:pt>
                <c:pt idx="39">
                  <c:v>0.75453393399516833</c:v>
                </c:pt>
                <c:pt idx="40">
                  <c:v>0.75856966732850173</c:v>
                </c:pt>
                <c:pt idx="41">
                  <c:v>0.76265766732850171</c:v>
                </c:pt>
                <c:pt idx="42">
                  <c:v>0.76679793399516849</c:v>
                </c:pt>
                <c:pt idx="43">
                  <c:v>0.77099046732850174</c:v>
                </c:pt>
                <c:pt idx="44">
                  <c:v>0.77523526732850168</c:v>
                </c:pt>
                <c:pt idx="45">
                  <c:v>0.77953233399516841</c:v>
                </c:pt>
                <c:pt idx="46">
                  <c:v>0.78388166732850184</c:v>
                </c:pt>
                <c:pt idx="47">
                  <c:v>0.78828326732850174</c:v>
                </c:pt>
                <c:pt idx="48">
                  <c:v>0.79273713399516832</c:v>
                </c:pt>
                <c:pt idx="49">
                  <c:v>0.7972432673285017</c:v>
                </c:pt>
                <c:pt idx="50">
                  <c:v>0.80180166732850178</c:v>
                </c:pt>
                <c:pt idx="51">
                  <c:v>0.80641233399516843</c:v>
                </c:pt>
                <c:pt idx="52">
                  <c:v>0.81107526732850177</c:v>
                </c:pt>
                <c:pt idx="53">
                  <c:v>0.8157904673285018</c:v>
                </c:pt>
                <c:pt idx="54">
                  <c:v>0.82055793399516841</c:v>
                </c:pt>
                <c:pt idx="55">
                  <c:v>0.82537766732850182</c:v>
                </c:pt>
                <c:pt idx="56">
                  <c:v>0.83024966732850169</c:v>
                </c:pt>
                <c:pt idx="57">
                  <c:v>0.83517393399516837</c:v>
                </c:pt>
                <c:pt idx="58">
                  <c:v>0.84015046732850174</c:v>
                </c:pt>
                <c:pt idx="59">
                  <c:v>0.84517926732850168</c:v>
                </c:pt>
                <c:pt idx="60">
                  <c:v>0.85026033399516843</c:v>
                </c:pt>
                <c:pt idx="61">
                  <c:v>0.85539366732850175</c:v>
                </c:pt>
                <c:pt idx="62">
                  <c:v>0.86057926732850187</c:v>
                </c:pt>
                <c:pt idx="63">
                  <c:v>0.86581713399516835</c:v>
                </c:pt>
                <c:pt idx="64">
                  <c:v>0.87110726732850186</c:v>
                </c:pt>
                <c:pt idx="65">
                  <c:v>0.87644966732850182</c:v>
                </c:pt>
                <c:pt idx="66">
                  <c:v>0.88184433399516837</c:v>
                </c:pt>
                <c:pt idx="67">
                  <c:v>0.88729126732850183</c:v>
                </c:pt>
                <c:pt idx="68">
                  <c:v>0.89279046732850165</c:v>
                </c:pt>
                <c:pt idx="69">
                  <c:v>0.89834193399516837</c:v>
                </c:pt>
                <c:pt idx="70">
                  <c:v>0.90394566732850168</c:v>
                </c:pt>
                <c:pt idx="71">
                  <c:v>0.90960166732850167</c:v>
                </c:pt>
                <c:pt idx="72">
                  <c:v>0.91530993399516836</c:v>
                </c:pt>
                <c:pt idx="73">
                  <c:v>0.92107046732850173</c:v>
                </c:pt>
                <c:pt idx="74">
                  <c:v>0.92688326732850179</c:v>
                </c:pt>
                <c:pt idx="75">
                  <c:v>0.93274833399516832</c:v>
                </c:pt>
                <c:pt idx="76">
                  <c:v>0.93866566732850176</c:v>
                </c:pt>
                <c:pt idx="77">
                  <c:v>0.94463526732850167</c:v>
                </c:pt>
                <c:pt idx="78">
                  <c:v>0.95065713399516838</c:v>
                </c:pt>
                <c:pt idx="79">
                  <c:v>0.95673126732850167</c:v>
                </c:pt>
                <c:pt idx="80">
                  <c:v>0.96285766732850175</c:v>
                </c:pt>
                <c:pt idx="81">
                  <c:v>0.96903633399516842</c:v>
                </c:pt>
                <c:pt idx="82">
                  <c:v>0.97526726732850166</c:v>
                </c:pt>
                <c:pt idx="83">
                  <c:v>0.98155046732850182</c:v>
                </c:pt>
                <c:pt idx="84">
                  <c:v>0.98788593399516844</c:v>
                </c:pt>
                <c:pt idx="85">
                  <c:v>0.99427366732850175</c:v>
                </c:pt>
                <c:pt idx="86">
                  <c:v>1.0007136673285018</c:v>
                </c:pt>
                <c:pt idx="87">
                  <c:v>1.0072059339951684</c:v>
                </c:pt>
                <c:pt idx="88">
                  <c:v>1.0137504673285016</c:v>
                </c:pt>
                <c:pt idx="89">
                  <c:v>1.0203472673285017</c:v>
                </c:pt>
                <c:pt idx="90">
                  <c:v>1.0269963339951684</c:v>
                </c:pt>
                <c:pt idx="91">
                  <c:v>1.0336976673285017</c:v>
                </c:pt>
                <c:pt idx="92">
                  <c:v>1.0404512673285016</c:v>
                </c:pt>
                <c:pt idx="93">
                  <c:v>1.0472571339951684</c:v>
                </c:pt>
                <c:pt idx="94">
                  <c:v>1.0541152673285017</c:v>
                </c:pt>
                <c:pt idx="95">
                  <c:v>1.0610256673285017</c:v>
                </c:pt>
                <c:pt idx="96">
                  <c:v>1.0679883339951683</c:v>
                </c:pt>
                <c:pt idx="97">
                  <c:v>1.0750032673285017</c:v>
                </c:pt>
                <c:pt idx="98">
                  <c:v>1.0820704673285015</c:v>
                </c:pt>
                <c:pt idx="99">
                  <c:v>1.0891899339951683</c:v>
                </c:pt>
                <c:pt idx="100">
                  <c:v>1.0963616673285017</c:v>
                </c:pt>
                <c:pt idx="101">
                  <c:v>1.1035856673285016</c:v>
                </c:pt>
                <c:pt idx="102">
                  <c:v>1.1108619339951684</c:v>
                </c:pt>
                <c:pt idx="103">
                  <c:v>1.1181904673285017</c:v>
                </c:pt>
                <c:pt idx="104">
                  <c:v>1.1255712673285017</c:v>
                </c:pt>
                <c:pt idx="105">
                  <c:v>1.1330043339951683</c:v>
                </c:pt>
                <c:pt idx="106">
                  <c:v>1.1404896673285019</c:v>
                </c:pt>
                <c:pt idx="107">
                  <c:v>1.1480272673285017</c:v>
                </c:pt>
                <c:pt idx="108">
                  <c:v>1.1556171339951684</c:v>
                </c:pt>
                <c:pt idx="109">
                  <c:v>1.1632592673285016</c:v>
                </c:pt>
                <c:pt idx="110">
                  <c:v>1.1709536673285019</c:v>
                </c:pt>
                <c:pt idx="111">
                  <c:v>1.1787003339951685</c:v>
                </c:pt>
                <c:pt idx="112">
                  <c:v>1.1864992673285015</c:v>
                </c:pt>
                <c:pt idx="113">
                  <c:v>1.1943504673285019</c:v>
                </c:pt>
                <c:pt idx="114">
                  <c:v>1.2022539339951683</c:v>
                </c:pt>
                <c:pt idx="115">
                  <c:v>1.2102096673285019</c:v>
                </c:pt>
                <c:pt idx="116">
                  <c:v>1.2182176673285019</c:v>
                </c:pt>
                <c:pt idx="117">
                  <c:v>1.2262779339951684</c:v>
                </c:pt>
                <c:pt idx="118">
                  <c:v>1.2343904673285018</c:v>
                </c:pt>
                <c:pt idx="119">
                  <c:v>1.2425552673285019</c:v>
                </c:pt>
                <c:pt idx="120">
                  <c:v>1.2507723339951684</c:v>
                </c:pt>
                <c:pt idx="121">
                  <c:v>1.2590416673285016</c:v>
                </c:pt>
                <c:pt idx="122">
                  <c:v>1.2673632673285018</c:v>
                </c:pt>
                <c:pt idx="123">
                  <c:v>1.2757371339951682</c:v>
                </c:pt>
                <c:pt idx="124">
                  <c:v>1.2841632673285017</c:v>
                </c:pt>
                <c:pt idx="125">
                  <c:v>1.2926416673285019</c:v>
                </c:pt>
                <c:pt idx="126">
                  <c:v>1.3011723339951682</c:v>
                </c:pt>
                <c:pt idx="127">
                  <c:v>1.3097552673285018</c:v>
                </c:pt>
                <c:pt idx="128">
                  <c:v>1.3183904673285016</c:v>
                </c:pt>
                <c:pt idx="129">
                  <c:v>1.3270779339951686</c:v>
                </c:pt>
                <c:pt idx="130">
                  <c:v>1.3358176673285018</c:v>
                </c:pt>
                <c:pt idx="131">
                  <c:v>1.3446096673285015</c:v>
                </c:pt>
                <c:pt idx="132">
                  <c:v>1.3534539339951683</c:v>
                </c:pt>
                <c:pt idx="133">
                  <c:v>1.3623504673285018</c:v>
                </c:pt>
                <c:pt idx="134">
                  <c:v>1.3712992673285016</c:v>
                </c:pt>
                <c:pt idx="135">
                  <c:v>1.3803003339951685</c:v>
                </c:pt>
                <c:pt idx="136">
                  <c:v>1.3893536673285016</c:v>
                </c:pt>
                <c:pt idx="137">
                  <c:v>1.3984592673285019</c:v>
                </c:pt>
                <c:pt idx="138">
                  <c:v>1.4076171339951684</c:v>
                </c:pt>
                <c:pt idx="139">
                  <c:v>1.4168272673285018</c:v>
                </c:pt>
                <c:pt idx="140">
                  <c:v>1.4260896673285015</c:v>
                </c:pt>
                <c:pt idx="141">
                  <c:v>1.4354043339951685</c:v>
                </c:pt>
                <c:pt idx="142">
                  <c:v>1.4447712673285016</c:v>
                </c:pt>
                <c:pt idx="143">
                  <c:v>1.454190467328502</c:v>
                </c:pt>
                <c:pt idx="144">
                  <c:v>1.4636619339951684</c:v>
                </c:pt>
                <c:pt idx="145">
                  <c:v>1.4731856673285018</c:v>
                </c:pt>
                <c:pt idx="146">
                  <c:v>1.4827616673285018</c:v>
                </c:pt>
                <c:pt idx="147">
                  <c:v>1.4923899339951685</c:v>
                </c:pt>
                <c:pt idx="148">
                  <c:v>1.5020704673285015</c:v>
                </c:pt>
                <c:pt idx="149">
                  <c:v>1.5118032673285018</c:v>
                </c:pt>
                <c:pt idx="150">
                  <c:v>1.5215883339951684</c:v>
                </c:pt>
              </c:numCache>
            </c:numRef>
          </c:yVal>
          <c:smooth val="1"/>
          <c:extLst>
            <c:ext xmlns:c16="http://schemas.microsoft.com/office/drawing/2014/chart" uri="{C3380CC4-5D6E-409C-BE32-E72D297353CC}">
              <c16:uniqueId val="{00000002-8268-4C3F-B748-2F54233BBCCC}"/>
            </c:ext>
          </c:extLst>
        </c:ser>
        <c:ser>
          <c:idx val="3"/>
          <c:order val="3"/>
          <c:tx>
            <c:v>RCS</c:v>
          </c:tx>
          <c:marker>
            <c:symbol val="none"/>
          </c:marker>
          <c:xVal>
            <c:numRef>
              <c:f>[1]Eff_vs_IOUT!$S$7:$S$157</c:f>
              <c:numCache>
                <c:formatCode>General</c:formatCode>
                <c:ptCount val="151"/>
                <c:pt idx="0">
                  <c:v>0</c:v>
                </c:pt>
                <c:pt idx="1">
                  <c:v>9.3333333333333338E-2</c:v>
                </c:pt>
                <c:pt idx="2">
                  <c:v>0.18666666666666668</c:v>
                </c:pt>
                <c:pt idx="3">
                  <c:v>0.28000000000000003</c:v>
                </c:pt>
                <c:pt idx="4">
                  <c:v>0.37333333333333335</c:v>
                </c:pt>
                <c:pt idx="5">
                  <c:v>0.46666666666666667</c:v>
                </c:pt>
                <c:pt idx="6">
                  <c:v>0.56000000000000005</c:v>
                </c:pt>
                <c:pt idx="7">
                  <c:v>0.65333333333333332</c:v>
                </c:pt>
                <c:pt idx="8">
                  <c:v>0.7466666666666667</c:v>
                </c:pt>
                <c:pt idx="9">
                  <c:v>0.84000000000000008</c:v>
                </c:pt>
                <c:pt idx="10">
                  <c:v>0.93333333333333335</c:v>
                </c:pt>
                <c:pt idx="11">
                  <c:v>1.0266666666666666</c:v>
                </c:pt>
                <c:pt idx="12">
                  <c:v>1.1200000000000001</c:v>
                </c:pt>
                <c:pt idx="13">
                  <c:v>1.2133333333333334</c:v>
                </c:pt>
                <c:pt idx="14">
                  <c:v>1.3066666666666666</c:v>
                </c:pt>
                <c:pt idx="15">
                  <c:v>1.4000000000000001</c:v>
                </c:pt>
                <c:pt idx="16">
                  <c:v>1.4933333333333334</c:v>
                </c:pt>
                <c:pt idx="17">
                  <c:v>1.5866666666666667</c:v>
                </c:pt>
                <c:pt idx="18">
                  <c:v>1.6800000000000002</c:v>
                </c:pt>
                <c:pt idx="19">
                  <c:v>1.7733333333333334</c:v>
                </c:pt>
                <c:pt idx="20">
                  <c:v>1.8666666666666667</c:v>
                </c:pt>
                <c:pt idx="21">
                  <c:v>1.9600000000000002</c:v>
                </c:pt>
                <c:pt idx="22">
                  <c:v>2.0533333333333332</c:v>
                </c:pt>
                <c:pt idx="23">
                  <c:v>2.1466666666666669</c:v>
                </c:pt>
                <c:pt idx="24">
                  <c:v>2.2400000000000002</c:v>
                </c:pt>
                <c:pt idx="25">
                  <c:v>2.3333333333333335</c:v>
                </c:pt>
                <c:pt idx="26">
                  <c:v>2.4266666666666667</c:v>
                </c:pt>
                <c:pt idx="27">
                  <c:v>2.52</c:v>
                </c:pt>
                <c:pt idx="28">
                  <c:v>2.6133333333333333</c:v>
                </c:pt>
                <c:pt idx="29">
                  <c:v>2.706666666666667</c:v>
                </c:pt>
                <c:pt idx="30">
                  <c:v>2.8000000000000003</c:v>
                </c:pt>
                <c:pt idx="31">
                  <c:v>2.8933333333333335</c:v>
                </c:pt>
                <c:pt idx="32">
                  <c:v>2.9866666666666668</c:v>
                </c:pt>
                <c:pt idx="33">
                  <c:v>3.08</c:v>
                </c:pt>
                <c:pt idx="34">
                  <c:v>3.1733333333333333</c:v>
                </c:pt>
                <c:pt idx="35">
                  <c:v>3.2666666666666666</c:v>
                </c:pt>
                <c:pt idx="36">
                  <c:v>3.3600000000000003</c:v>
                </c:pt>
                <c:pt idx="37">
                  <c:v>3.4533333333333336</c:v>
                </c:pt>
                <c:pt idx="38">
                  <c:v>3.5466666666666669</c:v>
                </c:pt>
                <c:pt idx="39">
                  <c:v>3.64</c:v>
                </c:pt>
                <c:pt idx="40">
                  <c:v>3.7333333333333334</c:v>
                </c:pt>
                <c:pt idx="41">
                  <c:v>3.8266666666666667</c:v>
                </c:pt>
                <c:pt idx="42">
                  <c:v>3.9200000000000004</c:v>
                </c:pt>
                <c:pt idx="43">
                  <c:v>4.0133333333333336</c:v>
                </c:pt>
                <c:pt idx="44">
                  <c:v>4.1066666666666665</c:v>
                </c:pt>
                <c:pt idx="45">
                  <c:v>4.2</c:v>
                </c:pt>
                <c:pt idx="46">
                  <c:v>4.2933333333333339</c:v>
                </c:pt>
                <c:pt idx="47">
                  <c:v>4.3866666666666667</c:v>
                </c:pt>
                <c:pt idx="48">
                  <c:v>4.4800000000000004</c:v>
                </c:pt>
                <c:pt idx="49">
                  <c:v>4.5733333333333333</c:v>
                </c:pt>
                <c:pt idx="50">
                  <c:v>4.666666666666667</c:v>
                </c:pt>
                <c:pt idx="51">
                  <c:v>4.76</c:v>
                </c:pt>
                <c:pt idx="52">
                  <c:v>4.8533333333333335</c:v>
                </c:pt>
                <c:pt idx="53">
                  <c:v>4.9466666666666672</c:v>
                </c:pt>
                <c:pt idx="54">
                  <c:v>5.04</c:v>
                </c:pt>
                <c:pt idx="55">
                  <c:v>5.1333333333333337</c:v>
                </c:pt>
                <c:pt idx="56">
                  <c:v>5.2266666666666666</c:v>
                </c:pt>
                <c:pt idx="57">
                  <c:v>5.32</c:v>
                </c:pt>
                <c:pt idx="58">
                  <c:v>5.413333333333334</c:v>
                </c:pt>
                <c:pt idx="59">
                  <c:v>5.5066666666666668</c:v>
                </c:pt>
                <c:pt idx="60">
                  <c:v>5.6000000000000005</c:v>
                </c:pt>
                <c:pt idx="61">
                  <c:v>5.6933333333333334</c:v>
                </c:pt>
                <c:pt idx="62">
                  <c:v>5.7866666666666671</c:v>
                </c:pt>
                <c:pt idx="63">
                  <c:v>5.88</c:v>
                </c:pt>
                <c:pt idx="64">
                  <c:v>5.9733333333333336</c:v>
                </c:pt>
                <c:pt idx="65">
                  <c:v>6.0666666666666673</c:v>
                </c:pt>
                <c:pt idx="66">
                  <c:v>6.16</c:v>
                </c:pt>
                <c:pt idx="67">
                  <c:v>6.2533333333333339</c:v>
                </c:pt>
                <c:pt idx="68">
                  <c:v>6.3466666666666667</c:v>
                </c:pt>
                <c:pt idx="69">
                  <c:v>6.44</c:v>
                </c:pt>
                <c:pt idx="70">
                  <c:v>6.5333333333333332</c:v>
                </c:pt>
                <c:pt idx="71">
                  <c:v>6.6266666666666669</c:v>
                </c:pt>
                <c:pt idx="72">
                  <c:v>6.7200000000000006</c:v>
                </c:pt>
                <c:pt idx="73">
                  <c:v>6.8133333333333335</c:v>
                </c:pt>
                <c:pt idx="74">
                  <c:v>6.9066666666666672</c:v>
                </c:pt>
                <c:pt idx="75">
                  <c:v>7</c:v>
                </c:pt>
                <c:pt idx="76">
                  <c:v>7.0933333333333337</c:v>
                </c:pt>
                <c:pt idx="77">
                  <c:v>7.1866666666666674</c:v>
                </c:pt>
                <c:pt idx="78">
                  <c:v>7.28</c:v>
                </c:pt>
                <c:pt idx="79">
                  <c:v>7.373333333333334</c:v>
                </c:pt>
                <c:pt idx="80">
                  <c:v>7.4666666666666668</c:v>
                </c:pt>
                <c:pt idx="81">
                  <c:v>7.5600000000000005</c:v>
                </c:pt>
                <c:pt idx="82">
                  <c:v>7.6533333333333333</c:v>
                </c:pt>
                <c:pt idx="83">
                  <c:v>7.746666666666667</c:v>
                </c:pt>
                <c:pt idx="84">
                  <c:v>7.8400000000000007</c:v>
                </c:pt>
                <c:pt idx="85">
                  <c:v>7.9333333333333336</c:v>
                </c:pt>
                <c:pt idx="86">
                  <c:v>8.0266666666666673</c:v>
                </c:pt>
                <c:pt idx="87">
                  <c:v>8.120000000000001</c:v>
                </c:pt>
                <c:pt idx="88">
                  <c:v>8.2133333333333329</c:v>
                </c:pt>
                <c:pt idx="89">
                  <c:v>8.3066666666666666</c:v>
                </c:pt>
                <c:pt idx="90">
                  <c:v>8.4</c:v>
                </c:pt>
                <c:pt idx="91">
                  <c:v>8.4933333333333341</c:v>
                </c:pt>
                <c:pt idx="92">
                  <c:v>8.5866666666666678</c:v>
                </c:pt>
                <c:pt idx="93">
                  <c:v>8.68</c:v>
                </c:pt>
                <c:pt idx="94">
                  <c:v>8.7733333333333334</c:v>
                </c:pt>
                <c:pt idx="95">
                  <c:v>8.8666666666666671</c:v>
                </c:pt>
                <c:pt idx="96">
                  <c:v>8.9600000000000009</c:v>
                </c:pt>
                <c:pt idx="97">
                  <c:v>9.0533333333333346</c:v>
                </c:pt>
                <c:pt idx="98">
                  <c:v>9.1466666666666665</c:v>
                </c:pt>
                <c:pt idx="99">
                  <c:v>9.24</c:v>
                </c:pt>
                <c:pt idx="100">
                  <c:v>9.3333333333333339</c:v>
                </c:pt>
                <c:pt idx="101">
                  <c:v>9.4266666666666676</c:v>
                </c:pt>
                <c:pt idx="102">
                  <c:v>9.52</c:v>
                </c:pt>
                <c:pt idx="103">
                  <c:v>9.6133333333333333</c:v>
                </c:pt>
                <c:pt idx="104">
                  <c:v>9.706666666666667</c:v>
                </c:pt>
                <c:pt idx="105">
                  <c:v>9.8000000000000007</c:v>
                </c:pt>
                <c:pt idx="106">
                  <c:v>9.8933333333333344</c:v>
                </c:pt>
                <c:pt idx="107">
                  <c:v>9.9866666666666664</c:v>
                </c:pt>
                <c:pt idx="108">
                  <c:v>10.08</c:v>
                </c:pt>
                <c:pt idx="109">
                  <c:v>10.173333333333334</c:v>
                </c:pt>
                <c:pt idx="110">
                  <c:v>10.266666666666667</c:v>
                </c:pt>
                <c:pt idx="111">
                  <c:v>10.360000000000001</c:v>
                </c:pt>
                <c:pt idx="112">
                  <c:v>10.453333333333333</c:v>
                </c:pt>
                <c:pt idx="113">
                  <c:v>10.546666666666667</c:v>
                </c:pt>
                <c:pt idx="114">
                  <c:v>10.64</c:v>
                </c:pt>
                <c:pt idx="115">
                  <c:v>10.733333333333334</c:v>
                </c:pt>
                <c:pt idx="116">
                  <c:v>10.826666666666668</c:v>
                </c:pt>
                <c:pt idx="117">
                  <c:v>10.92</c:v>
                </c:pt>
                <c:pt idx="118">
                  <c:v>11.013333333333334</c:v>
                </c:pt>
                <c:pt idx="119">
                  <c:v>11.106666666666667</c:v>
                </c:pt>
                <c:pt idx="120">
                  <c:v>11.200000000000001</c:v>
                </c:pt>
                <c:pt idx="121">
                  <c:v>11.293333333333333</c:v>
                </c:pt>
                <c:pt idx="122">
                  <c:v>11.386666666666667</c:v>
                </c:pt>
                <c:pt idx="123">
                  <c:v>11.48</c:v>
                </c:pt>
                <c:pt idx="124">
                  <c:v>11.573333333333334</c:v>
                </c:pt>
                <c:pt idx="125">
                  <c:v>11.666666666666668</c:v>
                </c:pt>
                <c:pt idx="126">
                  <c:v>11.76</c:v>
                </c:pt>
                <c:pt idx="127">
                  <c:v>11.853333333333333</c:v>
                </c:pt>
                <c:pt idx="128">
                  <c:v>11.946666666666667</c:v>
                </c:pt>
                <c:pt idx="129">
                  <c:v>12.040000000000001</c:v>
                </c:pt>
                <c:pt idx="130">
                  <c:v>12.133333333333335</c:v>
                </c:pt>
                <c:pt idx="131">
                  <c:v>12.226666666666667</c:v>
                </c:pt>
                <c:pt idx="132">
                  <c:v>12.32</c:v>
                </c:pt>
                <c:pt idx="133">
                  <c:v>12.413333333333334</c:v>
                </c:pt>
                <c:pt idx="134">
                  <c:v>12.506666666666668</c:v>
                </c:pt>
                <c:pt idx="135">
                  <c:v>12.600000000000001</c:v>
                </c:pt>
                <c:pt idx="136">
                  <c:v>12.693333333333333</c:v>
                </c:pt>
                <c:pt idx="137">
                  <c:v>12.786666666666667</c:v>
                </c:pt>
                <c:pt idx="138">
                  <c:v>12.88</c:v>
                </c:pt>
                <c:pt idx="139">
                  <c:v>12.973333333333334</c:v>
                </c:pt>
                <c:pt idx="140">
                  <c:v>13.066666666666666</c:v>
                </c:pt>
                <c:pt idx="141">
                  <c:v>13.16</c:v>
                </c:pt>
                <c:pt idx="142">
                  <c:v>13.253333333333334</c:v>
                </c:pt>
                <c:pt idx="143">
                  <c:v>13.346666666666668</c:v>
                </c:pt>
                <c:pt idx="144">
                  <c:v>13.440000000000001</c:v>
                </c:pt>
                <c:pt idx="145">
                  <c:v>13.533333333333333</c:v>
                </c:pt>
                <c:pt idx="146">
                  <c:v>13.626666666666667</c:v>
                </c:pt>
                <c:pt idx="147">
                  <c:v>13.72</c:v>
                </c:pt>
                <c:pt idx="148">
                  <c:v>13.813333333333334</c:v>
                </c:pt>
                <c:pt idx="149">
                  <c:v>13.906666666666668</c:v>
                </c:pt>
                <c:pt idx="150">
                  <c:v>14</c:v>
                </c:pt>
              </c:numCache>
            </c:numRef>
          </c:xVal>
          <c:yVal>
            <c:numRef>
              <c:f>[1]Eff_vs_IOUT!$AP$7:$AP$157</c:f>
              <c:numCache>
                <c:formatCode>General</c:formatCode>
                <c:ptCount val="151"/>
                <c:pt idx="0">
                  <c:v>2.5461412761301648E-3</c:v>
                </c:pt>
                <c:pt idx="1">
                  <c:v>2.663741276130165E-3</c:v>
                </c:pt>
                <c:pt idx="2">
                  <c:v>3.0165412761301649E-3</c:v>
                </c:pt>
                <c:pt idx="3">
                  <c:v>3.6045412761301645E-3</c:v>
                </c:pt>
                <c:pt idx="4">
                  <c:v>4.4277412761301654E-3</c:v>
                </c:pt>
                <c:pt idx="5">
                  <c:v>5.4861412761301655E-3</c:v>
                </c:pt>
                <c:pt idx="6">
                  <c:v>6.7797412761301645E-3</c:v>
                </c:pt>
                <c:pt idx="7">
                  <c:v>8.308541276130163E-3</c:v>
                </c:pt>
                <c:pt idx="8">
                  <c:v>1.0072541276130166E-2</c:v>
                </c:pt>
                <c:pt idx="9">
                  <c:v>1.2071741276130166E-2</c:v>
                </c:pt>
                <c:pt idx="10">
                  <c:v>1.4306141276130167E-2</c:v>
                </c:pt>
                <c:pt idx="11">
                  <c:v>1.6775741276130161E-2</c:v>
                </c:pt>
                <c:pt idx="12">
                  <c:v>1.9480541276130164E-2</c:v>
                </c:pt>
                <c:pt idx="13">
                  <c:v>2.242054127613017E-2</c:v>
                </c:pt>
                <c:pt idx="14">
                  <c:v>2.5595741276130162E-2</c:v>
                </c:pt>
                <c:pt idx="15">
                  <c:v>2.9006141276130167E-2</c:v>
                </c:pt>
                <c:pt idx="16">
                  <c:v>3.2651741276130172E-2</c:v>
                </c:pt>
                <c:pt idx="17">
                  <c:v>3.6532541276130169E-2</c:v>
                </c:pt>
                <c:pt idx="18">
                  <c:v>4.0648541276130171E-2</c:v>
                </c:pt>
                <c:pt idx="19">
                  <c:v>4.4999741276130177E-2</c:v>
                </c:pt>
                <c:pt idx="20">
                  <c:v>4.9586141276130175E-2</c:v>
                </c:pt>
                <c:pt idx="21">
                  <c:v>5.4407741276130184E-2</c:v>
                </c:pt>
                <c:pt idx="22">
                  <c:v>5.9464541276130156E-2</c:v>
                </c:pt>
                <c:pt idx="23">
                  <c:v>6.4756541276130161E-2</c:v>
                </c:pt>
                <c:pt idx="24">
                  <c:v>7.0283741276130171E-2</c:v>
                </c:pt>
                <c:pt idx="25">
                  <c:v>7.6046141276130172E-2</c:v>
                </c:pt>
                <c:pt idx="26">
                  <c:v>8.2043741276130178E-2</c:v>
                </c:pt>
                <c:pt idx="27">
                  <c:v>8.827654127613016E-2</c:v>
                </c:pt>
                <c:pt idx="28">
                  <c:v>9.4744541276130148E-2</c:v>
                </c:pt>
                <c:pt idx="29">
                  <c:v>0.10144774127613021</c:v>
                </c:pt>
                <c:pt idx="30">
                  <c:v>0.10838614127613017</c:v>
                </c:pt>
                <c:pt idx="31">
                  <c:v>0.11555974127613018</c:v>
                </c:pt>
                <c:pt idx="32">
                  <c:v>0.12296854127613016</c:v>
                </c:pt>
                <c:pt idx="33">
                  <c:v>0.13061254127613015</c:v>
                </c:pt>
                <c:pt idx="34">
                  <c:v>0.13849174127613015</c:v>
                </c:pt>
                <c:pt idx="35">
                  <c:v>0.14660614127613011</c:v>
                </c:pt>
                <c:pt idx="36">
                  <c:v>0.15495574127613018</c:v>
                </c:pt>
                <c:pt idx="37">
                  <c:v>0.16354054127613019</c:v>
                </c:pt>
                <c:pt idx="38">
                  <c:v>0.17236054127613018</c:v>
                </c:pt>
                <c:pt idx="39">
                  <c:v>0.18141574127613017</c:v>
                </c:pt>
                <c:pt idx="40">
                  <c:v>0.1907061412761302</c:v>
                </c:pt>
                <c:pt idx="41">
                  <c:v>0.20023174127613019</c:v>
                </c:pt>
                <c:pt idx="42">
                  <c:v>0.20999254127613026</c:v>
                </c:pt>
                <c:pt idx="43">
                  <c:v>0.21998854127613024</c:v>
                </c:pt>
                <c:pt idx="44">
                  <c:v>0.2302197412761301</c:v>
                </c:pt>
                <c:pt idx="45">
                  <c:v>0.24068614127613017</c:v>
                </c:pt>
                <c:pt idx="46">
                  <c:v>0.25138774127613023</c:v>
                </c:pt>
                <c:pt idx="47">
                  <c:v>0.26232454127613014</c:v>
                </c:pt>
                <c:pt idx="48">
                  <c:v>0.27349654127613016</c:v>
                </c:pt>
                <c:pt idx="49">
                  <c:v>0.28490374127613011</c:v>
                </c:pt>
                <c:pt idx="50">
                  <c:v>0.29654614127613022</c:v>
                </c:pt>
                <c:pt idx="51">
                  <c:v>0.3084237412761302</c:v>
                </c:pt>
                <c:pt idx="52">
                  <c:v>0.32053654127613024</c:v>
                </c:pt>
                <c:pt idx="53">
                  <c:v>0.33288454127613021</c:v>
                </c:pt>
                <c:pt idx="54">
                  <c:v>0.34546774127613017</c:v>
                </c:pt>
                <c:pt idx="55">
                  <c:v>0.35828614127613029</c:v>
                </c:pt>
                <c:pt idx="56">
                  <c:v>0.37133974127613001</c:v>
                </c:pt>
                <c:pt idx="57">
                  <c:v>0.38462854127613016</c:v>
                </c:pt>
                <c:pt idx="58">
                  <c:v>0.3981525412761302</c:v>
                </c:pt>
                <c:pt idx="59">
                  <c:v>0.41191174127613006</c:v>
                </c:pt>
                <c:pt idx="60">
                  <c:v>0.42590614127613013</c:v>
                </c:pt>
                <c:pt idx="61">
                  <c:v>0.44013574127613031</c:v>
                </c:pt>
                <c:pt idx="62">
                  <c:v>0.45460054127613025</c:v>
                </c:pt>
                <c:pt idx="63">
                  <c:v>0.46930054127613019</c:v>
                </c:pt>
                <c:pt idx="64">
                  <c:v>0.48423574127613017</c:v>
                </c:pt>
                <c:pt idx="65">
                  <c:v>0.49940614127613037</c:v>
                </c:pt>
                <c:pt idx="66">
                  <c:v>0.51481174127613027</c:v>
                </c:pt>
                <c:pt idx="67">
                  <c:v>0.53045254127613017</c:v>
                </c:pt>
                <c:pt idx="68">
                  <c:v>0.54632854127613006</c:v>
                </c:pt>
                <c:pt idx="69">
                  <c:v>0.56243974127613017</c:v>
                </c:pt>
                <c:pt idx="70">
                  <c:v>0.57878614127612993</c:v>
                </c:pt>
                <c:pt idx="71">
                  <c:v>0.59536774127613012</c:v>
                </c:pt>
                <c:pt idx="72">
                  <c:v>0.6121845412761302</c:v>
                </c:pt>
                <c:pt idx="73">
                  <c:v>0.62923654127613027</c:v>
                </c:pt>
                <c:pt idx="74">
                  <c:v>0.64652374127613033</c:v>
                </c:pt>
                <c:pt idx="75">
                  <c:v>0.66404614127613015</c:v>
                </c:pt>
                <c:pt idx="76">
                  <c:v>0.68180374127613019</c:v>
                </c:pt>
                <c:pt idx="77">
                  <c:v>0.69979654127613033</c:v>
                </c:pt>
                <c:pt idx="78">
                  <c:v>0.71802454127613013</c:v>
                </c:pt>
                <c:pt idx="79">
                  <c:v>0.73648774127613015</c:v>
                </c:pt>
                <c:pt idx="80">
                  <c:v>0.75518614127613026</c:v>
                </c:pt>
                <c:pt idx="81">
                  <c:v>0.77411974127613048</c:v>
                </c:pt>
                <c:pt idx="82">
                  <c:v>0.79328854127613024</c:v>
                </c:pt>
                <c:pt idx="83">
                  <c:v>0.81269254127613033</c:v>
                </c:pt>
                <c:pt idx="84">
                  <c:v>0.83233174127613052</c:v>
                </c:pt>
                <c:pt idx="85">
                  <c:v>0.85220614127613015</c:v>
                </c:pt>
                <c:pt idx="86">
                  <c:v>0.87231574127613043</c:v>
                </c:pt>
                <c:pt idx="87">
                  <c:v>0.89266054127613048</c:v>
                </c:pt>
                <c:pt idx="88">
                  <c:v>0.91324054127612997</c:v>
                </c:pt>
                <c:pt idx="89">
                  <c:v>0.93405574127613</c:v>
                </c:pt>
                <c:pt idx="90">
                  <c:v>0.95510614127613036</c:v>
                </c:pt>
                <c:pt idx="91">
                  <c:v>0.97639174127613004</c:v>
                </c:pt>
                <c:pt idx="92">
                  <c:v>0.99791254127613027</c:v>
                </c:pt>
                <c:pt idx="93">
                  <c:v>1.0196685412761304</c:v>
                </c:pt>
                <c:pt idx="94">
                  <c:v>1.0416597412761301</c:v>
                </c:pt>
                <c:pt idx="95">
                  <c:v>1.06388614127613</c:v>
                </c:pt>
                <c:pt idx="96">
                  <c:v>1.0863477412761304</c:v>
                </c:pt>
                <c:pt idx="97">
                  <c:v>1.1090445412761303</c:v>
                </c:pt>
                <c:pt idx="98">
                  <c:v>1.13197654127613</c:v>
                </c:pt>
                <c:pt idx="99">
                  <c:v>1.1551437412761303</c:v>
                </c:pt>
                <c:pt idx="100">
                  <c:v>1.1785461412761302</c:v>
                </c:pt>
                <c:pt idx="101">
                  <c:v>1.2021837412761303</c:v>
                </c:pt>
                <c:pt idx="102">
                  <c:v>1.22605654127613</c:v>
                </c:pt>
                <c:pt idx="103">
                  <c:v>1.2501645412761302</c:v>
                </c:pt>
                <c:pt idx="104">
                  <c:v>1.2745077412761305</c:v>
                </c:pt>
                <c:pt idx="105">
                  <c:v>1.2990861412761303</c:v>
                </c:pt>
                <c:pt idx="106">
                  <c:v>1.3238997412761304</c:v>
                </c:pt>
                <c:pt idx="107">
                  <c:v>1.3489485412761304</c:v>
                </c:pt>
                <c:pt idx="108">
                  <c:v>1.3742325412761303</c:v>
                </c:pt>
                <c:pt idx="109">
                  <c:v>1.3997517412761304</c:v>
                </c:pt>
                <c:pt idx="110">
                  <c:v>1.4255061412761303</c:v>
                </c:pt>
                <c:pt idx="111">
                  <c:v>1.4514957412761309</c:v>
                </c:pt>
                <c:pt idx="112">
                  <c:v>1.4777205412761296</c:v>
                </c:pt>
                <c:pt idx="113">
                  <c:v>1.5041805412761304</c:v>
                </c:pt>
                <c:pt idx="114">
                  <c:v>1.5308757412761302</c:v>
                </c:pt>
                <c:pt idx="115">
                  <c:v>1.5578061412761306</c:v>
                </c:pt>
                <c:pt idx="116">
                  <c:v>1.5849717412761304</c:v>
                </c:pt>
                <c:pt idx="117">
                  <c:v>1.6123725412761301</c:v>
                </c:pt>
                <c:pt idx="118">
                  <c:v>1.6400085412761298</c:v>
                </c:pt>
                <c:pt idx="119">
                  <c:v>1.6678797412761301</c:v>
                </c:pt>
                <c:pt idx="120">
                  <c:v>1.6959861412761297</c:v>
                </c:pt>
                <c:pt idx="121">
                  <c:v>1.7243277412761302</c:v>
                </c:pt>
                <c:pt idx="122">
                  <c:v>1.7529045412761304</c:v>
                </c:pt>
                <c:pt idx="123">
                  <c:v>1.7817165412761307</c:v>
                </c:pt>
                <c:pt idx="124">
                  <c:v>1.8107637412761304</c:v>
                </c:pt>
                <c:pt idx="125">
                  <c:v>1.8400461412761306</c:v>
                </c:pt>
                <c:pt idx="126">
                  <c:v>1.8695637412761303</c:v>
                </c:pt>
                <c:pt idx="127">
                  <c:v>1.8993165412761301</c:v>
                </c:pt>
                <c:pt idx="128">
                  <c:v>1.92930454127613</c:v>
                </c:pt>
                <c:pt idx="129">
                  <c:v>1.9595277412761303</c:v>
                </c:pt>
                <c:pt idx="130">
                  <c:v>1.9899861412761308</c:v>
                </c:pt>
                <c:pt idx="131">
                  <c:v>2.0206797412761301</c:v>
                </c:pt>
                <c:pt idx="132">
                  <c:v>2.0516085412761305</c:v>
                </c:pt>
                <c:pt idx="133">
                  <c:v>2.08277254127613</c:v>
                </c:pt>
                <c:pt idx="134">
                  <c:v>2.1141717412761301</c:v>
                </c:pt>
                <c:pt idx="135">
                  <c:v>2.1458061412761307</c:v>
                </c:pt>
                <c:pt idx="136">
                  <c:v>2.1776757412761296</c:v>
                </c:pt>
                <c:pt idx="137">
                  <c:v>2.20978054127613</c:v>
                </c:pt>
                <c:pt idx="138">
                  <c:v>2.2421205412761296</c:v>
                </c:pt>
                <c:pt idx="139">
                  <c:v>2.2746957412761306</c:v>
                </c:pt>
                <c:pt idx="140">
                  <c:v>2.3075061412761295</c:v>
                </c:pt>
                <c:pt idx="141">
                  <c:v>2.3405517412761307</c:v>
                </c:pt>
                <c:pt idx="142">
                  <c:v>2.3738325412761303</c:v>
                </c:pt>
                <c:pt idx="143">
                  <c:v>2.4073485412761304</c:v>
                </c:pt>
                <c:pt idx="144">
                  <c:v>2.4410997412761302</c:v>
                </c:pt>
                <c:pt idx="145">
                  <c:v>2.4750861412761305</c:v>
                </c:pt>
                <c:pt idx="146">
                  <c:v>2.50930774127613</c:v>
                </c:pt>
                <c:pt idx="147">
                  <c:v>2.5437645412761301</c:v>
                </c:pt>
                <c:pt idx="148">
                  <c:v>2.5784565412761302</c:v>
                </c:pt>
                <c:pt idx="149">
                  <c:v>2.6133837412761314</c:v>
                </c:pt>
                <c:pt idx="150">
                  <c:v>2.6485461412761295</c:v>
                </c:pt>
              </c:numCache>
            </c:numRef>
          </c:yVal>
          <c:smooth val="1"/>
          <c:extLst>
            <c:ext xmlns:c16="http://schemas.microsoft.com/office/drawing/2014/chart" uri="{C3380CC4-5D6E-409C-BE32-E72D297353CC}">
              <c16:uniqueId val="{00000003-8268-4C3F-B748-2F54233BBCCC}"/>
            </c:ext>
          </c:extLst>
        </c:ser>
        <c:dLbls>
          <c:showLegendKey val="0"/>
          <c:showVal val="0"/>
          <c:showCatName val="0"/>
          <c:showSerName val="0"/>
          <c:showPercent val="0"/>
          <c:showBubbleSize val="0"/>
        </c:dLbls>
        <c:axId val="543660288"/>
        <c:axId val="543658752"/>
      </c:scatterChart>
      <c:valAx>
        <c:axId val="224130176"/>
        <c:scaling>
          <c:orientation val="minMax"/>
          <c:max val="6"/>
        </c:scaling>
        <c:delete val="0"/>
        <c:axPos val="b"/>
        <c:majorGridlines/>
        <c:numFmt formatCode="General" sourceLinked="1"/>
        <c:majorTickMark val="out"/>
        <c:minorTickMark val="none"/>
        <c:tickLblPos val="nextTo"/>
        <c:crossAx val="224131712"/>
        <c:crosses val="autoZero"/>
        <c:crossBetween val="midCat"/>
      </c:valAx>
      <c:valAx>
        <c:axId val="224131712"/>
        <c:scaling>
          <c:orientation val="minMax"/>
          <c:max val="100"/>
          <c:min val="60"/>
        </c:scaling>
        <c:delete val="0"/>
        <c:axPos val="l"/>
        <c:majorGridlines/>
        <c:title>
          <c:overlay val="0"/>
          <c:txPr>
            <a:bodyPr rot="-5400000" vert="horz"/>
            <a:lstStyle/>
            <a:p>
              <a:pPr>
                <a:defRPr/>
              </a:pPr>
              <a:endParaRPr lang="en-US"/>
            </a:p>
          </c:txPr>
        </c:title>
        <c:numFmt formatCode="General" sourceLinked="1"/>
        <c:majorTickMark val="out"/>
        <c:minorTickMark val="none"/>
        <c:tickLblPos val="nextTo"/>
        <c:crossAx val="224130176"/>
        <c:crosses val="autoZero"/>
        <c:crossBetween val="midCat"/>
      </c:valAx>
      <c:valAx>
        <c:axId val="543658752"/>
        <c:scaling>
          <c:orientation val="minMax"/>
        </c:scaling>
        <c:delete val="0"/>
        <c:axPos val="r"/>
        <c:numFmt formatCode="General" sourceLinked="1"/>
        <c:majorTickMark val="out"/>
        <c:minorTickMark val="none"/>
        <c:tickLblPos val="nextTo"/>
        <c:crossAx val="543660288"/>
        <c:crosses val="max"/>
        <c:crossBetween val="midCat"/>
      </c:valAx>
      <c:valAx>
        <c:axId val="543660288"/>
        <c:scaling>
          <c:orientation val="minMax"/>
        </c:scaling>
        <c:delete val="1"/>
        <c:axPos val="b"/>
        <c:numFmt formatCode="General" sourceLinked="1"/>
        <c:majorTickMark val="out"/>
        <c:minorTickMark val="none"/>
        <c:tickLblPos val="nextTo"/>
        <c:crossAx val="543658752"/>
        <c:crosses val="autoZero"/>
        <c:crossBetween val="midCat"/>
      </c:valAx>
    </c:plotArea>
    <c:legend>
      <c:legendPos val="r"/>
      <c:overlay val="1"/>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2400"/>
            </a:pPr>
            <a:r>
              <a:rPr lang="el-GR" sz="2400"/>
              <a:t>η</a:t>
            </a:r>
            <a:endParaRPr lang="en-US" sz="2400"/>
          </a:p>
        </c:rich>
      </c:tx>
      <c:layout>
        <c:manualLayout>
          <c:xMode val="edge"/>
          <c:yMode val="edge"/>
          <c:x val="9.2321838295158831E-2"/>
          <c:y val="6.7069081153588199E-3"/>
        </c:manualLayout>
      </c:layout>
      <c:overlay val="1"/>
    </c:title>
    <c:autoTitleDeleted val="0"/>
    <c:plotArea>
      <c:layout>
        <c:manualLayout>
          <c:layoutTarget val="inner"/>
          <c:xMode val="edge"/>
          <c:yMode val="edge"/>
          <c:x val="9.4343575816580413E-2"/>
          <c:y val="0.12777504924560487"/>
          <c:w val="0.82170691922728745"/>
          <c:h val="0.74982770867653059"/>
        </c:manualLayout>
      </c:layout>
      <c:scatterChart>
        <c:scatterStyle val="smoothMarker"/>
        <c:varyColors val="0"/>
        <c:ser>
          <c:idx val="0"/>
          <c:order val="0"/>
          <c:tx>
            <c:v>Eff</c:v>
          </c:tx>
          <c:spPr>
            <a:ln>
              <a:solidFill>
                <a:srgbClr val="FF0000"/>
              </a:solidFill>
            </a:ln>
          </c:spPr>
          <c:marker>
            <c:symbol val="none"/>
          </c:marker>
          <c:xVal>
            <c:numRef>
              <c:f>Eff_vs_IOUT!$S$7:$S$157</c:f>
              <c:numCache>
                <c:formatCode>General</c:formatCode>
                <c:ptCount val="151"/>
                <c:pt idx="0">
                  <c:v>0</c:v>
                </c:pt>
                <c:pt idx="1">
                  <c:v>5.0133333333333328E-2</c:v>
                </c:pt>
                <c:pt idx="2">
                  <c:v>0.10026666666666666</c:v>
                </c:pt>
                <c:pt idx="3">
                  <c:v>0.15039999999999998</c:v>
                </c:pt>
                <c:pt idx="4">
                  <c:v>0.20053333333333331</c:v>
                </c:pt>
                <c:pt idx="5">
                  <c:v>0.25066666666666665</c:v>
                </c:pt>
                <c:pt idx="6">
                  <c:v>0.30079999999999996</c:v>
                </c:pt>
                <c:pt idx="7">
                  <c:v>0.35093333333333332</c:v>
                </c:pt>
                <c:pt idx="8">
                  <c:v>0.40106666666666663</c:v>
                </c:pt>
                <c:pt idx="9">
                  <c:v>0.45119999999999993</c:v>
                </c:pt>
                <c:pt idx="10">
                  <c:v>0.5013333333333333</c:v>
                </c:pt>
                <c:pt idx="11">
                  <c:v>0.55146666666666666</c:v>
                </c:pt>
                <c:pt idx="12">
                  <c:v>0.60159999999999991</c:v>
                </c:pt>
                <c:pt idx="13">
                  <c:v>0.65173333333333328</c:v>
                </c:pt>
                <c:pt idx="14">
                  <c:v>0.70186666666666664</c:v>
                </c:pt>
                <c:pt idx="15">
                  <c:v>0.75199999999999989</c:v>
                </c:pt>
                <c:pt idx="16">
                  <c:v>0.80213333333333325</c:v>
                </c:pt>
                <c:pt idx="17">
                  <c:v>0.85226666666666662</c:v>
                </c:pt>
                <c:pt idx="18">
                  <c:v>0.90239999999999987</c:v>
                </c:pt>
                <c:pt idx="19">
                  <c:v>0.95253333333333323</c:v>
                </c:pt>
                <c:pt idx="20">
                  <c:v>1.0026666666666666</c:v>
                </c:pt>
                <c:pt idx="21">
                  <c:v>1.0528</c:v>
                </c:pt>
                <c:pt idx="22">
                  <c:v>1.1029333333333333</c:v>
                </c:pt>
                <c:pt idx="23">
                  <c:v>1.1530666666666665</c:v>
                </c:pt>
                <c:pt idx="24">
                  <c:v>1.2031999999999998</c:v>
                </c:pt>
                <c:pt idx="25">
                  <c:v>1.2533333333333332</c:v>
                </c:pt>
                <c:pt idx="26">
                  <c:v>1.3034666666666666</c:v>
                </c:pt>
                <c:pt idx="27">
                  <c:v>1.3535999999999999</c:v>
                </c:pt>
                <c:pt idx="28">
                  <c:v>1.4037333333333333</c:v>
                </c:pt>
                <c:pt idx="29">
                  <c:v>1.4538666666666664</c:v>
                </c:pt>
                <c:pt idx="30">
                  <c:v>1.5039999999999998</c:v>
                </c:pt>
                <c:pt idx="31">
                  <c:v>1.5541333333333331</c:v>
                </c:pt>
                <c:pt idx="32">
                  <c:v>1.6042666666666665</c:v>
                </c:pt>
                <c:pt idx="33">
                  <c:v>1.6543999999999999</c:v>
                </c:pt>
                <c:pt idx="34">
                  <c:v>1.7045333333333332</c:v>
                </c:pt>
                <c:pt idx="35">
                  <c:v>1.7546666666666666</c:v>
                </c:pt>
                <c:pt idx="36">
                  <c:v>1.8047999999999997</c:v>
                </c:pt>
                <c:pt idx="37">
                  <c:v>1.8549333333333331</c:v>
                </c:pt>
                <c:pt idx="38">
                  <c:v>1.9050666666666665</c:v>
                </c:pt>
                <c:pt idx="39">
                  <c:v>1.9551999999999998</c:v>
                </c:pt>
                <c:pt idx="40">
                  <c:v>2.0053333333333332</c:v>
                </c:pt>
                <c:pt idx="41">
                  <c:v>2.0554666666666663</c:v>
                </c:pt>
                <c:pt idx="42">
                  <c:v>2.1055999999999999</c:v>
                </c:pt>
                <c:pt idx="43">
                  <c:v>2.1557333333333331</c:v>
                </c:pt>
                <c:pt idx="44">
                  <c:v>2.2058666666666666</c:v>
                </c:pt>
                <c:pt idx="45">
                  <c:v>2.2559999999999998</c:v>
                </c:pt>
                <c:pt idx="46">
                  <c:v>2.3061333333333329</c:v>
                </c:pt>
                <c:pt idx="47">
                  <c:v>2.3562666666666665</c:v>
                </c:pt>
                <c:pt idx="48">
                  <c:v>2.4063999999999997</c:v>
                </c:pt>
                <c:pt idx="49">
                  <c:v>2.4565333333333332</c:v>
                </c:pt>
                <c:pt idx="50">
                  <c:v>2.5066666666666664</c:v>
                </c:pt>
                <c:pt idx="51">
                  <c:v>2.5568</c:v>
                </c:pt>
                <c:pt idx="52">
                  <c:v>2.6069333333333331</c:v>
                </c:pt>
                <c:pt idx="53">
                  <c:v>2.6570666666666662</c:v>
                </c:pt>
                <c:pt idx="54">
                  <c:v>2.7071999999999998</c:v>
                </c:pt>
                <c:pt idx="55">
                  <c:v>2.757333333333333</c:v>
                </c:pt>
                <c:pt idx="56">
                  <c:v>2.8074666666666666</c:v>
                </c:pt>
                <c:pt idx="57">
                  <c:v>2.8575999999999997</c:v>
                </c:pt>
                <c:pt idx="58">
                  <c:v>2.9077333333333328</c:v>
                </c:pt>
                <c:pt idx="59">
                  <c:v>2.9578666666666664</c:v>
                </c:pt>
                <c:pt idx="60">
                  <c:v>3.0079999999999996</c:v>
                </c:pt>
                <c:pt idx="61">
                  <c:v>3.0581333333333331</c:v>
                </c:pt>
                <c:pt idx="62">
                  <c:v>3.1082666666666663</c:v>
                </c:pt>
                <c:pt idx="63">
                  <c:v>3.1583999999999999</c:v>
                </c:pt>
                <c:pt idx="64">
                  <c:v>3.208533333333333</c:v>
                </c:pt>
                <c:pt idx="65">
                  <c:v>3.2586666666666662</c:v>
                </c:pt>
                <c:pt idx="66">
                  <c:v>3.3087999999999997</c:v>
                </c:pt>
                <c:pt idx="67">
                  <c:v>3.3589333333333329</c:v>
                </c:pt>
                <c:pt idx="68">
                  <c:v>3.4090666666666665</c:v>
                </c:pt>
                <c:pt idx="69">
                  <c:v>3.4591999999999996</c:v>
                </c:pt>
                <c:pt idx="70">
                  <c:v>3.5093333333333332</c:v>
                </c:pt>
                <c:pt idx="71">
                  <c:v>3.5594666666666663</c:v>
                </c:pt>
                <c:pt idx="72">
                  <c:v>3.6095999999999995</c:v>
                </c:pt>
                <c:pt idx="73">
                  <c:v>3.6597333333333331</c:v>
                </c:pt>
                <c:pt idx="74">
                  <c:v>3.7098666666666662</c:v>
                </c:pt>
                <c:pt idx="75">
                  <c:v>3.76</c:v>
                </c:pt>
                <c:pt idx="76">
                  <c:v>3.8101333333333329</c:v>
                </c:pt>
                <c:pt idx="77">
                  <c:v>3.8602666666666661</c:v>
                </c:pt>
                <c:pt idx="78">
                  <c:v>3.9103999999999997</c:v>
                </c:pt>
                <c:pt idx="79">
                  <c:v>3.9605333333333328</c:v>
                </c:pt>
                <c:pt idx="80">
                  <c:v>4.0106666666666664</c:v>
                </c:pt>
                <c:pt idx="81">
                  <c:v>4.0607999999999995</c:v>
                </c:pt>
                <c:pt idx="82">
                  <c:v>4.1109333333333327</c:v>
                </c:pt>
                <c:pt idx="83">
                  <c:v>4.1610666666666667</c:v>
                </c:pt>
                <c:pt idx="84">
                  <c:v>4.2111999999999998</c:v>
                </c:pt>
                <c:pt idx="85">
                  <c:v>4.261333333333333</c:v>
                </c:pt>
                <c:pt idx="86">
                  <c:v>4.3114666666666661</c:v>
                </c:pt>
                <c:pt idx="87">
                  <c:v>4.3615999999999993</c:v>
                </c:pt>
                <c:pt idx="88">
                  <c:v>4.4117333333333333</c:v>
                </c:pt>
                <c:pt idx="89">
                  <c:v>4.4618666666666664</c:v>
                </c:pt>
                <c:pt idx="90">
                  <c:v>4.5119999999999996</c:v>
                </c:pt>
                <c:pt idx="91">
                  <c:v>4.5621333333333327</c:v>
                </c:pt>
                <c:pt idx="92">
                  <c:v>4.6122666666666658</c:v>
                </c:pt>
                <c:pt idx="93">
                  <c:v>4.6623999999999999</c:v>
                </c:pt>
                <c:pt idx="94">
                  <c:v>4.712533333333333</c:v>
                </c:pt>
                <c:pt idx="95">
                  <c:v>4.7626666666666662</c:v>
                </c:pt>
                <c:pt idx="96">
                  <c:v>4.8127999999999993</c:v>
                </c:pt>
                <c:pt idx="97">
                  <c:v>4.8629333333333324</c:v>
                </c:pt>
                <c:pt idx="98">
                  <c:v>4.9130666666666665</c:v>
                </c:pt>
                <c:pt idx="99">
                  <c:v>4.9631999999999996</c:v>
                </c:pt>
                <c:pt idx="100">
                  <c:v>5.0133333333333328</c:v>
                </c:pt>
                <c:pt idx="101">
                  <c:v>5.0634666666666659</c:v>
                </c:pt>
                <c:pt idx="102">
                  <c:v>5.1135999999999999</c:v>
                </c:pt>
                <c:pt idx="103">
                  <c:v>5.1637333333333331</c:v>
                </c:pt>
                <c:pt idx="104">
                  <c:v>5.2138666666666662</c:v>
                </c:pt>
                <c:pt idx="105">
                  <c:v>5.2639999999999993</c:v>
                </c:pt>
                <c:pt idx="106">
                  <c:v>5.3141333333333325</c:v>
                </c:pt>
                <c:pt idx="107">
                  <c:v>5.3642666666666665</c:v>
                </c:pt>
                <c:pt idx="108">
                  <c:v>5.4143999999999997</c:v>
                </c:pt>
                <c:pt idx="109">
                  <c:v>5.4645333333333328</c:v>
                </c:pt>
                <c:pt idx="110">
                  <c:v>5.5146666666666659</c:v>
                </c:pt>
                <c:pt idx="111">
                  <c:v>5.5647999999999991</c:v>
                </c:pt>
                <c:pt idx="112">
                  <c:v>5.6149333333333331</c:v>
                </c:pt>
                <c:pt idx="113">
                  <c:v>5.6650666666666663</c:v>
                </c:pt>
                <c:pt idx="114">
                  <c:v>5.7151999999999994</c:v>
                </c:pt>
                <c:pt idx="115">
                  <c:v>5.7653333333333325</c:v>
                </c:pt>
                <c:pt idx="116">
                  <c:v>5.8154666666666657</c:v>
                </c:pt>
                <c:pt idx="117">
                  <c:v>5.8655999999999997</c:v>
                </c:pt>
                <c:pt idx="118">
                  <c:v>5.9157333333333328</c:v>
                </c:pt>
                <c:pt idx="119">
                  <c:v>5.965866666666666</c:v>
                </c:pt>
                <c:pt idx="120">
                  <c:v>6.0159999999999991</c:v>
                </c:pt>
                <c:pt idx="121">
                  <c:v>6.0661333333333332</c:v>
                </c:pt>
                <c:pt idx="122">
                  <c:v>6.1162666666666663</c:v>
                </c:pt>
                <c:pt idx="123">
                  <c:v>6.1663999999999994</c:v>
                </c:pt>
                <c:pt idx="124">
                  <c:v>6.2165333333333326</c:v>
                </c:pt>
                <c:pt idx="125">
                  <c:v>6.2666666666666657</c:v>
                </c:pt>
                <c:pt idx="126">
                  <c:v>6.3167999999999997</c:v>
                </c:pt>
                <c:pt idx="127">
                  <c:v>6.3669333333333329</c:v>
                </c:pt>
                <c:pt idx="128">
                  <c:v>6.417066666666666</c:v>
                </c:pt>
                <c:pt idx="129">
                  <c:v>6.4671999999999992</c:v>
                </c:pt>
                <c:pt idx="130">
                  <c:v>6.5173333333333323</c:v>
                </c:pt>
                <c:pt idx="131">
                  <c:v>6.5674666666666663</c:v>
                </c:pt>
                <c:pt idx="132">
                  <c:v>6.6175999999999995</c:v>
                </c:pt>
                <c:pt idx="133">
                  <c:v>6.6677333333333326</c:v>
                </c:pt>
                <c:pt idx="134">
                  <c:v>6.7178666666666658</c:v>
                </c:pt>
                <c:pt idx="135">
                  <c:v>6.7679999999999989</c:v>
                </c:pt>
                <c:pt idx="136">
                  <c:v>6.8181333333333329</c:v>
                </c:pt>
                <c:pt idx="137">
                  <c:v>6.8682666666666661</c:v>
                </c:pt>
                <c:pt idx="138">
                  <c:v>6.9183999999999992</c:v>
                </c:pt>
                <c:pt idx="139">
                  <c:v>6.9685333333333324</c:v>
                </c:pt>
                <c:pt idx="140">
                  <c:v>7.0186666666666664</c:v>
                </c:pt>
                <c:pt idx="141">
                  <c:v>7.0687999999999995</c:v>
                </c:pt>
                <c:pt idx="142">
                  <c:v>7.1189333333333327</c:v>
                </c:pt>
                <c:pt idx="143">
                  <c:v>7.1690666666666658</c:v>
                </c:pt>
                <c:pt idx="144">
                  <c:v>7.219199999999999</c:v>
                </c:pt>
                <c:pt idx="145">
                  <c:v>7.269333333333333</c:v>
                </c:pt>
                <c:pt idx="146">
                  <c:v>7.3194666666666661</c:v>
                </c:pt>
                <c:pt idx="147">
                  <c:v>7.3695999999999993</c:v>
                </c:pt>
                <c:pt idx="148">
                  <c:v>7.4197333333333324</c:v>
                </c:pt>
                <c:pt idx="149">
                  <c:v>7.4698666666666655</c:v>
                </c:pt>
                <c:pt idx="150">
                  <c:v>7.52</c:v>
                </c:pt>
              </c:numCache>
            </c:numRef>
          </c:xVal>
          <c:yVal>
            <c:numRef>
              <c:f>Eff_vs_IOUT!$AW$7:$AW$157</c:f>
              <c:numCache>
                <c:formatCode>General</c:formatCode>
                <c:ptCount val="151"/>
                <c:pt idx="0">
                  <c:v>0</c:v>
                </c:pt>
                <c:pt idx="1">
                  <c:v>58.985727581964554</c:v>
                </c:pt>
                <c:pt idx="2">
                  <c:v>74.100742868232089</c:v>
                </c:pt>
                <c:pt idx="3">
                  <c:v>81.018938109809298</c:v>
                </c:pt>
                <c:pt idx="4">
                  <c:v>84.984250778465324</c:v>
                </c:pt>
                <c:pt idx="5">
                  <c:v>87.553749381846828</c:v>
                </c:pt>
                <c:pt idx="6">
                  <c:v>89.353424087422709</c:v>
                </c:pt>
                <c:pt idx="7">
                  <c:v>90.683623381143832</c:v>
                </c:pt>
                <c:pt idx="8">
                  <c:v>91.706434645276119</c:v>
                </c:pt>
                <c:pt idx="9">
                  <c:v>92.517031378802159</c:v>
                </c:pt>
                <c:pt idx="10">
                  <c:v>93.174972629885616</c:v>
                </c:pt>
                <c:pt idx="11">
                  <c:v>93.719436762035997</c:v>
                </c:pt>
                <c:pt idx="12">
                  <c:v>94.177252103746028</c:v>
                </c:pt>
                <c:pt idx="13">
                  <c:v>94.567407779465384</c:v>
                </c:pt>
                <c:pt idx="14">
                  <c:v>94.903722045512822</c:v>
                </c:pt>
                <c:pt idx="15">
                  <c:v>95.19649018513617</c:v>
                </c:pt>
                <c:pt idx="16">
                  <c:v>95.453539966326744</c:v>
                </c:pt>
                <c:pt idx="17">
                  <c:v>95.680929101160757</c:v>
                </c:pt>
                <c:pt idx="18">
                  <c:v>95.883418793424255</c:v>
                </c:pt>
                <c:pt idx="19">
                  <c:v>96.064802980247947</c:v>
                </c:pt>
                <c:pt idx="20">
                  <c:v>96.228142092086543</c:v>
                </c:pt>
                <c:pt idx="21">
                  <c:v>96.375932146753868</c:v>
                </c:pt>
                <c:pt idx="22">
                  <c:v>96.510229127946857</c:v>
                </c:pt>
                <c:pt idx="23">
                  <c:v>96.632741861329592</c:v>
                </c:pt>
                <c:pt idx="24">
                  <c:v>96.744902319859278</c:v>
                </c:pt>
                <c:pt idx="25">
                  <c:v>96.84791950858849</c:v>
                </c:pt>
                <c:pt idx="26">
                  <c:v>96.942821235674842</c:v>
                </c:pt>
                <c:pt idx="27">
                  <c:v>97.030486832025673</c:v>
                </c:pt>
                <c:pt idx="28">
                  <c:v>97.111673028051015</c:v>
                </c:pt>
                <c:pt idx="29">
                  <c:v>97.187034600907779</c:v>
                </c:pt>
                <c:pt idx="30">
                  <c:v>97.257140985046661</c:v>
                </c:pt>
                <c:pt idx="31">
                  <c:v>97.322489737746636</c:v>
                </c:pt>
                <c:pt idx="32">
                  <c:v>97.383517533101426</c:v>
                </c:pt>
                <c:pt idx="33">
                  <c:v>97.440609197998597</c:v>
                </c:pt>
                <c:pt idx="34">
                  <c:v>97.494105185200226</c:v>
                </c:pt>
                <c:pt idx="35">
                  <c:v>97.54430779006762</c:v>
                </c:pt>
                <c:pt idx="36">
                  <c:v>97.591486350631442</c:v>
                </c:pt>
                <c:pt idx="37">
                  <c:v>97.635881619830059</c:v>
                </c:pt>
                <c:pt idx="38">
                  <c:v>97.677709459694057</c:v>
                </c:pt>
                <c:pt idx="39">
                  <c:v>97.717163977065454</c:v>
                </c:pt>
                <c:pt idx="40">
                  <c:v>97.754420196927271</c:v>
                </c:pt>
                <c:pt idx="41">
                  <c:v>97.789636350982775</c:v>
                </c:pt>
                <c:pt idx="42">
                  <c:v>97.822955844573983</c:v>
                </c:pt>
                <c:pt idx="43">
                  <c:v>97.854508953476653</c:v>
                </c:pt>
                <c:pt idx="44">
                  <c:v>97.884414292883065</c:v>
                </c:pt>
                <c:pt idx="45">
                  <c:v>97.912780093475448</c:v>
                </c:pt>
                <c:pt idx="46">
                  <c:v>97.939705313512405</c:v>
                </c:pt>
                <c:pt idx="47">
                  <c:v>97.965280610998903</c:v>
                </c:pt>
                <c:pt idx="48">
                  <c:v>97.989589196055405</c:v>
                </c:pt>
                <c:pt idx="49">
                  <c:v>98.012707580363241</c:v>
                </c:pt>
                <c:pt idx="50">
                  <c:v>98.034706237899371</c:v>
                </c:pt>
                <c:pt idx="51">
                  <c:v>98.055650188974454</c:v>
                </c:pt>
                <c:pt idx="52">
                  <c:v>98.07559951776345</c:v>
                </c:pt>
                <c:pt idx="53">
                  <c:v>98.094609832000003</c:v>
                </c:pt>
                <c:pt idx="54">
                  <c:v>98.112732672237556</c:v>
                </c:pt>
                <c:pt idx="55">
                  <c:v>98.130015877016362</c:v>
                </c:pt>
                <c:pt idx="56">
                  <c:v>98.146503909381252</c:v>
                </c:pt>
                <c:pt idx="57">
                  <c:v>98.16223814943973</c:v>
                </c:pt>
                <c:pt idx="58">
                  <c:v>98.177257157010942</c:v>
                </c:pt>
                <c:pt idx="59">
                  <c:v>98.191596907873034</c:v>
                </c:pt>
                <c:pt idx="60">
                  <c:v>98.205291006654093</c:v>
                </c:pt>
                <c:pt idx="61">
                  <c:v>98.218370879016959</c:v>
                </c:pt>
                <c:pt idx="62">
                  <c:v>98.230865945450063</c:v>
                </c:pt>
                <c:pt idx="63">
                  <c:v>98.242803778685868</c:v>
                </c:pt>
                <c:pt idx="64">
                  <c:v>98.254210246518539</c:v>
                </c:pt>
                <c:pt idx="65">
                  <c:v>98.265109641576913</c:v>
                </c:pt>
                <c:pt idx="66">
                  <c:v>98.275524799421703</c:v>
                </c:pt>
                <c:pt idx="67">
                  <c:v>98.285477206174633</c:v>
                </c:pt>
                <c:pt idx="68">
                  <c:v>98.294987096746183</c:v>
                </c:pt>
                <c:pt idx="69">
                  <c:v>98.304073544606283</c:v>
                </c:pt>
                <c:pt idx="70">
                  <c:v>98.312754543935299</c:v>
                </c:pt>
                <c:pt idx="71">
                  <c:v>98.321047084899604</c:v>
                </c:pt>
                <c:pt idx="72">
                  <c:v>98.328967222713558</c:v>
                </c:pt>
                <c:pt idx="73">
                  <c:v>98.336530141078256</c:v>
                </c:pt>
                <c:pt idx="74">
                  <c:v>98.343750210524206</c:v>
                </c:pt>
                <c:pt idx="75">
                  <c:v>98.350641042128842</c:v>
                </c:pt>
                <c:pt idx="76">
                  <c:v>98.357215537031564</c:v>
                </c:pt>
                <c:pt idx="77">
                  <c:v>98.363485932124505</c:v>
                </c:pt>
                <c:pt idx="78">
                  <c:v>98.369463842259577</c:v>
                </c:pt>
                <c:pt idx="79">
                  <c:v>98.375160299277468</c:v>
                </c:pt>
                <c:pt idx="80">
                  <c:v>98.380585788134596</c:v>
                </c:pt>
                <c:pt idx="81">
                  <c:v>98.38575028037657</c:v>
                </c:pt>
                <c:pt idx="82">
                  <c:v>98.39066326518271</c:v>
                </c:pt>
                <c:pt idx="83">
                  <c:v>98.395333778184934</c:v>
                </c:pt>
                <c:pt idx="84">
                  <c:v>98.399770428244935</c:v>
                </c:pt>
                <c:pt idx="85">
                  <c:v>98.403981422356253</c:v>
                </c:pt>
                <c:pt idx="86">
                  <c:v>98.407974588823095</c:v>
                </c:pt>
                <c:pt idx="87">
                  <c:v>98.411757398852842</c:v>
                </c:pt>
                <c:pt idx="88">
                  <c:v>98.415336986688061</c:v>
                </c:pt>
                <c:pt idx="89">
                  <c:v>98.418720168391545</c:v>
                </c:pt>
                <c:pt idx="90">
                  <c:v>98.42191345938862</c:v>
                </c:pt>
                <c:pt idx="91">
                  <c:v>98.424923090861611</c:v>
                </c:pt>
                <c:pt idx="92">
                  <c:v>98.427755025082803</c:v>
                </c:pt>
                <c:pt idx="93">
                  <c:v>98.43041496976565</c:v>
                </c:pt>
                <c:pt idx="94">
                  <c:v>98.432908391506643</c:v>
                </c:pt>
                <c:pt idx="95">
                  <c:v>98.435240528384114</c:v>
                </c:pt>
                <c:pt idx="96">
                  <c:v>98.437416401775579</c:v>
                </c:pt>
                <c:pt idx="97">
                  <c:v>98.439440827448806</c:v>
                </c:pt>
                <c:pt idx="98">
                  <c:v>98.441318425979048</c:v>
                </c:pt>
                <c:pt idx="99">
                  <c:v>98.443053632539034</c:v>
                </c:pt>
                <c:pt idx="100">
                  <c:v>98.444650706105591</c:v>
                </c:pt>
                <c:pt idx="101">
                  <c:v>98.446113738123103</c:v>
                </c:pt>
                <c:pt idx="102">
                  <c:v>98.447446660660745</c:v>
                </c:pt>
                <c:pt idx="103">
                  <c:v>98.448653254097792</c:v>
                </c:pt>
                <c:pt idx="104">
                  <c:v>98.449737154368279</c:v>
                </c:pt>
                <c:pt idx="105">
                  <c:v>98.450701859794592</c:v>
                </c:pt>
                <c:pt idx="106">
                  <c:v>98.451550737536508</c:v>
                </c:pt>
                <c:pt idx="107">
                  <c:v>98.452287029681216</c:v>
                </c:pt>
                <c:pt idx="108">
                  <c:v>98.45291385899688</c:v>
                </c:pt>
                <c:pt idx="109">
                  <c:v>98.453434234371599</c:v>
                </c:pt>
                <c:pt idx="110">
                  <c:v>98.453851055957628</c:v>
                </c:pt>
                <c:pt idx="111">
                  <c:v>98.454167120039088</c:v>
                </c:pt>
                <c:pt idx="112">
                  <c:v>98.454385123640506</c:v>
                </c:pt>
                <c:pt idx="113">
                  <c:v>98.454507668892404</c:v>
                </c:pt>
                <c:pt idx="114">
                  <c:v>98.454537267168135</c:v>
                </c:pt>
                <c:pt idx="115">
                  <c:v>98.45447634300632</c:v>
                </c:pt>
                <c:pt idx="116">
                  <c:v>98.454327237831805</c:v>
                </c:pt>
                <c:pt idx="117">
                  <c:v>98.454092213486504</c:v>
                </c:pt>
                <c:pt idx="118">
                  <c:v>98.453773455582109</c:v>
                </c:pt>
                <c:pt idx="119">
                  <c:v>98.453373076684542</c:v>
                </c:pt>
                <c:pt idx="120">
                  <c:v>98.452893119340189</c:v>
                </c:pt>
                <c:pt idx="121">
                  <c:v>98.452335558952839</c:v>
                </c:pt>
                <c:pt idx="122">
                  <c:v>98.451702306519991</c:v>
                </c:pt>
                <c:pt idx="123">
                  <c:v>98.450995211236389</c:v>
                </c:pt>
                <c:pt idx="124">
                  <c:v>98.450216062972331</c:v>
                </c:pt>
                <c:pt idx="125">
                  <c:v>98.449366594633574</c:v>
                </c:pt>
                <c:pt idx="126">
                  <c:v>98.448448484409582</c:v>
                </c:pt>
                <c:pt idx="127">
                  <c:v>98.44746335791605</c:v>
                </c:pt>
                <c:pt idx="128">
                  <c:v>98.446412790237645</c:v>
                </c:pt>
                <c:pt idx="129">
                  <c:v>98.445298307876001</c:v>
                </c:pt>
                <c:pt idx="130">
                  <c:v>98.444121390608657</c:v>
                </c:pt>
                <c:pt idx="131">
                  <c:v>98.442883473262867</c:v>
                </c:pt>
                <c:pt idx="132">
                  <c:v>98.441585947409578</c:v>
                </c:pt>
                <c:pt idx="133">
                  <c:v>98.440230162981194</c:v>
                </c:pt>
                <c:pt idx="134">
                  <c:v>98.438817429817178</c:v>
                </c:pt>
                <c:pt idx="135">
                  <c:v>98.437349019141649</c:v>
                </c:pt>
                <c:pt idx="136">
                  <c:v>98.435826164975708</c:v>
                </c:pt>
                <c:pt idx="137">
                  <c:v>98.434250065488541</c:v>
                </c:pt>
                <c:pt idx="138">
                  <c:v>98.432621884289844</c:v>
                </c:pt>
                <c:pt idx="139">
                  <c:v>98.430942751666947</c:v>
                </c:pt>
                <c:pt idx="140">
                  <c:v>98.429213765768978</c:v>
                </c:pt>
                <c:pt idx="141">
                  <c:v>98.427435993741028</c:v>
                </c:pt>
                <c:pt idx="142">
                  <c:v>98.425610472810547</c:v>
                </c:pt>
                <c:pt idx="143">
                  <c:v>98.423738211328356</c:v>
                </c:pt>
                <c:pt idx="144">
                  <c:v>98.421820189766663</c:v>
                </c:pt>
                <c:pt idx="145">
                  <c:v>98.419857361675668</c:v>
                </c:pt>
                <c:pt idx="146">
                  <c:v>98.417850654601352</c:v>
                </c:pt>
                <c:pt idx="147">
                  <c:v>98.41580097096579</c:v>
                </c:pt>
                <c:pt idx="148">
                  <c:v>98.413709188912037</c:v>
                </c:pt>
                <c:pt idx="149">
                  <c:v>98.411576163115029</c:v>
                </c:pt>
                <c:pt idx="150">
                  <c:v>98.409402725560398</c:v>
                </c:pt>
              </c:numCache>
            </c:numRef>
          </c:yVal>
          <c:smooth val="0"/>
          <c:extLst>
            <c:ext xmlns:c16="http://schemas.microsoft.com/office/drawing/2014/chart" uri="{C3380CC4-5D6E-409C-BE32-E72D297353CC}">
              <c16:uniqueId val="{00000000-199A-4277-BC05-4E64B1A6016C}"/>
            </c:ext>
          </c:extLst>
        </c:ser>
        <c:dLbls>
          <c:showLegendKey val="0"/>
          <c:showVal val="0"/>
          <c:showCatName val="0"/>
          <c:showSerName val="0"/>
          <c:showPercent val="0"/>
          <c:showBubbleSize val="0"/>
        </c:dLbls>
        <c:axId val="361445248"/>
        <c:axId val="361446784"/>
      </c:scatterChart>
      <c:scatterChart>
        <c:scatterStyle val="smoothMarker"/>
        <c:varyColors val="0"/>
        <c:ser>
          <c:idx val="1"/>
          <c:order val="1"/>
          <c:tx>
            <c:v>LS MOSFET</c:v>
          </c:tx>
          <c:spPr>
            <a:ln>
              <a:solidFill>
                <a:schemeClr val="tx2">
                  <a:lumMod val="75000"/>
                </a:schemeClr>
              </a:solidFill>
              <a:prstDash val="dashDot"/>
            </a:ln>
          </c:spPr>
          <c:marker>
            <c:symbol val="none"/>
          </c:marker>
          <c:xVal>
            <c:numRef>
              <c:f>Eff_vs_IOUT!$S$7:$S$157</c:f>
              <c:numCache>
                <c:formatCode>General</c:formatCode>
                <c:ptCount val="151"/>
                <c:pt idx="0">
                  <c:v>0</c:v>
                </c:pt>
                <c:pt idx="1">
                  <c:v>5.0133333333333328E-2</c:v>
                </c:pt>
                <c:pt idx="2">
                  <c:v>0.10026666666666666</c:v>
                </c:pt>
                <c:pt idx="3">
                  <c:v>0.15039999999999998</c:v>
                </c:pt>
                <c:pt idx="4">
                  <c:v>0.20053333333333331</c:v>
                </c:pt>
                <c:pt idx="5">
                  <c:v>0.25066666666666665</c:v>
                </c:pt>
                <c:pt idx="6">
                  <c:v>0.30079999999999996</c:v>
                </c:pt>
                <c:pt idx="7">
                  <c:v>0.35093333333333332</c:v>
                </c:pt>
                <c:pt idx="8">
                  <c:v>0.40106666666666663</c:v>
                </c:pt>
                <c:pt idx="9">
                  <c:v>0.45119999999999993</c:v>
                </c:pt>
                <c:pt idx="10">
                  <c:v>0.5013333333333333</c:v>
                </c:pt>
                <c:pt idx="11">
                  <c:v>0.55146666666666666</c:v>
                </c:pt>
                <c:pt idx="12">
                  <c:v>0.60159999999999991</c:v>
                </c:pt>
                <c:pt idx="13">
                  <c:v>0.65173333333333328</c:v>
                </c:pt>
                <c:pt idx="14">
                  <c:v>0.70186666666666664</c:v>
                </c:pt>
                <c:pt idx="15">
                  <c:v>0.75199999999999989</c:v>
                </c:pt>
                <c:pt idx="16">
                  <c:v>0.80213333333333325</c:v>
                </c:pt>
                <c:pt idx="17">
                  <c:v>0.85226666666666662</c:v>
                </c:pt>
                <c:pt idx="18">
                  <c:v>0.90239999999999987</c:v>
                </c:pt>
                <c:pt idx="19">
                  <c:v>0.95253333333333323</c:v>
                </c:pt>
                <c:pt idx="20">
                  <c:v>1.0026666666666666</c:v>
                </c:pt>
                <c:pt idx="21">
                  <c:v>1.0528</c:v>
                </c:pt>
                <c:pt idx="22">
                  <c:v>1.1029333333333333</c:v>
                </c:pt>
                <c:pt idx="23">
                  <c:v>1.1530666666666665</c:v>
                </c:pt>
                <c:pt idx="24">
                  <c:v>1.2031999999999998</c:v>
                </c:pt>
                <c:pt idx="25">
                  <c:v>1.2533333333333332</c:v>
                </c:pt>
                <c:pt idx="26">
                  <c:v>1.3034666666666666</c:v>
                </c:pt>
                <c:pt idx="27">
                  <c:v>1.3535999999999999</c:v>
                </c:pt>
                <c:pt idx="28">
                  <c:v>1.4037333333333333</c:v>
                </c:pt>
                <c:pt idx="29">
                  <c:v>1.4538666666666664</c:v>
                </c:pt>
                <c:pt idx="30">
                  <c:v>1.5039999999999998</c:v>
                </c:pt>
                <c:pt idx="31">
                  <c:v>1.5541333333333331</c:v>
                </c:pt>
                <c:pt idx="32">
                  <c:v>1.6042666666666665</c:v>
                </c:pt>
                <c:pt idx="33">
                  <c:v>1.6543999999999999</c:v>
                </c:pt>
                <c:pt idx="34">
                  <c:v>1.7045333333333332</c:v>
                </c:pt>
                <c:pt idx="35">
                  <c:v>1.7546666666666666</c:v>
                </c:pt>
                <c:pt idx="36">
                  <c:v>1.8047999999999997</c:v>
                </c:pt>
                <c:pt idx="37">
                  <c:v>1.8549333333333331</c:v>
                </c:pt>
                <c:pt idx="38">
                  <c:v>1.9050666666666665</c:v>
                </c:pt>
                <c:pt idx="39">
                  <c:v>1.9551999999999998</c:v>
                </c:pt>
                <c:pt idx="40">
                  <c:v>2.0053333333333332</c:v>
                </c:pt>
                <c:pt idx="41">
                  <c:v>2.0554666666666663</c:v>
                </c:pt>
                <c:pt idx="42">
                  <c:v>2.1055999999999999</c:v>
                </c:pt>
                <c:pt idx="43">
                  <c:v>2.1557333333333331</c:v>
                </c:pt>
                <c:pt idx="44">
                  <c:v>2.2058666666666666</c:v>
                </c:pt>
                <c:pt idx="45">
                  <c:v>2.2559999999999998</c:v>
                </c:pt>
                <c:pt idx="46">
                  <c:v>2.3061333333333329</c:v>
                </c:pt>
                <c:pt idx="47">
                  <c:v>2.3562666666666665</c:v>
                </c:pt>
                <c:pt idx="48">
                  <c:v>2.4063999999999997</c:v>
                </c:pt>
                <c:pt idx="49">
                  <c:v>2.4565333333333332</c:v>
                </c:pt>
                <c:pt idx="50">
                  <c:v>2.5066666666666664</c:v>
                </c:pt>
                <c:pt idx="51">
                  <c:v>2.5568</c:v>
                </c:pt>
                <c:pt idx="52">
                  <c:v>2.6069333333333331</c:v>
                </c:pt>
                <c:pt idx="53">
                  <c:v>2.6570666666666662</c:v>
                </c:pt>
                <c:pt idx="54">
                  <c:v>2.7071999999999998</c:v>
                </c:pt>
                <c:pt idx="55">
                  <c:v>2.757333333333333</c:v>
                </c:pt>
                <c:pt idx="56">
                  <c:v>2.8074666666666666</c:v>
                </c:pt>
                <c:pt idx="57">
                  <c:v>2.8575999999999997</c:v>
                </c:pt>
                <c:pt idx="58">
                  <c:v>2.9077333333333328</c:v>
                </c:pt>
                <c:pt idx="59">
                  <c:v>2.9578666666666664</c:v>
                </c:pt>
                <c:pt idx="60">
                  <c:v>3.0079999999999996</c:v>
                </c:pt>
                <c:pt idx="61">
                  <c:v>3.0581333333333331</c:v>
                </c:pt>
                <c:pt idx="62">
                  <c:v>3.1082666666666663</c:v>
                </c:pt>
                <c:pt idx="63">
                  <c:v>3.1583999999999999</c:v>
                </c:pt>
                <c:pt idx="64">
                  <c:v>3.208533333333333</c:v>
                </c:pt>
                <c:pt idx="65">
                  <c:v>3.2586666666666662</c:v>
                </c:pt>
                <c:pt idx="66">
                  <c:v>3.3087999999999997</c:v>
                </c:pt>
                <c:pt idx="67">
                  <c:v>3.3589333333333329</c:v>
                </c:pt>
                <c:pt idx="68">
                  <c:v>3.4090666666666665</c:v>
                </c:pt>
                <c:pt idx="69">
                  <c:v>3.4591999999999996</c:v>
                </c:pt>
                <c:pt idx="70">
                  <c:v>3.5093333333333332</c:v>
                </c:pt>
                <c:pt idx="71">
                  <c:v>3.5594666666666663</c:v>
                </c:pt>
                <c:pt idx="72">
                  <c:v>3.6095999999999995</c:v>
                </c:pt>
                <c:pt idx="73">
                  <c:v>3.6597333333333331</c:v>
                </c:pt>
                <c:pt idx="74">
                  <c:v>3.7098666666666662</c:v>
                </c:pt>
                <c:pt idx="75">
                  <c:v>3.76</c:v>
                </c:pt>
                <c:pt idx="76">
                  <c:v>3.8101333333333329</c:v>
                </c:pt>
                <c:pt idx="77">
                  <c:v>3.8602666666666661</c:v>
                </c:pt>
                <c:pt idx="78">
                  <c:v>3.9103999999999997</c:v>
                </c:pt>
                <c:pt idx="79">
                  <c:v>3.9605333333333328</c:v>
                </c:pt>
                <c:pt idx="80">
                  <c:v>4.0106666666666664</c:v>
                </c:pt>
                <c:pt idx="81">
                  <c:v>4.0607999999999995</c:v>
                </c:pt>
                <c:pt idx="82">
                  <c:v>4.1109333333333327</c:v>
                </c:pt>
                <c:pt idx="83">
                  <c:v>4.1610666666666667</c:v>
                </c:pt>
                <c:pt idx="84">
                  <c:v>4.2111999999999998</c:v>
                </c:pt>
                <c:pt idx="85">
                  <c:v>4.261333333333333</c:v>
                </c:pt>
                <c:pt idx="86">
                  <c:v>4.3114666666666661</c:v>
                </c:pt>
                <c:pt idx="87">
                  <c:v>4.3615999999999993</c:v>
                </c:pt>
                <c:pt idx="88">
                  <c:v>4.4117333333333333</c:v>
                </c:pt>
                <c:pt idx="89">
                  <c:v>4.4618666666666664</c:v>
                </c:pt>
                <c:pt idx="90">
                  <c:v>4.5119999999999996</c:v>
                </c:pt>
                <c:pt idx="91">
                  <c:v>4.5621333333333327</c:v>
                </c:pt>
                <c:pt idx="92">
                  <c:v>4.6122666666666658</c:v>
                </c:pt>
                <c:pt idx="93">
                  <c:v>4.6623999999999999</c:v>
                </c:pt>
                <c:pt idx="94">
                  <c:v>4.712533333333333</c:v>
                </c:pt>
                <c:pt idx="95">
                  <c:v>4.7626666666666662</c:v>
                </c:pt>
                <c:pt idx="96">
                  <c:v>4.8127999999999993</c:v>
                </c:pt>
                <c:pt idx="97">
                  <c:v>4.8629333333333324</c:v>
                </c:pt>
                <c:pt idx="98">
                  <c:v>4.9130666666666665</c:v>
                </c:pt>
                <c:pt idx="99">
                  <c:v>4.9631999999999996</c:v>
                </c:pt>
                <c:pt idx="100">
                  <c:v>5.0133333333333328</c:v>
                </c:pt>
                <c:pt idx="101">
                  <c:v>5.0634666666666659</c:v>
                </c:pt>
                <c:pt idx="102">
                  <c:v>5.1135999999999999</c:v>
                </c:pt>
                <c:pt idx="103">
                  <c:v>5.1637333333333331</c:v>
                </c:pt>
                <c:pt idx="104">
                  <c:v>5.2138666666666662</c:v>
                </c:pt>
                <c:pt idx="105">
                  <c:v>5.2639999999999993</c:v>
                </c:pt>
                <c:pt idx="106">
                  <c:v>5.3141333333333325</c:v>
                </c:pt>
                <c:pt idx="107">
                  <c:v>5.3642666666666665</c:v>
                </c:pt>
                <c:pt idx="108">
                  <c:v>5.4143999999999997</c:v>
                </c:pt>
                <c:pt idx="109">
                  <c:v>5.4645333333333328</c:v>
                </c:pt>
                <c:pt idx="110">
                  <c:v>5.5146666666666659</c:v>
                </c:pt>
                <c:pt idx="111">
                  <c:v>5.5647999999999991</c:v>
                </c:pt>
                <c:pt idx="112">
                  <c:v>5.6149333333333331</c:v>
                </c:pt>
                <c:pt idx="113">
                  <c:v>5.6650666666666663</c:v>
                </c:pt>
                <c:pt idx="114">
                  <c:v>5.7151999999999994</c:v>
                </c:pt>
                <c:pt idx="115">
                  <c:v>5.7653333333333325</c:v>
                </c:pt>
                <c:pt idx="116">
                  <c:v>5.8154666666666657</c:v>
                </c:pt>
                <c:pt idx="117">
                  <c:v>5.8655999999999997</c:v>
                </c:pt>
                <c:pt idx="118">
                  <c:v>5.9157333333333328</c:v>
                </c:pt>
                <c:pt idx="119">
                  <c:v>5.965866666666666</c:v>
                </c:pt>
                <c:pt idx="120">
                  <c:v>6.0159999999999991</c:v>
                </c:pt>
                <c:pt idx="121">
                  <c:v>6.0661333333333332</c:v>
                </c:pt>
                <c:pt idx="122">
                  <c:v>6.1162666666666663</c:v>
                </c:pt>
                <c:pt idx="123">
                  <c:v>6.1663999999999994</c:v>
                </c:pt>
                <c:pt idx="124">
                  <c:v>6.2165333333333326</c:v>
                </c:pt>
                <c:pt idx="125">
                  <c:v>6.2666666666666657</c:v>
                </c:pt>
                <c:pt idx="126">
                  <c:v>6.3167999999999997</c:v>
                </c:pt>
                <c:pt idx="127">
                  <c:v>6.3669333333333329</c:v>
                </c:pt>
                <c:pt idx="128">
                  <c:v>6.417066666666666</c:v>
                </c:pt>
                <c:pt idx="129">
                  <c:v>6.4671999999999992</c:v>
                </c:pt>
                <c:pt idx="130">
                  <c:v>6.5173333333333323</c:v>
                </c:pt>
                <c:pt idx="131">
                  <c:v>6.5674666666666663</c:v>
                </c:pt>
                <c:pt idx="132">
                  <c:v>6.6175999999999995</c:v>
                </c:pt>
                <c:pt idx="133">
                  <c:v>6.6677333333333326</c:v>
                </c:pt>
                <c:pt idx="134">
                  <c:v>6.7178666666666658</c:v>
                </c:pt>
                <c:pt idx="135">
                  <c:v>6.7679999999999989</c:v>
                </c:pt>
                <c:pt idx="136">
                  <c:v>6.8181333333333329</c:v>
                </c:pt>
                <c:pt idx="137">
                  <c:v>6.8682666666666661</c:v>
                </c:pt>
                <c:pt idx="138">
                  <c:v>6.9183999999999992</c:v>
                </c:pt>
                <c:pt idx="139">
                  <c:v>6.9685333333333324</c:v>
                </c:pt>
                <c:pt idx="140">
                  <c:v>7.0186666666666664</c:v>
                </c:pt>
                <c:pt idx="141">
                  <c:v>7.0687999999999995</c:v>
                </c:pt>
                <c:pt idx="142">
                  <c:v>7.1189333333333327</c:v>
                </c:pt>
                <c:pt idx="143">
                  <c:v>7.1690666666666658</c:v>
                </c:pt>
                <c:pt idx="144">
                  <c:v>7.219199999999999</c:v>
                </c:pt>
                <c:pt idx="145">
                  <c:v>7.269333333333333</c:v>
                </c:pt>
                <c:pt idx="146">
                  <c:v>7.3194666666666661</c:v>
                </c:pt>
                <c:pt idx="147">
                  <c:v>7.3695999999999993</c:v>
                </c:pt>
                <c:pt idx="148">
                  <c:v>7.4197333333333324</c:v>
                </c:pt>
                <c:pt idx="149">
                  <c:v>7.4698666666666655</c:v>
                </c:pt>
                <c:pt idx="150">
                  <c:v>7.52</c:v>
                </c:pt>
              </c:numCache>
            </c:numRef>
          </c:xVal>
          <c:yVal>
            <c:numRef>
              <c:f>Eff_vs_IOUT!$AI$7:$AI$157</c:f>
              <c:numCache>
                <c:formatCode>General</c:formatCode>
                <c:ptCount val="151"/>
                <c:pt idx="0">
                  <c:v>5.8441084082109717E-3</c:v>
                </c:pt>
                <c:pt idx="1">
                  <c:v>1.5264403550019512E-2</c:v>
                </c:pt>
                <c:pt idx="2">
                  <c:v>2.471485890516139E-2</c:v>
                </c:pt>
                <c:pt idx="3">
                  <c:v>3.4195474473636585E-2</c:v>
                </c:pt>
                <c:pt idx="4">
                  <c:v>4.3706250255445125E-2</c:v>
                </c:pt>
                <c:pt idx="5">
                  <c:v>5.3247186250587004E-2</c:v>
                </c:pt>
                <c:pt idx="6">
                  <c:v>6.2818282459062208E-2</c:v>
                </c:pt>
                <c:pt idx="7">
                  <c:v>7.2419538880870743E-2</c:v>
                </c:pt>
                <c:pt idx="8">
                  <c:v>8.2050955516012603E-2</c:v>
                </c:pt>
                <c:pt idx="9">
                  <c:v>9.17125323644878E-2</c:v>
                </c:pt>
                <c:pt idx="10">
                  <c:v>0.10140426942629636</c:v>
                </c:pt>
                <c:pt idx="11">
                  <c:v>0.11112616670143824</c:v>
                </c:pt>
                <c:pt idx="12">
                  <c:v>0.12087822418991341</c:v>
                </c:pt>
                <c:pt idx="13">
                  <c:v>0.13066044189172196</c:v>
                </c:pt>
                <c:pt idx="14">
                  <c:v>0.14047281980686385</c:v>
                </c:pt>
                <c:pt idx="15">
                  <c:v>0.15031535793533898</c:v>
                </c:pt>
                <c:pt idx="16">
                  <c:v>0.16018805627714761</c:v>
                </c:pt>
                <c:pt idx="17">
                  <c:v>0.17009091483228944</c:v>
                </c:pt>
                <c:pt idx="18">
                  <c:v>0.18002393360076466</c:v>
                </c:pt>
                <c:pt idx="19">
                  <c:v>0.18998711258257317</c:v>
                </c:pt>
                <c:pt idx="20">
                  <c:v>0.19998045177771506</c:v>
                </c:pt>
                <c:pt idx="21">
                  <c:v>0.21000395118619028</c:v>
                </c:pt>
                <c:pt idx="22">
                  <c:v>0.22005761080799885</c:v>
                </c:pt>
                <c:pt idx="23">
                  <c:v>0.23014143064314066</c:v>
                </c:pt>
                <c:pt idx="24">
                  <c:v>0.24025541069161585</c:v>
                </c:pt>
                <c:pt idx="25">
                  <c:v>0.25039955095342442</c:v>
                </c:pt>
                <c:pt idx="26">
                  <c:v>0.26057385142856626</c:v>
                </c:pt>
                <c:pt idx="27">
                  <c:v>0.27077831211704151</c:v>
                </c:pt>
                <c:pt idx="28">
                  <c:v>0.28101293301885005</c:v>
                </c:pt>
                <c:pt idx="29">
                  <c:v>0.29127771413399184</c:v>
                </c:pt>
                <c:pt idx="30">
                  <c:v>0.30157265546246698</c:v>
                </c:pt>
                <c:pt idx="31">
                  <c:v>0.31189775700427569</c:v>
                </c:pt>
                <c:pt idx="32">
                  <c:v>0.32225301875941753</c:v>
                </c:pt>
                <c:pt idx="33">
                  <c:v>0.33263844072789273</c:v>
                </c:pt>
                <c:pt idx="34">
                  <c:v>0.34305402290970122</c:v>
                </c:pt>
                <c:pt idx="35">
                  <c:v>0.35349976530484323</c:v>
                </c:pt>
                <c:pt idx="36">
                  <c:v>0.36397566791331831</c:v>
                </c:pt>
                <c:pt idx="37">
                  <c:v>0.37448173073512686</c:v>
                </c:pt>
                <c:pt idx="38">
                  <c:v>0.38501795377026871</c:v>
                </c:pt>
                <c:pt idx="39">
                  <c:v>0.3955843370187439</c:v>
                </c:pt>
                <c:pt idx="40">
                  <c:v>0.40618088048055251</c:v>
                </c:pt>
                <c:pt idx="41">
                  <c:v>0.4168075841556943</c:v>
                </c:pt>
                <c:pt idx="42">
                  <c:v>0.42746444804416961</c:v>
                </c:pt>
                <c:pt idx="43">
                  <c:v>0.43815147214597816</c:v>
                </c:pt>
                <c:pt idx="44">
                  <c:v>0.44886865646112006</c:v>
                </c:pt>
                <c:pt idx="45">
                  <c:v>0.4596160009895951</c:v>
                </c:pt>
                <c:pt idx="46">
                  <c:v>0.47039350573140365</c:v>
                </c:pt>
                <c:pt idx="47">
                  <c:v>0.48120117068654555</c:v>
                </c:pt>
                <c:pt idx="48">
                  <c:v>0.49203899585502076</c:v>
                </c:pt>
                <c:pt idx="49">
                  <c:v>0.50290698123682942</c:v>
                </c:pt>
                <c:pt idx="50">
                  <c:v>0.5138051268319711</c:v>
                </c:pt>
                <c:pt idx="51">
                  <c:v>0.52473343264044636</c:v>
                </c:pt>
                <c:pt idx="52">
                  <c:v>0.53569189866225497</c:v>
                </c:pt>
                <c:pt idx="53">
                  <c:v>0.54668052489739682</c:v>
                </c:pt>
                <c:pt idx="54">
                  <c:v>0.55769931134587203</c:v>
                </c:pt>
                <c:pt idx="55">
                  <c:v>0.56874825800768058</c:v>
                </c:pt>
                <c:pt idx="56">
                  <c:v>0.57982736488282249</c:v>
                </c:pt>
                <c:pt idx="57">
                  <c:v>0.59093663197129764</c:v>
                </c:pt>
                <c:pt idx="58">
                  <c:v>0.60207605927310603</c:v>
                </c:pt>
                <c:pt idx="59">
                  <c:v>0.613245646788248</c:v>
                </c:pt>
                <c:pt idx="60">
                  <c:v>0.62444539451672298</c:v>
                </c:pt>
                <c:pt idx="61">
                  <c:v>0.63567530245853188</c:v>
                </c:pt>
                <c:pt idx="62">
                  <c:v>0.64693537061367368</c:v>
                </c:pt>
                <c:pt idx="63">
                  <c:v>0.65822559898214883</c:v>
                </c:pt>
                <c:pt idx="64">
                  <c:v>0.66954598756395733</c:v>
                </c:pt>
                <c:pt idx="65">
                  <c:v>0.68089653635909919</c:v>
                </c:pt>
                <c:pt idx="66">
                  <c:v>0.69227724536757451</c:v>
                </c:pt>
                <c:pt idx="67">
                  <c:v>0.70368811458938307</c:v>
                </c:pt>
                <c:pt idx="68">
                  <c:v>0.71512914402452488</c:v>
                </c:pt>
                <c:pt idx="69">
                  <c:v>0.72660033367299992</c:v>
                </c:pt>
                <c:pt idx="70">
                  <c:v>0.73810168353480887</c:v>
                </c:pt>
                <c:pt idx="71">
                  <c:v>0.74963319360995051</c:v>
                </c:pt>
                <c:pt idx="72">
                  <c:v>0.7611948638984255</c:v>
                </c:pt>
                <c:pt idx="73">
                  <c:v>0.77278669440023429</c:v>
                </c:pt>
                <c:pt idx="74">
                  <c:v>0.78440868511537609</c:v>
                </c:pt>
                <c:pt idx="75">
                  <c:v>0.79606083604385136</c:v>
                </c:pt>
                <c:pt idx="76">
                  <c:v>0.80774314718565976</c:v>
                </c:pt>
                <c:pt idx="77">
                  <c:v>0.81945561854080162</c:v>
                </c:pt>
                <c:pt idx="78">
                  <c:v>0.83119825010927684</c:v>
                </c:pt>
                <c:pt idx="79">
                  <c:v>0.8429710418910854</c:v>
                </c:pt>
                <c:pt idx="80">
                  <c:v>0.85477399388622732</c:v>
                </c:pt>
                <c:pt idx="81">
                  <c:v>0.86660710609470248</c:v>
                </c:pt>
                <c:pt idx="82">
                  <c:v>0.878470378516511</c:v>
                </c:pt>
                <c:pt idx="83">
                  <c:v>0.89036381115165297</c:v>
                </c:pt>
                <c:pt idx="84">
                  <c:v>0.9022874040001283</c:v>
                </c:pt>
                <c:pt idx="85">
                  <c:v>0.91424115706193676</c:v>
                </c:pt>
                <c:pt idx="86">
                  <c:v>0.92622507033707868</c:v>
                </c:pt>
                <c:pt idx="87">
                  <c:v>0.93823914382555362</c:v>
                </c:pt>
                <c:pt idx="88">
                  <c:v>0.95028337752736247</c:v>
                </c:pt>
                <c:pt idx="89">
                  <c:v>0.96235777144250423</c:v>
                </c:pt>
                <c:pt idx="90">
                  <c:v>0.97446232557097923</c:v>
                </c:pt>
                <c:pt idx="91">
                  <c:v>0.9865970399127878</c:v>
                </c:pt>
                <c:pt idx="92">
                  <c:v>0.99876191446792972</c:v>
                </c:pt>
                <c:pt idx="93">
                  <c:v>1.0109569492364048</c:v>
                </c:pt>
                <c:pt idx="94">
                  <c:v>1.0231821442182134</c:v>
                </c:pt>
                <c:pt idx="95">
                  <c:v>1.0354374994133555</c:v>
                </c:pt>
                <c:pt idx="96">
                  <c:v>1.0477230148218304</c:v>
                </c:pt>
                <c:pt idx="97">
                  <c:v>1.0600386904436392</c:v>
                </c:pt>
                <c:pt idx="98">
                  <c:v>1.072384526278781</c:v>
                </c:pt>
                <c:pt idx="99">
                  <c:v>1.0847605223272561</c:v>
                </c:pt>
                <c:pt idx="100">
                  <c:v>1.0971666785890648</c:v>
                </c:pt>
                <c:pt idx="101">
                  <c:v>1.1096029950642063</c:v>
                </c:pt>
                <c:pt idx="102">
                  <c:v>1.1220694717526818</c:v>
                </c:pt>
                <c:pt idx="103">
                  <c:v>1.1345661086544903</c:v>
                </c:pt>
                <c:pt idx="104">
                  <c:v>1.1470929057696324</c:v>
                </c:pt>
                <c:pt idx="105">
                  <c:v>1.1596498630981074</c:v>
                </c:pt>
                <c:pt idx="106">
                  <c:v>1.172236980639916</c:v>
                </c:pt>
                <c:pt idx="107">
                  <c:v>1.1848542583950579</c:v>
                </c:pt>
                <c:pt idx="108">
                  <c:v>1.197501696363533</c:v>
                </c:pt>
                <c:pt idx="109">
                  <c:v>1.2101792945453418</c:v>
                </c:pt>
                <c:pt idx="110">
                  <c:v>1.2228870529404834</c:v>
                </c:pt>
                <c:pt idx="111">
                  <c:v>1.2356249715489582</c:v>
                </c:pt>
                <c:pt idx="112">
                  <c:v>1.2483930503707672</c:v>
                </c:pt>
                <c:pt idx="113">
                  <c:v>1.2611912894059092</c:v>
                </c:pt>
                <c:pt idx="114">
                  <c:v>1.2740196886543842</c:v>
                </c:pt>
                <c:pt idx="115">
                  <c:v>1.2868782481161929</c:v>
                </c:pt>
                <c:pt idx="116">
                  <c:v>1.2997669677913344</c:v>
                </c:pt>
                <c:pt idx="117">
                  <c:v>1.3126858476798098</c:v>
                </c:pt>
                <c:pt idx="118">
                  <c:v>1.3256348877816184</c:v>
                </c:pt>
                <c:pt idx="119">
                  <c:v>1.3386140880967601</c:v>
                </c:pt>
                <c:pt idx="120">
                  <c:v>1.351623448625235</c:v>
                </c:pt>
                <c:pt idx="121">
                  <c:v>1.3646629693670442</c:v>
                </c:pt>
                <c:pt idx="122">
                  <c:v>1.3777326503221861</c:v>
                </c:pt>
                <c:pt idx="123">
                  <c:v>1.3908324914906611</c:v>
                </c:pt>
                <c:pt idx="124">
                  <c:v>1.4039624928724699</c:v>
                </c:pt>
                <c:pt idx="125">
                  <c:v>1.4171226544676114</c:v>
                </c:pt>
                <c:pt idx="126">
                  <c:v>1.4303129762760867</c:v>
                </c:pt>
                <c:pt idx="127">
                  <c:v>1.4435334582978956</c:v>
                </c:pt>
                <c:pt idx="128">
                  <c:v>1.4567841005330373</c:v>
                </c:pt>
                <c:pt idx="129">
                  <c:v>1.470064902981512</c:v>
                </c:pt>
                <c:pt idx="130">
                  <c:v>1.4833758656433209</c:v>
                </c:pt>
                <c:pt idx="131">
                  <c:v>1.4967169885184628</c:v>
                </c:pt>
                <c:pt idx="132">
                  <c:v>1.5100882716069379</c:v>
                </c:pt>
                <c:pt idx="133">
                  <c:v>1.5234897149087465</c:v>
                </c:pt>
                <c:pt idx="134">
                  <c:v>1.5369213184238886</c:v>
                </c:pt>
                <c:pt idx="135">
                  <c:v>1.5503830821523632</c:v>
                </c:pt>
                <c:pt idx="136">
                  <c:v>1.5638750060941722</c:v>
                </c:pt>
                <c:pt idx="137">
                  <c:v>1.5773970902493137</c:v>
                </c:pt>
                <c:pt idx="138">
                  <c:v>1.5909493346177888</c:v>
                </c:pt>
                <c:pt idx="139">
                  <c:v>1.6045317391995977</c:v>
                </c:pt>
                <c:pt idx="140">
                  <c:v>1.6181443039947399</c:v>
                </c:pt>
                <c:pt idx="141">
                  <c:v>1.6317870290032148</c:v>
                </c:pt>
                <c:pt idx="142">
                  <c:v>1.6454599142250235</c:v>
                </c:pt>
                <c:pt idx="143">
                  <c:v>1.6591629596601651</c:v>
                </c:pt>
                <c:pt idx="144">
                  <c:v>1.6728961653086403</c:v>
                </c:pt>
                <c:pt idx="145">
                  <c:v>1.6866595311704491</c:v>
                </c:pt>
                <c:pt idx="146">
                  <c:v>1.7004530572455909</c:v>
                </c:pt>
                <c:pt idx="147">
                  <c:v>1.7142767435340658</c:v>
                </c:pt>
                <c:pt idx="148">
                  <c:v>1.7281305900358745</c:v>
                </c:pt>
                <c:pt idx="149">
                  <c:v>1.7420145967510163</c:v>
                </c:pt>
                <c:pt idx="150">
                  <c:v>1.7559287636794918</c:v>
                </c:pt>
              </c:numCache>
            </c:numRef>
          </c:yVal>
          <c:smooth val="1"/>
          <c:extLst>
            <c:ext xmlns:c16="http://schemas.microsoft.com/office/drawing/2014/chart" uri="{C3380CC4-5D6E-409C-BE32-E72D297353CC}">
              <c16:uniqueId val="{00000001-199A-4277-BC05-4E64B1A6016C}"/>
            </c:ext>
          </c:extLst>
        </c:ser>
        <c:ser>
          <c:idx val="2"/>
          <c:order val="2"/>
          <c:tx>
            <c:v>HS MOSFET</c:v>
          </c:tx>
          <c:spPr>
            <a:ln>
              <a:solidFill>
                <a:schemeClr val="bg2">
                  <a:lumMod val="50000"/>
                </a:schemeClr>
              </a:solidFill>
              <a:prstDash val="sysDash"/>
            </a:ln>
          </c:spPr>
          <c:marker>
            <c:symbol val="none"/>
          </c:marker>
          <c:xVal>
            <c:numRef>
              <c:f>Eff_vs_IOUT!$S$7:$S$157</c:f>
              <c:numCache>
                <c:formatCode>General</c:formatCode>
                <c:ptCount val="151"/>
                <c:pt idx="0">
                  <c:v>0</c:v>
                </c:pt>
                <c:pt idx="1">
                  <c:v>5.0133333333333328E-2</c:v>
                </c:pt>
                <c:pt idx="2">
                  <c:v>0.10026666666666666</c:v>
                </c:pt>
                <c:pt idx="3">
                  <c:v>0.15039999999999998</c:v>
                </c:pt>
                <c:pt idx="4">
                  <c:v>0.20053333333333331</c:v>
                </c:pt>
                <c:pt idx="5">
                  <c:v>0.25066666666666665</c:v>
                </c:pt>
                <c:pt idx="6">
                  <c:v>0.30079999999999996</c:v>
                </c:pt>
                <c:pt idx="7">
                  <c:v>0.35093333333333332</c:v>
                </c:pt>
                <c:pt idx="8">
                  <c:v>0.40106666666666663</c:v>
                </c:pt>
                <c:pt idx="9">
                  <c:v>0.45119999999999993</c:v>
                </c:pt>
                <c:pt idx="10">
                  <c:v>0.5013333333333333</c:v>
                </c:pt>
                <c:pt idx="11">
                  <c:v>0.55146666666666666</c:v>
                </c:pt>
                <c:pt idx="12">
                  <c:v>0.60159999999999991</c:v>
                </c:pt>
                <c:pt idx="13">
                  <c:v>0.65173333333333328</c:v>
                </c:pt>
                <c:pt idx="14">
                  <c:v>0.70186666666666664</c:v>
                </c:pt>
                <c:pt idx="15">
                  <c:v>0.75199999999999989</c:v>
                </c:pt>
                <c:pt idx="16">
                  <c:v>0.80213333333333325</c:v>
                </c:pt>
                <c:pt idx="17">
                  <c:v>0.85226666666666662</c:v>
                </c:pt>
                <c:pt idx="18">
                  <c:v>0.90239999999999987</c:v>
                </c:pt>
                <c:pt idx="19">
                  <c:v>0.95253333333333323</c:v>
                </c:pt>
                <c:pt idx="20">
                  <c:v>1.0026666666666666</c:v>
                </c:pt>
                <c:pt idx="21">
                  <c:v>1.0528</c:v>
                </c:pt>
                <c:pt idx="22">
                  <c:v>1.1029333333333333</c:v>
                </c:pt>
                <c:pt idx="23">
                  <c:v>1.1530666666666665</c:v>
                </c:pt>
                <c:pt idx="24">
                  <c:v>1.2031999999999998</c:v>
                </c:pt>
                <c:pt idx="25">
                  <c:v>1.2533333333333332</c:v>
                </c:pt>
                <c:pt idx="26">
                  <c:v>1.3034666666666666</c:v>
                </c:pt>
                <c:pt idx="27">
                  <c:v>1.3535999999999999</c:v>
                </c:pt>
                <c:pt idx="28">
                  <c:v>1.4037333333333333</c:v>
                </c:pt>
                <c:pt idx="29">
                  <c:v>1.4538666666666664</c:v>
                </c:pt>
                <c:pt idx="30">
                  <c:v>1.5039999999999998</c:v>
                </c:pt>
                <c:pt idx="31">
                  <c:v>1.5541333333333331</c:v>
                </c:pt>
                <c:pt idx="32">
                  <c:v>1.6042666666666665</c:v>
                </c:pt>
                <c:pt idx="33">
                  <c:v>1.6543999999999999</c:v>
                </c:pt>
                <c:pt idx="34">
                  <c:v>1.7045333333333332</c:v>
                </c:pt>
                <c:pt idx="35">
                  <c:v>1.7546666666666666</c:v>
                </c:pt>
                <c:pt idx="36">
                  <c:v>1.8047999999999997</c:v>
                </c:pt>
                <c:pt idx="37">
                  <c:v>1.8549333333333331</c:v>
                </c:pt>
                <c:pt idx="38">
                  <c:v>1.9050666666666665</c:v>
                </c:pt>
                <c:pt idx="39">
                  <c:v>1.9551999999999998</c:v>
                </c:pt>
                <c:pt idx="40">
                  <c:v>2.0053333333333332</c:v>
                </c:pt>
                <c:pt idx="41">
                  <c:v>2.0554666666666663</c:v>
                </c:pt>
                <c:pt idx="42">
                  <c:v>2.1055999999999999</c:v>
                </c:pt>
                <c:pt idx="43">
                  <c:v>2.1557333333333331</c:v>
                </c:pt>
                <c:pt idx="44">
                  <c:v>2.2058666666666666</c:v>
                </c:pt>
                <c:pt idx="45">
                  <c:v>2.2559999999999998</c:v>
                </c:pt>
                <c:pt idx="46">
                  <c:v>2.3061333333333329</c:v>
                </c:pt>
                <c:pt idx="47">
                  <c:v>2.3562666666666665</c:v>
                </c:pt>
                <c:pt idx="48">
                  <c:v>2.4063999999999997</c:v>
                </c:pt>
                <c:pt idx="49">
                  <c:v>2.4565333333333332</c:v>
                </c:pt>
                <c:pt idx="50">
                  <c:v>2.5066666666666664</c:v>
                </c:pt>
                <c:pt idx="51">
                  <c:v>2.5568</c:v>
                </c:pt>
                <c:pt idx="52">
                  <c:v>2.6069333333333331</c:v>
                </c:pt>
                <c:pt idx="53">
                  <c:v>2.6570666666666662</c:v>
                </c:pt>
                <c:pt idx="54">
                  <c:v>2.7071999999999998</c:v>
                </c:pt>
                <c:pt idx="55">
                  <c:v>2.757333333333333</c:v>
                </c:pt>
                <c:pt idx="56">
                  <c:v>2.8074666666666666</c:v>
                </c:pt>
                <c:pt idx="57">
                  <c:v>2.8575999999999997</c:v>
                </c:pt>
                <c:pt idx="58">
                  <c:v>2.9077333333333328</c:v>
                </c:pt>
                <c:pt idx="59">
                  <c:v>2.9578666666666664</c:v>
                </c:pt>
                <c:pt idx="60">
                  <c:v>3.0079999999999996</c:v>
                </c:pt>
                <c:pt idx="61">
                  <c:v>3.0581333333333331</c:v>
                </c:pt>
                <c:pt idx="62">
                  <c:v>3.1082666666666663</c:v>
                </c:pt>
                <c:pt idx="63">
                  <c:v>3.1583999999999999</c:v>
                </c:pt>
                <c:pt idx="64">
                  <c:v>3.208533333333333</c:v>
                </c:pt>
                <c:pt idx="65">
                  <c:v>3.2586666666666662</c:v>
                </c:pt>
                <c:pt idx="66">
                  <c:v>3.3087999999999997</c:v>
                </c:pt>
                <c:pt idx="67">
                  <c:v>3.3589333333333329</c:v>
                </c:pt>
                <c:pt idx="68">
                  <c:v>3.4090666666666665</c:v>
                </c:pt>
                <c:pt idx="69">
                  <c:v>3.4591999999999996</c:v>
                </c:pt>
                <c:pt idx="70">
                  <c:v>3.5093333333333332</c:v>
                </c:pt>
                <c:pt idx="71">
                  <c:v>3.5594666666666663</c:v>
                </c:pt>
                <c:pt idx="72">
                  <c:v>3.6095999999999995</c:v>
                </c:pt>
                <c:pt idx="73">
                  <c:v>3.6597333333333331</c:v>
                </c:pt>
                <c:pt idx="74">
                  <c:v>3.7098666666666662</c:v>
                </c:pt>
                <c:pt idx="75">
                  <c:v>3.76</c:v>
                </c:pt>
                <c:pt idx="76">
                  <c:v>3.8101333333333329</c:v>
                </c:pt>
                <c:pt idx="77">
                  <c:v>3.8602666666666661</c:v>
                </c:pt>
                <c:pt idx="78">
                  <c:v>3.9103999999999997</c:v>
                </c:pt>
                <c:pt idx="79">
                  <c:v>3.9605333333333328</c:v>
                </c:pt>
                <c:pt idx="80">
                  <c:v>4.0106666666666664</c:v>
                </c:pt>
                <c:pt idx="81">
                  <c:v>4.0607999999999995</c:v>
                </c:pt>
                <c:pt idx="82">
                  <c:v>4.1109333333333327</c:v>
                </c:pt>
                <c:pt idx="83">
                  <c:v>4.1610666666666667</c:v>
                </c:pt>
                <c:pt idx="84">
                  <c:v>4.2111999999999998</c:v>
                </c:pt>
                <c:pt idx="85">
                  <c:v>4.261333333333333</c:v>
                </c:pt>
                <c:pt idx="86">
                  <c:v>4.3114666666666661</c:v>
                </c:pt>
                <c:pt idx="87">
                  <c:v>4.3615999999999993</c:v>
                </c:pt>
                <c:pt idx="88">
                  <c:v>4.4117333333333333</c:v>
                </c:pt>
                <c:pt idx="89">
                  <c:v>4.4618666666666664</c:v>
                </c:pt>
                <c:pt idx="90">
                  <c:v>4.5119999999999996</c:v>
                </c:pt>
                <c:pt idx="91">
                  <c:v>4.5621333333333327</c:v>
                </c:pt>
                <c:pt idx="92">
                  <c:v>4.6122666666666658</c:v>
                </c:pt>
                <c:pt idx="93">
                  <c:v>4.6623999999999999</c:v>
                </c:pt>
                <c:pt idx="94">
                  <c:v>4.712533333333333</c:v>
                </c:pt>
                <c:pt idx="95">
                  <c:v>4.7626666666666662</c:v>
                </c:pt>
                <c:pt idx="96">
                  <c:v>4.8127999999999993</c:v>
                </c:pt>
                <c:pt idx="97">
                  <c:v>4.8629333333333324</c:v>
                </c:pt>
                <c:pt idx="98">
                  <c:v>4.9130666666666665</c:v>
                </c:pt>
                <c:pt idx="99">
                  <c:v>4.9631999999999996</c:v>
                </c:pt>
                <c:pt idx="100">
                  <c:v>5.0133333333333328</c:v>
                </c:pt>
                <c:pt idx="101">
                  <c:v>5.0634666666666659</c:v>
                </c:pt>
                <c:pt idx="102">
                  <c:v>5.1135999999999999</c:v>
                </c:pt>
                <c:pt idx="103">
                  <c:v>5.1637333333333331</c:v>
                </c:pt>
                <c:pt idx="104">
                  <c:v>5.2138666666666662</c:v>
                </c:pt>
                <c:pt idx="105">
                  <c:v>5.2639999999999993</c:v>
                </c:pt>
                <c:pt idx="106">
                  <c:v>5.3141333333333325</c:v>
                </c:pt>
                <c:pt idx="107">
                  <c:v>5.3642666666666665</c:v>
                </c:pt>
                <c:pt idx="108">
                  <c:v>5.4143999999999997</c:v>
                </c:pt>
                <c:pt idx="109">
                  <c:v>5.4645333333333328</c:v>
                </c:pt>
                <c:pt idx="110">
                  <c:v>5.5146666666666659</c:v>
                </c:pt>
                <c:pt idx="111">
                  <c:v>5.5647999999999991</c:v>
                </c:pt>
                <c:pt idx="112">
                  <c:v>5.6149333333333331</c:v>
                </c:pt>
                <c:pt idx="113">
                  <c:v>5.6650666666666663</c:v>
                </c:pt>
                <c:pt idx="114">
                  <c:v>5.7151999999999994</c:v>
                </c:pt>
                <c:pt idx="115">
                  <c:v>5.7653333333333325</c:v>
                </c:pt>
                <c:pt idx="116">
                  <c:v>5.8154666666666657</c:v>
                </c:pt>
                <c:pt idx="117">
                  <c:v>5.8655999999999997</c:v>
                </c:pt>
                <c:pt idx="118">
                  <c:v>5.9157333333333328</c:v>
                </c:pt>
                <c:pt idx="119">
                  <c:v>5.965866666666666</c:v>
                </c:pt>
                <c:pt idx="120">
                  <c:v>6.0159999999999991</c:v>
                </c:pt>
                <c:pt idx="121">
                  <c:v>6.0661333333333332</c:v>
                </c:pt>
                <c:pt idx="122">
                  <c:v>6.1162666666666663</c:v>
                </c:pt>
                <c:pt idx="123">
                  <c:v>6.1663999999999994</c:v>
                </c:pt>
                <c:pt idx="124">
                  <c:v>6.2165333333333326</c:v>
                </c:pt>
                <c:pt idx="125">
                  <c:v>6.2666666666666657</c:v>
                </c:pt>
                <c:pt idx="126">
                  <c:v>6.3167999999999997</c:v>
                </c:pt>
                <c:pt idx="127">
                  <c:v>6.3669333333333329</c:v>
                </c:pt>
                <c:pt idx="128">
                  <c:v>6.417066666666666</c:v>
                </c:pt>
                <c:pt idx="129">
                  <c:v>6.4671999999999992</c:v>
                </c:pt>
                <c:pt idx="130">
                  <c:v>6.5173333333333323</c:v>
                </c:pt>
                <c:pt idx="131">
                  <c:v>6.5674666666666663</c:v>
                </c:pt>
                <c:pt idx="132">
                  <c:v>6.6175999999999995</c:v>
                </c:pt>
                <c:pt idx="133">
                  <c:v>6.6677333333333326</c:v>
                </c:pt>
                <c:pt idx="134">
                  <c:v>6.7178666666666658</c:v>
                </c:pt>
                <c:pt idx="135">
                  <c:v>6.7679999999999989</c:v>
                </c:pt>
                <c:pt idx="136">
                  <c:v>6.8181333333333329</c:v>
                </c:pt>
                <c:pt idx="137">
                  <c:v>6.8682666666666661</c:v>
                </c:pt>
                <c:pt idx="138">
                  <c:v>6.9183999999999992</c:v>
                </c:pt>
                <c:pt idx="139">
                  <c:v>6.9685333333333324</c:v>
                </c:pt>
                <c:pt idx="140">
                  <c:v>7.0186666666666664</c:v>
                </c:pt>
                <c:pt idx="141">
                  <c:v>7.0687999999999995</c:v>
                </c:pt>
                <c:pt idx="142">
                  <c:v>7.1189333333333327</c:v>
                </c:pt>
                <c:pt idx="143">
                  <c:v>7.1690666666666658</c:v>
                </c:pt>
                <c:pt idx="144">
                  <c:v>7.219199999999999</c:v>
                </c:pt>
                <c:pt idx="145">
                  <c:v>7.269333333333333</c:v>
                </c:pt>
                <c:pt idx="146">
                  <c:v>7.3194666666666661</c:v>
                </c:pt>
                <c:pt idx="147">
                  <c:v>7.3695999999999993</c:v>
                </c:pt>
                <c:pt idx="148">
                  <c:v>7.4197333333333324</c:v>
                </c:pt>
                <c:pt idx="149">
                  <c:v>7.4698666666666655</c:v>
                </c:pt>
                <c:pt idx="150">
                  <c:v>7.52</c:v>
                </c:pt>
              </c:numCache>
            </c:numRef>
          </c:xVal>
          <c:yVal>
            <c:numRef>
              <c:f>Eff_vs_IOUT!$AO$7:$AO$157</c:f>
              <c:numCache>
                <c:formatCode>General</c:formatCode>
                <c:ptCount val="151"/>
                <c:pt idx="0">
                  <c:v>0.30642072087077216</c:v>
                </c:pt>
                <c:pt idx="1">
                  <c:v>0.30767958892410552</c:v>
                </c:pt>
                <c:pt idx="2">
                  <c:v>0.3089535370841055</c:v>
                </c:pt>
                <c:pt idx="3">
                  <c:v>0.31024256535077216</c:v>
                </c:pt>
                <c:pt idx="4">
                  <c:v>0.31154667372410549</c:v>
                </c:pt>
                <c:pt idx="5">
                  <c:v>0.3128658622041055</c:v>
                </c:pt>
                <c:pt idx="6">
                  <c:v>0.31420013079077214</c:v>
                </c:pt>
                <c:pt idx="7">
                  <c:v>0.3155494794841055</c:v>
                </c:pt>
                <c:pt idx="8">
                  <c:v>0.31691390828410548</c:v>
                </c:pt>
                <c:pt idx="9">
                  <c:v>0.31829341719077214</c:v>
                </c:pt>
                <c:pt idx="10">
                  <c:v>0.31968800620410553</c:v>
                </c:pt>
                <c:pt idx="11">
                  <c:v>0.32109767532410555</c:v>
                </c:pt>
                <c:pt idx="12">
                  <c:v>0.32252242455077218</c:v>
                </c:pt>
                <c:pt idx="13">
                  <c:v>0.32396225388410554</c:v>
                </c:pt>
                <c:pt idx="14">
                  <c:v>0.32541716332410553</c:v>
                </c:pt>
                <c:pt idx="15">
                  <c:v>0.32688715287077219</c:v>
                </c:pt>
                <c:pt idx="16">
                  <c:v>0.32837222252410553</c:v>
                </c:pt>
                <c:pt idx="17">
                  <c:v>0.32987237228410549</c:v>
                </c:pt>
                <c:pt idx="18">
                  <c:v>0.33138760215077218</c:v>
                </c:pt>
                <c:pt idx="19">
                  <c:v>0.33291791212410549</c:v>
                </c:pt>
                <c:pt idx="20">
                  <c:v>0.33446330220410547</c:v>
                </c:pt>
                <c:pt idx="21">
                  <c:v>0.33602377239077214</c:v>
                </c:pt>
                <c:pt idx="22">
                  <c:v>0.33759932268410553</c:v>
                </c:pt>
                <c:pt idx="23">
                  <c:v>0.33918995308410549</c:v>
                </c:pt>
                <c:pt idx="24">
                  <c:v>0.34079566359077218</c:v>
                </c:pt>
                <c:pt idx="25">
                  <c:v>0.34241645420410549</c:v>
                </c:pt>
                <c:pt idx="26">
                  <c:v>0.34405232492410553</c:v>
                </c:pt>
                <c:pt idx="27">
                  <c:v>0.3457032757507722</c:v>
                </c:pt>
                <c:pt idx="28">
                  <c:v>0.34736930668410554</c:v>
                </c:pt>
                <c:pt idx="29">
                  <c:v>0.3490504177241055</c:v>
                </c:pt>
                <c:pt idx="30">
                  <c:v>0.35074660887077219</c:v>
                </c:pt>
                <c:pt idx="31">
                  <c:v>0.3524578801241055</c:v>
                </c:pt>
                <c:pt idx="32">
                  <c:v>0.35418423148410549</c:v>
                </c:pt>
                <c:pt idx="33">
                  <c:v>0.35592566295077216</c:v>
                </c:pt>
                <c:pt idx="34">
                  <c:v>0.35768217452410556</c:v>
                </c:pt>
                <c:pt idx="35">
                  <c:v>0.35945376620410552</c:v>
                </c:pt>
                <c:pt idx="36">
                  <c:v>0.36124043799077221</c:v>
                </c:pt>
                <c:pt idx="37">
                  <c:v>0.36304218988410553</c:v>
                </c:pt>
                <c:pt idx="38">
                  <c:v>0.36485902188410546</c:v>
                </c:pt>
                <c:pt idx="39">
                  <c:v>0.36669093399077218</c:v>
                </c:pt>
                <c:pt idx="40">
                  <c:v>0.36853792620410553</c:v>
                </c:pt>
                <c:pt idx="41">
                  <c:v>0.37039999852410549</c:v>
                </c:pt>
                <c:pt idx="42">
                  <c:v>0.37227715095077218</c:v>
                </c:pt>
                <c:pt idx="43">
                  <c:v>0.3741693834841055</c:v>
                </c:pt>
                <c:pt idx="44">
                  <c:v>0.37607669612410549</c:v>
                </c:pt>
                <c:pt idx="45">
                  <c:v>0.37799908887077216</c:v>
                </c:pt>
                <c:pt idx="46">
                  <c:v>0.37993656172410545</c:v>
                </c:pt>
                <c:pt idx="47">
                  <c:v>0.38188911468410547</c:v>
                </c:pt>
                <c:pt idx="48">
                  <c:v>0.38385674775077216</c:v>
                </c:pt>
                <c:pt idx="49">
                  <c:v>0.38583946092410554</c:v>
                </c:pt>
                <c:pt idx="50">
                  <c:v>0.38783725420410547</c:v>
                </c:pt>
                <c:pt idx="51">
                  <c:v>0.3898501275907722</c:v>
                </c:pt>
                <c:pt idx="52">
                  <c:v>0.39187808108410555</c:v>
                </c:pt>
                <c:pt idx="53">
                  <c:v>0.39392111468410551</c:v>
                </c:pt>
                <c:pt idx="54">
                  <c:v>0.39597922839077215</c:v>
                </c:pt>
                <c:pt idx="55">
                  <c:v>0.39805242220410553</c:v>
                </c:pt>
                <c:pt idx="56">
                  <c:v>0.40014069612410552</c:v>
                </c:pt>
                <c:pt idx="57">
                  <c:v>0.40224405015077214</c:v>
                </c:pt>
                <c:pt idx="58">
                  <c:v>0.40436248428410548</c:v>
                </c:pt>
                <c:pt idx="59">
                  <c:v>0.40649599852410551</c:v>
                </c:pt>
                <c:pt idx="60">
                  <c:v>0.40864459287077215</c:v>
                </c:pt>
                <c:pt idx="61">
                  <c:v>0.41080826732410547</c:v>
                </c:pt>
                <c:pt idx="62">
                  <c:v>0.41298702188410547</c:v>
                </c:pt>
                <c:pt idx="63">
                  <c:v>0.41518085655077219</c:v>
                </c:pt>
                <c:pt idx="64">
                  <c:v>0.41738977132410543</c:v>
                </c:pt>
                <c:pt idx="65">
                  <c:v>0.41961376620410551</c:v>
                </c:pt>
                <c:pt idx="66">
                  <c:v>0.42185284119077215</c:v>
                </c:pt>
                <c:pt idx="67">
                  <c:v>0.42410699628410542</c:v>
                </c:pt>
                <c:pt idx="68">
                  <c:v>0.42637623148410553</c:v>
                </c:pt>
                <c:pt idx="69">
                  <c:v>0.42866054679077215</c:v>
                </c:pt>
                <c:pt idx="70">
                  <c:v>0.4309599422041055</c:v>
                </c:pt>
                <c:pt idx="71">
                  <c:v>0.43327441772410552</c:v>
                </c:pt>
                <c:pt idx="72">
                  <c:v>0.43560397335077206</c:v>
                </c:pt>
                <c:pt idx="73">
                  <c:v>0.43794860908410549</c:v>
                </c:pt>
                <c:pt idx="74">
                  <c:v>0.44030832492410549</c:v>
                </c:pt>
                <c:pt idx="75">
                  <c:v>0.44268312087077222</c:v>
                </c:pt>
                <c:pt idx="76">
                  <c:v>0.44507299692410546</c:v>
                </c:pt>
                <c:pt idx="77">
                  <c:v>0.44747795308410554</c:v>
                </c:pt>
                <c:pt idx="78">
                  <c:v>0.44989798935077213</c:v>
                </c:pt>
                <c:pt idx="79">
                  <c:v>0.45233310572410546</c:v>
                </c:pt>
                <c:pt idx="80">
                  <c:v>0.45478330220410546</c:v>
                </c:pt>
                <c:pt idx="81">
                  <c:v>0.45724857879077219</c:v>
                </c:pt>
                <c:pt idx="82">
                  <c:v>0.45972893548410543</c:v>
                </c:pt>
                <c:pt idx="83">
                  <c:v>0.46222437228410551</c:v>
                </c:pt>
                <c:pt idx="84">
                  <c:v>0.46473488919077216</c:v>
                </c:pt>
                <c:pt idx="85">
                  <c:v>0.46726048620410549</c:v>
                </c:pt>
                <c:pt idx="86">
                  <c:v>0.46980116332410549</c:v>
                </c:pt>
                <c:pt idx="87">
                  <c:v>0.47235692055077216</c:v>
                </c:pt>
                <c:pt idx="88">
                  <c:v>0.47492775788410557</c:v>
                </c:pt>
                <c:pt idx="89">
                  <c:v>0.47751367532410549</c:v>
                </c:pt>
                <c:pt idx="90">
                  <c:v>0.48011467287077209</c:v>
                </c:pt>
                <c:pt idx="91">
                  <c:v>0.48273075052410552</c:v>
                </c:pt>
                <c:pt idx="92">
                  <c:v>0.48536190828410541</c:v>
                </c:pt>
                <c:pt idx="93">
                  <c:v>0.48800814615077215</c:v>
                </c:pt>
                <c:pt idx="94">
                  <c:v>0.4906694641241055</c:v>
                </c:pt>
                <c:pt idx="95">
                  <c:v>0.49334586220410548</c:v>
                </c:pt>
                <c:pt idx="96">
                  <c:v>0.49603734039077219</c:v>
                </c:pt>
                <c:pt idx="97">
                  <c:v>0.49874389868410546</c:v>
                </c:pt>
                <c:pt idx="98">
                  <c:v>0.50146553708410546</c:v>
                </c:pt>
                <c:pt idx="99">
                  <c:v>0.50420225559077214</c:v>
                </c:pt>
                <c:pt idx="100">
                  <c:v>0.50695405420410555</c:v>
                </c:pt>
                <c:pt idx="101">
                  <c:v>0.50972093292410536</c:v>
                </c:pt>
                <c:pt idx="102">
                  <c:v>0.51250289175077213</c:v>
                </c:pt>
                <c:pt idx="103">
                  <c:v>0.51529993068410551</c:v>
                </c:pt>
                <c:pt idx="104">
                  <c:v>0.51811204972410552</c:v>
                </c:pt>
                <c:pt idx="105">
                  <c:v>0.52093924887077203</c:v>
                </c:pt>
                <c:pt idx="106">
                  <c:v>0.5237815281241055</c:v>
                </c:pt>
                <c:pt idx="107">
                  <c:v>0.52663888748410548</c:v>
                </c:pt>
                <c:pt idx="108">
                  <c:v>0.52951132695077208</c:v>
                </c:pt>
                <c:pt idx="109">
                  <c:v>0.53239884652410552</c:v>
                </c:pt>
                <c:pt idx="110">
                  <c:v>0.53530144620410547</c:v>
                </c:pt>
                <c:pt idx="111">
                  <c:v>0.53821912599077204</c:v>
                </c:pt>
                <c:pt idx="112">
                  <c:v>0.54115188588410545</c:v>
                </c:pt>
                <c:pt idx="113">
                  <c:v>0.54409972588410549</c:v>
                </c:pt>
                <c:pt idx="114">
                  <c:v>0.54706264599077215</c:v>
                </c:pt>
                <c:pt idx="115">
                  <c:v>0.55004064620410542</c:v>
                </c:pt>
                <c:pt idx="116">
                  <c:v>0.55303372652410543</c:v>
                </c:pt>
                <c:pt idx="117">
                  <c:v>0.55604188695077206</c:v>
                </c:pt>
                <c:pt idx="118">
                  <c:v>0.55906512748410553</c:v>
                </c:pt>
                <c:pt idx="119">
                  <c:v>0.5621034481241054</c:v>
                </c:pt>
                <c:pt idx="120">
                  <c:v>0.56515684887077211</c:v>
                </c:pt>
                <c:pt idx="121">
                  <c:v>0.56822532972410544</c:v>
                </c:pt>
                <c:pt idx="122">
                  <c:v>0.57130889068410551</c:v>
                </c:pt>
                <c:pt idx="123">
                  <c:v>0.57440753175077208</c:v>
                </c:pt>
                <c:pt idx="124">
                  <c:v>0.5775212529241055</c:v>
                </c:pt>
                <c:pt idx="125">
                  <c:v>0.58065005420410543</c:v>
                </c:pt>
                <c:pt idx="126">
                  <c:v>0.58379393559077219</c:v>
                </c:pt>
                <c:pt idx="127">
                  <c:v>0.58695289708410547</c:v>
                </c:pt>
                <c:pt idx="128">
                  <c:v>0.59012693868410548</c:v>
                </c:pt>
                <c:pt idx="129">
                  <c:v>0.593316060390772</c:v>
                </c:pt>
                <c:pt idx="130">
                  <c:v>0.59652026220410548</c:v>
                </c:pt>
                <c:pt idx="131">
                  <c:v>0.59973954412410546</c:v>
                </c:pt>
                <c:pt idx="132">
                  <c:v>0.60297390615077207</c:v>
                </c:pt>
                <c:pt idx="133">
                  <c:v>0.6062233482841054</c:v>
                </c:pt>
                <c:pt idx="134">
                  <c:v>0.60948787052410547</c:v>
                </c:pt>
                <c:pt idx="135">
                  <c:v>0.61276747287077193</c:v>
                </c:pt>
                <c:pt idx="136">
                  <c:v>0.61606215532410546</c:v>
                </c:pt>
                <c:pt idx="137">
                  <c:v>0.61937191788410539</c:v>
                </c:pt>
                <c:pt idx="138">
                  <c:v>0.62269676055077205</c:v>
                </c:pt>
                <c:pt idx="139">
                  <c:v>0.62603668332410545</c:v>
                </c:pt>
                <c:pt idx="140">
                  <c:v>0.62939168620410546</c:v>
                </c:pt>
                <c:pt idx="141">
                  <c:v>0.63276176919077209</c:v>
                </c:pt>
                <c:pt idx="142">
                  <c:v>0.63614693228410546</c:v>
                </c:pt>
                <c:pt idx="143">
                  <c:v>0.63954717548410545</c:v>
                </c:pt>
                <c:pt idx="144">
                  <c:v>0.64296249879077205</c:v>
                </c:pt>
                <c:pt idx="145">
                  <c:v>0.6463929022041055</c:v>
                </c:pt>
                <c:pt idx="146">
                  <c:v>0.64983838572410546</c:v>
                </c:pt>
                <c:pt idx="147">
                  <c:v>0.65329894935077204</c:v>
                </c:pt>
                <c:pt idx="148">
                  <c:v>0.65677459308410546</c:v>
                </c:pt>
                <c:pt idx="149">
                  <c:v>0.66026531692410539</c:v>
                </c:pt>
                <c:pt idx="150">
                  <c:v>0.66377112087077206</c:v>
                </c:pt>
              </c:numCache>
            </c:numRef>
          </c:yVal>
          <c:smooth val="1"/>
          <c:extLst>
            <c:ext xmlns:c16="http://schemas.microsoft.com/office/drawing/2014/chart" uri="{C3380CC4-5D6E-409C-BE32-E72D297353CC}">
              <c16:uniqueId val="{00000002-199A-4277-BC05-4E64B1A6016C}"/>
            </c:ext>
          </c:extLst>
        </c:ser>
        <c:ser>
          <c:idx val="3"/>
          <c:order val="3"/>
          <c:tx>
            <c:v>RCS</c:v>
          </c:tx>
          <c:spPr>
            <a:ln>
              <a:solidFill>
                <a:schemeClr val="accent5">
                  <a:lumMod val="75000"/>
                </a:schemeClr>
              </a:solidFill>
              <a:prstDash val="lgDashDotDot"/>
            </a:ln>
          </c:spPr>
          <c:marker>
            <c:symbol val="none"/>
          </c:marker>
          <c:xVal>
            <c:numRef>
              <c:f>Eff_vs_IOUT!$S$7:$S$157</c:f>
              <c:numCache>
                <c:formatCode>General</c:formatCode>
                <c:ptCount val="151"/>
                <c:pt idx="0">
                  <c:v>0</c:v>
                </c:pt>
                <c:pt idx="1">
                  <c:v>5.0133333333333328E-2</c:v>
                </c:pt>
                <c:pt idx="2">
                  <c:v>0.10026666666666666</c:v>
                </c:pt>
                <c:pt idx="3">
                  <c:v>0.15039999999999998</c:v>
                </c:pt>
                <c:pt idx="4">
                  <c:v>0.20053333333333331</c:v>
                </c:pt>
                <c:pt idx="5">
                  <c:v>0.25066666666666665</c:v>
                </c:pt>
                <c:pt idx="6">
                  <c:v>0.30079999999999996</c:v>
                </c:pt>
                <c:pt idx="7">
                  <c:v>0.35093333333333332</c:v>
                </c:pt>
                <c:pt idx="8">
                  <c:v>0.40106666666666663</c:v>
                </c:pt>
                <c:pt idx="9">
                  <c:v>0.45119999999999993</c:v>
                </c:pt>
                <c:pt idx="10">
                  <c:v>0.5013333333333333</c:v>
                </c:pt>
                <c:pt idx="11">
                  <c:v>0.55146666666666666</c:v>
                </c:pt>
                <c:pt idx="12">
                  <c:v>0.60159999999999991</c:v>
                </c:pt>
                <c:pt idx="13">
                  <c:v>0.65173333333333328</c:v>
                </c:pt>
                <c:pt idx="14">
                  <c:v>0.70186666666666664</c:v>
                </c:pt>
                <c:pt idx="15">
                  <c:v>0.75199999999999989</c:v>
                </c:pt>
                <c:pt idx="16">
                  <c:v>0.80213333333333325</c:v>
                </c:pt>
                <c:pt idx="17">
                  <c:v>0.85226666666666662</c:v>
                </c:pt>
                <c:pt idx="18">
                  <c:v>0.90239999999999987</c:v>
                </c:pt>
                <c:pt idx="19">
                  <c:v>0.95253333333333323</c:v>
                </c:pt>
                <c:pt idx="20">
                  <c:v>1.0026666666666666</c:v>
                </c:pt>
                <c:pt idx="21">
                  <c:v>1.0528</c:v>
                </c:pt>
                <c:pt idx="22">
                  <c:v>1.1029333333333333</c:v>
                </c:pt>
                <c:pt idx="23">
                  <c:v>1.1530666666666665</c:v>
                </c:pt>
                <c:pt idx="24">
                  <c:v>1.2031999999999998</c:v>
                </c:pt>
                <c:pt idx="25">
                  <c:v>1.2533333333333332</c:v>
                </c:pt>
                <c:pt idx="26">
                  <c:v>1.3034666666666666</c:v>
                </c:pt>
                <c:pt idx="27">
                  <c:v>1.3535999999999999</c:v>
                </c:pt>
                <c:pt idx="28">
                  <c:v>1.4037333333333333</c:v>
                </c:pt>
                <c:pt idx="29">
                  <c:v>1.4538666666666664</c:v>
                </c:pt>
                <c:pt idx="30">
                  <c:v>1.5039999999999998</c:v>
                </c:pt>
                <c:pt idx="31">
                  <c:v>1.5541333333333331</c:v>
                </c:pt>
                <c:pt idx="32">
                  <c:v>1.6042666666666665</c:v>
                </c:pt>
                <c:pt idx="33">
                  <c:v>1.6543999999999999</c:v>
                </c:pt>
                <c:pt idx="34">
                  <c:v>1.7045333333333332</c:v>
                </c:pt>
                <c:pt idx="35">
                  <c:v>1.7546666666666666</c:v>
                </c:pt>
                <c:pt idx="36">
                  <c:v>1.8047999999999997</c:v>
                </c:pt>
                <c:pt idx="37">
                  <c:v>1.8549333333333331</c:v>
                </c:pt>
                <c:pt idx="38">
                  <c:v>1.9050666666666665</c:v>
                </c:pt>
                <c:pt idx="39">
                  <c:v>1.9551999999999998</c:v>
                </c:pt>
                <c:pt idx="40">
                  <c:v>2.0053333333333332</c:v>
                </c:pt>
                <c:pt idx="41">
                  <c:v>2.0554666666666663</c:v>
                </c:pt>
                <c:pt idx="42">
                  <c:v>2.1055999999999999</c:v>
                </c:pt>
                <c:pt idx="43">
                  <c:v>2.1557333333333331</c:v>
                </c:pt>
                <c:pt idx="44">
                  <c:v>2.2058666666666666</c:v>
                </c:pt>
                <c:pt idx="45">
                  <c:v>2.2559999999999998</c:v>
                </c:pt>
                <c:pt idx="46">
                  <c:v>2.3061333333333329</c:v>
                </c:pt>
                <c:pt idx="47">
                  <c:v>2.3562666666666665</c:v>
                </c:pt>
                <c:pt idx="48">
                  <c:v>2.4063999999999997</c:v>
                </c:pt>
                <c:pt idx="49">
                  <c:v>2.4565333333333332</c:v>
                </c:pt>
                <c:pt idx="50">
                  <c:v>2.5066666666666664</c:v>
                </c:pt>
                <c:pt idx="51">
                  <c:v>2.5568</c:v>
                </c:pt>
                <c:pt idx="52">
                  <c:v>2.6069333333333331</c:v>
                </c:pt>
                <c:pt idx="53">
                  <c:v>2.6570666666666662</c:v>
                </c:pt>
                <c:pt idx="54">
                  <c:v>2.7071999999999998</c:v>
                </c:pt>
                <c:pt idx="55">
                  <c:v>2.757333333333333</c:v>
                </c:pt>
                <c:pt idx="56">
                  <c:v>2.8074666666666666</c:v>
                </c:pt>
                <c:pt idx="57">
                  <c:v>2.8575999999999997</c:v>
                </c:pt>
                <c:pt idx="58">
                  <c:v>2.9077333333333328</c:v>
                </c:pt>
                <c:pt idx="59">
                  <c:v>2.9578666666666664</c:v>
                </c:pt>
                <c:pt idx="60">
                  <c:v>3.0079999999999996</c:v>
                </c:pt>
                <c:pt idx="61">
                  <c:v>3.0581333333333331</c:v>
                </c:pt>
                <c:pt idx="62">
                  <c:v>3.1082666666666663</c:v>
                </c:pt>
                <c:pt idx="63">
                  <c:v>3.1583999999999999</c:v>
                </c:pt>
                <c:pt idx="64">
                  <c:v>3.208533333333333</c:v>
                </c:pt>
                <c:pt idx="65">
                  <c:v>3.2586666666666662</c:v>
                </c:pt>
                <c:pt idx="66">
                  <c:v>3.3087999999999997</c:v>
                </c:pt>
                <c:pt idx="67">
                  <c:v>3.3589333333333329</c:v>
                </c:pt>
                <c:pt idx="68">
                  <c:v>3.4090666666666665</c:v>
                </c:pt>
                <c:pt idx="69">
                  <c:v>3.4591999999999996</c:v>
                </c:pt>
                <c:pt idx="70">
                  <c:v>3.5093333333333332</c:v>
                </c:pt>
                <c:pt idx="71">
                  <c:v>3.5594666666666663</c:v>
                </c:pt>
                <c:pt idx="72">
                  <c:v>3.6095999999999995</c:v>
                </c:pt>
                <c:pt idx="73">
                  <c:v>3.6597333333333331</c:v>
                </c:pt>
                <c:pt idx="74">
                  <c:v>3.7098666666666662</c:v>
                </c:pt>
                <c:pt idx="75">
                  <c:v>3.76</c:v>
                </c:pt>
                <c:pt idx="76">
                  <c:v>3.8101333333333329</c:v>
                </c:pt>
                <c:pt idx="77">
                  <c:v>3.8602666666666661</c:v>
                </c:pt>
                <c:pt idx="78">
                  <c:v>3.9103999999999997</c:v>
                </c:pt>
                <c:pt idx="79">
                  <c:v>3.9605333333333328</c:v>
                </c:pt>
                <c:pt idx="80">
                  <c:v>4.0106666666666664</c:v>
                </c:pt>
                <c:pt idx="81">
                  <c:v>4.0607999999999995</c:v>
                </c:pt>
                <c:pt idx="82">
                  <c:v>4.1109333333333327</c:v>
                </c:pt>
                <c:pt idx="83">
                  <c:v>4.1610666666666667</c:v>
                </c:pt>
                <c:pt idx="84">
                  <c:v>4.2111999999999998</c:v>
                </c:pt>
                <c:pt idx="85">
                  <c:v>4.261333333333333</c:v>
                </c:pt>
                <c:pt idx="86">
                  <c:v>4.3114666666666661</c:v>
                </c:pt>
                <c:pt idx="87">
                  <c:v>4.3615999999999993</c:v>
                </c:pt>
                <c:pt idx="88">
                  <c:v>4.4117333333333333</c:v>
                </c:pt>
                <c:pt idx="89">
                  <c:v>4.4618666666666664</c:v>
                </c:pt>
                <c:pt idx="90">
                  <c:v>4.5119999999999996</c:v>
                </c:pt>
                <c:pt idx="91">
                  <c:v>4.5621333333333327</c:v>
                </c:pt>
                <c:pt idx="92">
                  <c:v>4.6122666666666658</c:v>
                </c:pt>
                <c:pt idx="93">
                  <c:v>4.6623999999999999</c:v>
                </c:pt>
                <c:pt idx="94">
                  <c:v>4.712533333333333</c:v>
                </c:pt>
                <c:pt idx="95">
                  <c:v>4.7626666666666662</c:v>
                </c:pt>
                <c:pt idx="96">
                  <c:v>4.8127999999999993</c:v>
                </c:pt>
                <c:pt idx="97">
                  <c:v>4.8629333333333324</c:v>
                </c:pt>
                <c:pt idx="98">
                  <c:v>4.9130666666666665</c:v>
                </c:pt>
                <c:pt idx="99">
                  <c:v>4.9631999999999996</c:v>
                </c:pt>
                <c:pt idx="100">
                  <c:v>5.0133333333333328</c:v>
                </c:pt>
                <c:pt idx="101">
                  <c:v>5.0634666666666659</c:v>
                </c:pt>
                <c:pt idx="102">
                  <c:v>5.1135999999999999</c:v>
                </c:pt>
                <c:pt idx="103">
                  <c:v>5.1637333333333331</c:v>
                </c:pt>
                <c:pt idx="104">
                  <c:v>5.2138666666666662</c:v>
                </c:pt>
                <c:pt idx="105">
                  <c:v>5.2639999999999993</c:v>
                </c:pt>
                <c:pt idx="106">
                  <c:v>5.3141333333333325</c:v>
                </c:pt>
                <c:pt idx="107">
                  <c:v>5.3642666666666665</c:v>
                </c:pt>
                <c:pt idx="108">
                  <c:v>5.4143999999999997</c:v>
                </c:pt>
                <c:pt idx="109">
                  <c:v>5.4645333333333328</c:v>
                </c:pt>
                <c:pt idx="110">
                  <c:v>5.5146666666666659</c:v>
                </c:pt>
                <c:pt idx="111">
                  <c:v>5.5647999999999991</c:v>
                </c:pt>
                <c:pt idx="112">
                  <c:v>5.6149333333333331</c:v>
                </c:pt>
                <c:pt idx="113">
                  <c:v>5.6650666666666663</c:v>
                </c:pt>
                <c:pt idx="114">
                  <c:v>5.7151999999999994</c:v>
                </c:pt>
                <c:pt idx="115">
                  <c:v>5.7653333333333325</c:v>
                </c:pt>
                <c:pt idx="116">
                  <c:v>5.8154666666666657</c:v>
                </c:pt>
                <c:pt idx="117">
                  <c:v>5.8655999999999997</c:v>
                </c:pt>
                <c:pt idx="118">
                  <c:v>5.9157333333333328</c:v>
                </c:pt>
                <c:pt idx="119">
                  <c:v>5.965866666666666</c:v>
                </c:pt>
                <c:pt idx="120">
                  <c:v>6.0159999999999991</c:v>
                </c:pt>
                <c:pt idx="121">
                  <c:v>6.0661333333333332</c:v>
                </c:pt>
                <c:pt idx="122">
                  <c:v>6.1162666666666663</c:v>
                </c:pt>
                <c:pt idx="123">
                  <c:v>6.1663999999999994</c:v>
                </c:pt>
                <c:pt idx="124">
                  <c:v>6.2165333333333326</c:v>
                </c:pt>
                <c:pt idx="125">
                  <c:v>6.2666666666666657</c:v>
                </c:pt>
                <c:pt idx="126">
                  <c:v>6.3167999999999997</c:v>
                </c:pt>
                <c:pt idx="127">
                  <c:v>6.3669333333333329</c:v>
                </c:pt>
                <c:pt idx="128">
                  <c:v>6.417066666666666</c:v>
                </c:pt>
                <c:pt idx="129">
                  <c:v>6.4671999999999992</c:v>
                </c:pt>
                <c:pt idx="130">
                  <c:v>6.5173333333333323</c:v>
                </c:pt>
                <c:pt idx="131">
                  <c:v>6.5674666666666663</c:v>
                </c:pt>
                <c:pt idx="132">
                  <c:v>6.6175999999999995</c:v>
                </c:pt>
                <c:pt idx="133">
                  <c:v>6.6677333333333326</c:v>
                </c:pt>
                <c:pt idx="134">
                  <c:v>6.7178666666666658</c:v>
                </c:pt>
                <c:pt idx="135">
                  <c:v>6.7679999999999989</c:v>
                </c:pt>
                <c:pt idx="136">
                  <c:v>6.8181333333333329</c:v>
                </c:pt>
                <c:pt idx="137">
                  <c:v>6.8682666666666661</c:v>
                </c:pt>
                <c:pt idx="138">
                  <c:v>6.9183999999999992</c:v>
                </c:pt>
                <c:pt idx="139">
                  <c:v>6.9685333333333324</c:v>
                </c:pt>
                <c:pt idx="140">
                  <c:v>7.0186666666666664</c:v>
                </c:pt>
                <c:pt idx="141">
                  <c:v>7.0687999999999995</c:v>
                </c:pt>
                <c:pt idx="142">
                  <c:v>7.1189333333333327</c:v>
                </c:pt>
                <c:pt idx="143">
                  <c:v>7.1690666666666658</c:v>
                </c:pt>
                <c:pt idx="144">
                  <c:v>7.219199999999999</c:v>
                </c:pt>
                <c:pt idx="145">
                  <c:v>7.269333333333333</c:v>
                </c:pt>
                <c:pt idx="146">
                  <c:v>7.3194666666666661</c:v>
                </c:pt>
                <c:pt idx="147">
                  <c:v>7.3695999999999993</c:v>
                </c:pt>
                <c:pt idx="148">
                  <c:v>7.4197333333333324</c:v>
                </c:pt>
                <c:pt idx="149">
                  <c:v>7.4698666666666655</c:v>
                </c:pt>
                <c:pt idx="150">
                  <c:v>7.52</c:v>
                </c:pt>
              </c:numCache>
            </c:numRef>
          </c:xVal>
          <c:yVal>
            <c:numRef>
              <c:f>Eff_vs_IOUT!$AP$7:$AP$157</c:f>
              <c:numCache>
                <c:formatCode>General</c:formatCode>
                <c:ptCount val="151"/>
                <c:pt idx="0">
                  <c:v>1.7532325224632921E-2</c:v>
                </c:pt>
                <c:pt idx="1">
                  <c:v>1.7577565544632925E-2</c:v>
                </c:pt>
                <c:pt idx="2">
                  <c:v>1.771328650463292E-2</c:v>
                </c:pt>
                <c:pt idx="3">
                  <c:v>1.7939488104632917E-2</c:v>
                </c:pt>
                <c:pt idx="4">
                  <c:v>1.8256170344632925E-2</c:v>
                </c:pt>
                <c:pt idx="5">
                  <c:v>1.8663333224632921E-2</c:v>
                </c:pt>
                <c:pt idx="6">
                  <c:v>1.9160976744632918E-2</c:v>
                </c:pt>
                <c:pt idx="7">
                  <c:v>1.9749100904632923E-2</c:v>
                </c:pt>
                <c:pt idx="8">
                  <c:v>2.0427705704632919E-2</c:v>
                </c:pt>
                <c:pt idx="9">
                  <c:v>2.119679114463292E-2</c:v>
                </c:pt>
                <c:pt idx="10">
                  <c:v>2.2056357224632919E-2</c:v>
                </c:pt>
                <c:pt idx="11">
                  <c:v>2.3006403944632922E-2</c:v>
                </c:pt>
                <c:pt idx="12">
                  <c:v>2.404693130463292E-2</c:v>
                </c:pt>
                <c:pt idx="13">
                  <c:v>2.5177939304632923E-2</c:v>
                </c:pt>
                <c:pt idx="14">
                  <c:v>2.6399427944632917E-2</c:v>
                </c:pt>
                <c:pt idx="15">
                  <c:v>2.7711397224632919E-2</c:v>
                </c:pt>
                <c:pt idx="16">
                  <c:v>2.9113847144632918E-2</c:v>
                </c:pt>
                <c:pt idx="17">
                  <c:v>3.0606777704632916E-2</c:v>
                </c:pt>
                <c:pt idx="18">
                  <c:v>3.2190188904632919E-2</c:v>
                </c:pt>
                <c:pt idx="19">
                  <c:v>3.3864080744632923E-2</c:v>
                </c:pt>
                <c:pt idx="20">
                  <c:v>3.5628453224632928E-2</c:v>
                </c:pt>
                <c:pt idx="21">
                  <c:v>3.7483306344632913E-2</c:v>
                </c:pt>
                <c:pt idx="22">
                  <c:v>3.9428640104632914E-2</c:v>
                </c:pt>
                <c:pt idx="23">
                  <c:v>4.1464454504632917E-2</c:v>
                </c:pt>
                <c:pt idx="24">
                  <c:v>4.3590749544632913E-2</c:v>
                </c:pt>
                <c:pt idx="25">
                  <c:v>4.5807525224632904E-2</c:v>
                </c:pt>
                <c:pt idx="26">
                  <c:v>4.8114781544632924E-2</c:v>
                </c:pt>
                <c:pt idx="27">
                  <c:v>5.0512518504632925E-2</c:v>
                </c:pt>
                <c:pt idx="28">
                  <c:v>5.3000736104632913E-2</c:v>
                </c:pt>
                <c:pt idx="29">
                  <c:v>5.5579434344632909E-2</c:v>
                </c:pt>
                <c:pt idx="30">
                  <c:v>5.82486132246329E-2</c:v>
                </c:pt>
                <c:pt idx="31">
                  <c:v>6.100827274463292E-2</c:v>
                </c:pt>
                <c:pt idx="32">
                  <c:v>6.3858412904632914E-2</c:v>
                </c:pt>
                <c:pt idx="33">
                  <c:v>6.6799033704632901E-2</c:v>
                </c:pt>
                <c:pt idx="34">
                  <c:v>6.9830135144632918E-2</c:v>
                </c:pt>
                <c:pt idx="35">
                  <c:v>7.2951717224632923E-2</c:v>
                </c:pt>
                <c:pt idx="36">
                  <c:v>7.6163779944632887E-2</c:v>
                </c:pt>
                <c:pt idx="37">
                  <c:v>7.9466323304632921E-2</c:v>
                </c:pt>
                <c:pt idx="38">
                  <c:v>8.2859347304632916E-2</c:v>
                </c:pt>
                <c:pt idx="39">
                  <c:v>8.6342851944632898E-2</c:v>
                </c:pt>
                <c:pt idx="40">
                  <c:v>8.9916837224632923E-2</c:v>
                </c:pt>
                <c:pt idx="41">
                  <c:v>9.3581303144632894E-2</c:v>
                </c:pt>
                <c:pt idx="42">
                  <c:v>9.7336249704632907E-2</c:v>
                </c:pt>
                <c:pt idx="43">
                  <c:v>0.10118167690463294</c:v>
                </c:pt>
                <c:pt idx="44">
                  <c:v>0.10511758474463292</c:v>
                </c:pt>
                <c:pt idx="45">
                  <c:v>0.1091439732246329</c:v>
                </c:pt>
                <c:pt idx="46">
                  <c:v>0.11326084234463285</c:v>
                </c:pt>
                <c:pt idx="47">
                  <c:v>0.11746819210463291</c:v>
                </c:pt>
                <c:pt idx="48">
                  <c:v>0.12176602250463292</c:v>
                </c:pt>
                <c:pt idx="49">
                  <c:v>0.12615433354463293</c:v>
                </c:pt>
                <c:pt idx="50">
                  <c:v>0.13063312522463286</c:v>
                </c:pt>
                <c:pt idx="51">
                  <c:v>0.1352023975446329</c:v>
                </c:pt>
                <c:pt idx="52">
                  <c:v>0.13986215050463291</c:v>
                </c:pt>
                <c:pt idx="53">
                  <c:v>0.1446123841046329</c:v>
                </c:pt>
                <c:pt idx="54">
                  <c:v>0.14945309834463291</c:v>
                </c:pt>
                <c:pt idx="55">
                  <c:v>0.15438429322463285</c:v>
                </c:pt>
                <c:pt idx="56">
                  <c:v>0.15940596874463289</c:v>
                </c:pt>
                <c:pt idx="57">
                  <c:v>0.16451812490463286</c:v>
                </c:pt>
                <c:pt idx="58">
                  <c:v>0.16972076170463291</c:v>
                </c:pt>
                <c:pt idx="59">
                  <c:v>0.1750138791446329</c:v>
                </c:pt>
                <c:pt idx="60">
                  <c:v>0.18039747722463281</c:v>
                </c:pt>
                <c:pt idx="61">
                  <c:v>0.18587155594463292</c:v>
                </c:pt>
                <c:pt idx="62">
                  <c:v>0.19143611530463289</c:v>
                </c:pt>
                <c:pt idx="63">
                  <c:v>0.19709115530463292</c:v>
                </c:pt>
                <c:pt idx="64">
                  <c:v>0.20283667594463287</c:v>
                </c:pt>
                <c:pt idx="65">
                  <c:v>0.20867267722463287</c:v>
                </c:pt>
                <c:pt idx="66">
                  <c:v>0.2145991591446329</c:v>
                </c:pt>
                <c:pt idx="67">
                  <c:v>0.22061612170463291</c:v>
                </c:pt>
                <c:pt idx="68">
                  <c:v>0.22672356490463294</c:v>
                </c:pt>
                <c:pt idx="69">
                  <c:v>0.23292148874463284</c:v>
                </c:pt>
                <c:pt idx="70">
                  <c:v>0.23920989322463293</c:v>
                </c:pt>
                <c:pt idx="71">
                  <c:v>0.24558877834463291</c:v>
                </c:pt>
                <c:pt idx="72">
                  <c:v>0.25205814410463284</c:v>
                </c:pt>
                <c:pt idx="73">
                  <c:v>0.25861799050463286</c:v>
                </c:pt>
                <c:pt idx="74">
                  <c:v>0.26526831754463287</c:v>
                </c:pt>
                <c:pt idx="75">
                  <c:v>0.27200912522463289</c:v>
                </c:pt>
                <c:pt idx="76">
                  <c:v>0.2788404135446329</c:v>
                </c:pt>
                <c:pt idx="77">
                  <c:v>0.28576218250463287</c:v>
                </c:pt>
                <c:pt idx="78">
                  <c:v>0.29277443210463283</c:v>
                </c:pt>
                <c:pt idx="79">
                  <c:v>0.29987716234463296</c:v>
                </c:pt>
                <c:pt idx="80">
                  <c:v>0.30707037322463293</c:v>
                </c:pt>
                <c:pt idx="81">
                  <c:v>0.31435406474463279</c:v>
                </c:pt>
                <c:pt idx="82">
                  <c:v>0.32172823690463281</c:v>
                </c:pt>
                <c:pt idx="83">
                  <c:v>0.32919288970463301</c:v>
                </c:pt>
                <c:pt idx="84">
                  <c:v>0.33674802314463287</c:v>
                </c:pt>
                <c:pt idx="85">
                  <c:v>0.34439363722463295</c:v>
                </c:pt>
                <c:pt idx="86">
                  <c:v>0.35212973194463293</c:v>
                </c:pt>
                <c:pt idx="87">
                  <c:v>0.35995630730463279</c:v>
                </c:pt>
                <c:pt idx="88">
                  <c:v>0.36787336330463288</c:v>
                </c:pt>
                <c:pt idx="89">
                  <c:v>0.37588089994463292</c:v>
                </c:pt>
                <c:pt idx="90">
                  <c:v>0.3839789172246329</c:v>
                </c:pt>
                <c:pt idx="91">
                  <c:v>0.39216741514463282</c:v>
                </c:pt>
                <c:pt idx="92">
                  <c:v>0.40044639370463275</c:v>
                </c:pt>
                <c:pt idx="93">
                  <c:v>0.4088158529046329</c:v>
                </c:pt>
                <c:pt idx="94">
                  <c:v>0.41727579274463278</c:v>
                </c:pt>
                <c:pt idx="95">
                  <c:v>0.42582621322463304</c:v>
                </c:pt>
                <c:pt idx="96">
                  <c:v>0.43446711434463281</c:v>
                </c:pt>
                <c:pt idx="97">
                  <c:v>0.44319849610463286</c:v>
                </c:pt>
                <c:pt idx="98">
                  <c:v>0.45202035850463296</c:v>
                </c:pt>
                <c:pt idx="99">
                  <c:v>0.46093270154463278</c:v>
                </c:pt>
                <c:pt idx="100">
                  <c:v>0.46993552522463278</c:v>
                </c:pt>
                <c:pt idx="101">
                  <c:v>0.47902882954463272</c:v>
                </c:pt>
                <c:pt idx="102">
                  <c:v>0.48821261450463277</c:v>
                </c:pt>
                <c:pt idx="103">
                  <c:v>0.49748688010463277</c:v>
                </c:pt>
                <c:pt idx="104">
                  <c:v>0.50685162634463299</c:v>
                </c:pt>
                <c:pt idx="105">
                  <c:v>0.51630685322463277</c:v>
                </c:pt>
                <c:pt idx="106">
                  <c:v>0.5258525607446326</c:v>
                </c:pt>
                <c:pt idx="107">
                  <c:v>0.53548874890463316</c:v>
                </c:pt>
                <c:pt idx="108">
                  <c:v>0.545215417704633</c:v>
                </c:pt>
                <c:pt idx="109">
                  <c:v>0.55503256714463289</c:v>
                </c:pt>
                <c:pt idx="110">
                  <c:v>0.56494019722463273</c:v>
                </c:pt>
                <c:pt idx="111">
                  <c:v>0.57493830794463263</c:v>
                </c:pt>
                <c:pt idx="112">
                  <c:v>0.58502689930463292</c:v>
                </c:pt>
                <c:pt idx="113">
                  <c:v>0.59520597130463293</c:v>
                </c:pt>
                <c:pt idx="114">
                  <c:v>0.60547552394463278</c:v>
                </c:pt>
                <c:pt idx="115">
                  <c:v>0.6158355572246329</c:v>
                </c:pt>
                <c:pt idx="116">
                  <c:v>0.62628607114463264</c:v>
                </c:pt>
                <c:pt idx="117">
                  <c:v>0.63682706570463266</c:v>
                </c:pt>
                <c:pt idx="118">
                  <c:v>0.64745854090463295</c:v>
                </c:pt>
                <c:pt idx="119">
                  <c:v>0.65818049674463286</c:v>
                </c:pt>
                <c:pt idx="120">
                  <c:v>0.6689929332246326</c:v>
                </c:pt>
                <c:pt idx="121">
                  <c:v>0.67989585034463307</c:v>
                </c:pt>
                <c:pt idx="122">
                  <c:v>0.69088924810463304</c:v>
                </c:pt>
                <c:pt idx="123">
                  <c:v>0.70197312650463284</c:v>
                </c:pt>
                <c:pt idx="124">
                  <c:v>0.71314748554463281</c:v>
                </c:pt>
                <c:pt idx="125">
                  <c:v>0.72441232522463272</c:v>
                </c:pt>
                <c:pt idx="126">
                  <c:v>0.7357676455446327</c:v>
                </c:pt>
                <c:pt idx="127">
                  <c:v>0.74721344650463306</c:v>
                </c:pt>
                <c:pt idx="128">
                  <c:v>0.7587497281046327</c:v>
                </c:pt>
                <c:pt idx="129">
                  <c:v>0.77037649034463263</c:v>
                </c:pt>
                <c:pt idx="130">
                  <c:v>0.78209373322463294</c:v>
                </c:pt>
                <c:pt idx="131">
                  <c:v>0.79390145674463308</c:v>
                </c:pt>
                <c:pt idx="132">
                  <c:v>0.80579966090463273</c:v>
                </c:pt>
                <c:pt idx="133">
                  <c:v>0.81778834570463288</c:v>
                </c:pt>
                <c:pt idx="134">
                  <c:v>0.82986751114463253</c:v>
                </c:pt>
                <c:pt idx="135">
                  <c:v>0.84203715722463268</c:v>
                </c:pt>
                <c:pt idx="136">
                  <c:v>0.854297283944633</c:v>
                </c:pt>
                <c:pt idx="137">
                  <c:v>0.86664789130463271</c:v>
                </c:pt>
                <c:pt idx="138">
                  <c:v>0.87908897930463237</c:v>
                </c:pt>
                <c:pt idx="139">
                  <c:v>0.89162054794463297</c:v>
                </c:pt>
                <c:pt idx="140">
                  <c:v>0.90424259722463296</c:v>
                </c:pt>
                <c:pt idx="141">
                  <c:v>0.9169551271446329</c:v>
                </c:pt>
                <c:pt idx="142">
                  <c:v>0.92975813770463278</c:v>
                </c:pt>
                <c:pt idx="143">
                  <c:v>0.94265162890463272</c:v>
                </c:pt>
                <c:pt idx="144">
                  <c:v>0.95563560074463261</c:v>
                </c:pt>
                <c:pt idx="145">
                  <c:v>0.96871005322463299</c:v>
                </c:pt>
                <c:pt idx="146">
                  <c:v>0.98187498634463266</c:v>
                </c:pt>
                <c:pt idx="147">
                  <c:v>0.99513040010463238</c:v>
                </c:pt>
                <c:pt idx="148">
                  <c:v>1.0084762945046328</c:v>
                </c:pt>
                <c:pt idx="149">
                  <c:v>1.0219126695446328</c:v>
                </c:pt>
                <c:pt idx="150">
                  <c:v>1.0354395252246327</c:v>
                </c:pt>
              </c:numCache>
            </c:numRef>
          </c:yVal>
          <c:smooth val="1"/>
          <c:extLst>
            <c:ext xmlns:c16="http://schemas.microsoft.com/office/drawing/2014/chart" uri="{C3380CC4-5D6E-409C-BE32-E72D297353CC}">
              <c16:uniqueId val="{00000003-199A-4277-BC05-4E64B1A6016C}"/>
            </c:ext>
          </c:extLst>
        </c:ser>
        <c:dLbls>
          <c:showLegendKey val="0"/>
          <c:showVal val="0"/>
          <c:showCatName val="0"/>
          <c:showSerName val="0"/>
          <c:showPercent val="0"/>
          <c:showBubbleSize val="0"/>
        </c:dLbls>
        <c:axId val="361467264"/>
        <c:axId val="361465344"/>
      </c:scatterChart>
      <c:valAx>
        <c:axId val="361445248"/>
        <c:scaling>
          <c:orientation val="minMax"/>
        </c:scaling>
        <c:delete val="0"/>
        <c:axPos val="b"/>
        <c:majorGridlines/>
        <c:numFmt formatCode="General" sourceLinked="1"/>
        <c:majorTickMark val="out"/>
        <c:minorTickMark val="none"/>
        <c:tickLblPos val="nextTo"/>
        <c:crossAx val="361446784"/>
        <c:crosses val="autoZero"/>
        <c:crossBetween val="midCat"/>
      </c:valAx>
      <c:valAx>
        <c:axId val="361446784"/>
        <c:scaling>
          <c:orientation val="minMax"/>
          <c:max val="100"/>
          <c:min val="60"/>
        </c:scaling>
        <c:delete val="0"/>
        <c:axPos val="l"/>
        <c:majorGridlines/>
        <c:title>
          <c:tx>
            <c:rich>
              <a:bodyPr rot="-5400000" vert="horz"/>
              <a:lstStyle/>
              <a:p>
                <a:pPr>
                  <a:defRPr sz="1400"/>
                </a:pPr>
                <a:r>
                  <a:rPr lang="en-US" sz="1400"/>
                  <a:t>Efficiency</a:t>
                </a:r>
                <a:r>
                  <a:rPr lang="en-US" sz="1400" baseline="0"/>
                  <a:t> (%)</a:t>
                </a:r>
                <a:endParaRPr lang="en-US" sz="1400"/>
              </a:p>
            </c:rich>
          </c:tx>
          <c:overlay val="0"/>
        </c:title>
        <c:numFmt formatCode="General" sourceLinked="1"/>
        <c:majorTickMark val="out"/>
        <c:minorTickMark val="none"/>
        <c:tickLblPos val="nextTo"/>
        <c:crossAx val="361445248"/>
        <c:crosses val="autoZero"/>
        <c:crossBetween val="midCat"/>
      </c:valAx>
      <c:valAx>
        <c:axId val="361465344"/>
        <c:scaling>
          <c:orientation val="minMax"/>
        </c:scaling>
        <c:delete val="0"/>
        <c:axPos val="r"/>
        <c:title>
          <c:tx>
            <c:rich>
              <a:bodyPr rot="-5400000" vert="horz"/>
              <a:lstStyle/>
              <a:p>
                <a:pPr>
                  <a:defRPr sz="1400"/>
                </a:pPr>
                <a:r>
                  <a:rPr lang="en-US" sz="1400"/>
                  <a:t>Losses</a:t>
                </a:r>
                <a:r>
                  <a:rPr lang="en-US" sz="1400" baseline="0"/>
                  <a:t> (W)</a:t>
                </a:r>
                <a:endParaRPr lang="en-US" sz="1400"/>
              </a:p>
            </c:rich>
          </c:tx>
          <c:overlay val="0"/>
        </c:title>
        <c:numFmt formatCode="General" sourceLinked="1"/>
        <c:majorTickMark val="out"/>
        <c:minorTickMark val="none"/>
        <c:tickLblPos val="nextTo"/>
        <c:crossAx val="361467264"/>
        <c:crosses val="max"/>
        <c:crossBetween val="midCat"/>
      </c:valAx>
      <c:valAx>
        <c:axId val="361467264"/>
        <c:scaling>
          <c:orientation val="minMax"/>
        </c:scaling>
        <c:delete val="1"/>
        <c:axPos val="b"/>
        <c:title>
          <c:tx>
            <c:rich>
              <a:bodyPr/>
              <a:lstStyle/>
              <a:p>
                <a:pPr>
                  <a:defRPr/>
                </a:pPr>
                <a:r>
                  <a:rPr lang="en-US"/>
                  <a:t>Load</a:t>
                </a:r>
                <a:r>
                  <a:rPr lang="en-US" baseline="0"/>
                  <a:t> Current (A)</a:t>
                </a:r>
                <a:endParaRPr lang="en-US"/>
              </a:p>
            </c:rich>
          </c:tx>
          <c:overlay val="0"/>
        </c:title>
        <c:numFmt formatCode="General" sourceLinked="1"/>
        <c:majorTickMark val="out"/>
        <c:minorTickMark val="none"/>
        <c:tickLblPos val="nextTo"/>
        <c:crossAx val="361465344"/>
        <c:crosses val="autoZero"/>
        <c:crossBetween val="midCat"/>
      </c:valAx>
    </c:plotArea>
    <c:legend>
      <c:legendPos val="r"/>
      <c:layout>
        <c:manualLayout>
          <c:xMode val="edge"/>
          <c:yMode val="edge"/>
          <c:x val="0.51894403926190358"/>
          <c:y val="6.4862204724409449E-3"/>
          <c:w val="0.39609572935704079"/>
          <c:h val="0.12183653099700564"/>
        </c:manualLayout>
      </c:layout>
      <c:overlay val="1"/>
    </c:legend>
    <c:plotVisOnly val="1"/>
    <c:dispBlanksAs val="gap"/>
    <c:showDLblsOverMax val="0"/>
  </c:chart>
  <c:spPr>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Efficiency</a:t>
            </a:r>
          </a:p>
        </c:rich>
      </c:tx>
      <c:overlay val="0"/>
    </c:title>
    <c:autoTitleDeleted val="0"/>
    <c:plotArea>
      <c:layout/>
      <c:scatterChart>
        <c:scatterStyle val="smoothMarker"/>
        <c:varyColors val="0"/>
        <c:ser>
          <c:idx val="0"/>
          <c:order val="0"/>
          <c:tx>
            <c:v>Eff</c:v>
          </c:tx>
          <c:marker>
            <c:symbol val="none"/>
          </c:marker>
          <c:xVal>
            <c:numRef>
              <c:f>[1]Eff_vs_IOUT!$S$7:$S$157</c:f>
              <c:numCache>
                <c:formatCode>General</c:formatCode>
                <c:ptCount val="151"/>
                <c:pt idx="0">
                  <c:v>0</c:v>
                </c:pt>
                <c:pt idx="1">
                  <c:v>9.3333333333333338E-2</c:v>
                </c:pt>
                <c:pt idx="2">
                  <c:v>0.18666666666666668</c:v>
                </c:pt>
                <c:pt idx="3">
                  <c:v>0.28000000000000003</c:v>
                </c:pt>
                <c:pt idx="4">
                  <c:v>0.37333333333333335</c:v>
                </c:pt>
                <c:pt idx="5">
                  <c:v>0.46666666666666667</c:v>
                </c:pt>
                <c:pt idx="6">
                  <c:v>0.56000000000000005</c:v>
                </c:pt>
                <c:pt idx="7">
                  <c:v>0.65333333333333332</c:v>
                </c:pt>
                <c:pt idx="8">
                  <c:v>0.7466666666666667</c:v>
                </c:pt>
                <c:pt idx="9">
                  <c:v>0.84000000000000008</c:v>
                </c:pt>
                <c:pt idx="10">
                  <c:v>0.93333333333333335</c:v>
                </c:pt>
                <c:pt idx="11">
                  <c:v>1.0266666666666666</c:v>
                </c:pt>
                <c:pt idx="12">
                  <c:v>1.1200000000000001</c:v>
                </c:pt>
                <c:pt idx="13">
                  <c:v>1.2133333333333334</c:v>
                </c:pt>
                <c:pt idx="14">
                  <c:v>1.3066666666666666</c:v>
                </c:pt>
                <c:pt idx="15">
                  <c:v>1.4000000000000001</c:v>
                </c:pt>
                <c:pt idx="16">
                  <c:v>1.4933333333333334</c:v>
                </c:pt>
                <c:pt idx="17">
                  <c:v>1.5866666666666667</c:v>
                </c:pt>
                <c:pt idx="18">
                  <c:v>1.6800000000000002</c:v>
                </c:pt>
                <c:pt idx="19">
                  <c:v>1.7733333333333334</c:v>
                </c:pt>
                <c:pt idx="20">
                  <c:v>1.8666666666666667</c:v>
                </c:pt>
                <c:pt idx="21">
                  <c:v>1.9600000000000002</c:v>
                </c:pt>
                <c:pt idx="22">
                  <c:v>2.0533333333333332</c:v>
                </c:pt>
                <c:pt idx="23">
                  <c:v>2.1466666666666669</c:v>
                </c:pt>
                <c:pt idx="24">
                  <c:v>2.2400000000000002</c:v>
                </c:pt>
                <c:pt idx="25">
                  <c:v>2.3333333333333335</c:v>
                </c:pt>
                <c:pt idx="26">
                  <c:v>2.4266666666666667</c:v>
                </c:pt>
                <c:pt idx="27">
                  <c:v>2.52</c:v>
                </c:pt>
                <c:pt idx="28">
                  <c:v>2.6133333333333333</c:v>
                </c:pt>
                <c:pt idx="29">
                  <c:v>2.706666666666667</c:v>
                </c:pt>
                <c:pt idx="30">
                  <c:v>2.8000000000000003</c:v>
                </c:pt>
                <c:pt idx="31">
                  <c:v>2.8933333333333335</c:v>
                </c:pt>
                <c:pt idx="32">
                  <c:v>2.9866666666666668</c:v>
                </c:pt>
                <c:pt idx="33">
                  <c:v>3.08</c:v>
                </c:pt>
                <c:pt idx="34">
                  <c:v>3.1733333333333333</c:v>
                </c:pt>
                <c:pt idx="35">
                  <c:v>3.2666666666666666</c:v>
                </c:pt>
                <c:pt idx="36">
                  <c:v>3.3600000000000003</c:v>
                </c:pt>
                <c:pt idx="37">
                  <c:v>3.4533333333333336</c:v>
                </c:pt>
                <c:pt idx="38">
                  <c:v>3.5466666666666669</c:v>
                </c:pt>
                <c:pt idx="39">
                  <c:v>3.64</c:v>
                </c:pt>
                <c:pt idx="40">
                  <c:v>3.7333333333333334</c:v>
                </c:pt>
                <c:pt idx="41">
                  <c:v>3.8266666666666667</c:v>
                </c:pt>
                <c:pt idx="42">
                  <c:v>3.9200000000000004</c:v>
                </c:pt>
                <c:pt idx="43">
                  <c:v>4.0133333333333336</c:v>
                </c:pt>
                <c:pt idx="44">
                  <c:v>4.1066666666666665</c:v>
                </c:pt>
                <c:pt idx="45">
                  <c:v>4.2</c:v>
                </c:pt>
                <c:pt idx="46">
                  <c:v>4.2933333333333339</c:v>
                </c:pt>
                <c:pt idx="47">
                  <c:v>4.3866666666666667</c:v>
                </c:pt>
                <c:pt idx="48">
                  <c:v>4.4800000000000004</c:v>
                </c:pt>
                <c:pt idx="49">
                  <c:v>4.5733333333333333</c:v>
                </c:pt>
                <c:pt idx="50">
                  <c:v>4.666666666666667</c:v>
                </c:pt>
                <c:pt idx="51">
                  <c:v>4.76</c:v>
                </c:pt>
                <c:pt idx="52">
                  <c:v>4.8533333333333335</c:v>
                </c:pt>
                <c:pt idx="53">
                  <c:v>4.9466666666666672</c:v>
                </c:pt>
                <c:pt idx="54">
                  <c:v>5.04</c:v>
                </c:pt>
                <c:pt idx="55">
                  <c:v>5.1333333333333337</c:v>
                </c:pt>
                <c:pt idx="56">
                  <c:v>5.2266666666666666</c:v>
                </c:pt>
                <c:pt idx="57">
                  <c:v>5.32</c:v>
                </c:pt>
                <c:pt idx="58">
                  <c:v>5.413333333333334</c:v>
                </c:pt>
                <c:pt idx="59">
                  <c:v>5.5066666666666668</c:v>
                </c:pt>
                <c:pt idx="60">
                  <c:v>5.6000000000000005</c:v>
                </c:pt>
                <c:pt idx="61">
                  <c:v>5.6933333333333334</c:v>
                </c:pt>
                <c:pt idx="62">
                  <c:v>5.7866666666666671</c:v>
                </c:pt>
                <c:pt idx="63">
                  <c:v>5.88</c:v>
                </c:pt>
                <c:pt idx="64">
                  <c:v>5.9733333333333336</c:v>
                </c:pt>
                <c:pt idx="65">
                  <c:v>6.0666666666666673</c:v>
                </c:pt>
                <c:pt idx="66">
                  <c:v>6.16</c:v>
                </c:pt>
                <c:pt idx="67">
                  <c:v>6.2533333333333339</c:v>
                </c:pt>
                <c:pt idx="68">
                  <c:v>6.3466666666666667</c:v>
                </c:pt>
                <c:pt idx="69">
                  <c:v>6.44</c:v>
                </c:pt>
                <c:pt idx="70">
                  <c:v>6.5333333333333332</c:v>
                </c:pt>
                <c:pt idx="71">
                  <c:v>6.6266666666666669</c:v>
                </c:pt>
                <c:pt idx="72">
                  <c:v>6.7200000000000006</c:v>
                </c:pt>
                <c:pt idx="73">
                  <c:v>6.8133333333333335</c:v>
                </c:pt>
                <c:pt idx="74">
                  <c:v>6.9066666666666672</c:v>
                </c:pt>
                <c:pt idx="75">
                  <c:v>7</c:v>
                </c:pt>
                <c:pt idx="76">
                  <c:v>7.0933333333333337</c:v>
                </c:pt>
                <c:pt idx="77">
                  <c:v>7.1866666666666674</c:v>
                </c:pt>
                <c:pt idx="78">
                  <c:v>7.28</c:v>
                </c:pt>
                <c:pt idx="79">
                  <c:v>7.373333333333334</c:v>
                </c:pt>
                <c:pt idx="80">
                  <c:v>7.4666666666666668</c:v>
                </c:pt>
                <c:pt idx="81">
                  <c:v>7.5600000000000005</c:v>
                </c:pt>
                <c:pt idx="82">
                  <c:v>7.6533333333333333</c:v>
                </c:pt>
                <c:pt idx="83">
                  <c:v>7.746666666666667</c:v>
                </c:pt>
                <c:pt idx="84">
                  <c:v>7.8400000000000007</c:v>
                </c:pt>
                <c:pt idx="85">
                  <c:v>7.9333333333333336</c:v>
                </c:pt>
                <c:pt idx="86">
                  <c:v>8.0266666666666673</c:v>
                </c:pt>
                <c:pt idx="87">
                  <c:v>8.120000000000001</c:v>
                </c:pt>
                <c:pt idx="88">
                  <c:v>8.2133333333333329</c:v>
                </c:pt>
                <c:pt idx="89">
                  <c:v>8.3066666666666666</c:v>
                </c:pt>
                <c:pt idx="90">
                  <c:v>8.4</c:v>
                </c:pt>
                <c:pt idx="91">
                  <c:v>8.4933333333333341</c:v>
                </c:pt>
                <c:pt idx="92">
                  <c:v>8.5866666666666678</c:v>
                </c:pt>
                <c:pt idx="93">
                  <c:v>8.68</c:v>
                </c:pt>
                <c:pt idx="94">
                  <c:v>8.7733333333333334</c:v>
                </c:pt>
                <c:pt idx="95">
                  <c:v>8.8666666666666671</c:v>
                </c:pt>
                <c:pt idx="96">
                  <c:v>8.9600000000000009</c:v>
                </c:pt>
                <c:pt idx="97">
                  <c:v>9.0533333333333346</c:v>
                </c:pt>
                <c:pt idx="98">
                  <c:v>9.1466666666666665</c:v>
                </c:pt>
                <c:pt idx="99">
                  <c:v>9.24</c:v>
                </c:pt>
                <c:pt idx="100">
                  <c:v>9.3333333333333339</c:v>
                </c:pt>
                <c:pt idx="101">
                  <c:v>9.4266666666666676</c:v>
                </c:pt>
                <c:pt idx="102">
                  <c:v>9.52</c:v>
                </c:pt>
                <c:pt idx="103">
                  <c:v>9.6133333333333333</c:v>
                </c:pt>
                <c:pt idx="104">
                  <c:v>9.706666666666667</c:v>
                </c:pt>
                <c:pt idx="105">
                  <c:v>9.8000000000000007</c:v>
                </c:pt>
                <c:pt idx="106">
                  <c:v>9.8933333333333344</c:v>
                </c:pt>
                <c:pt idx="107">
                  <c:v>9.9866666666666664</c:v>
                </c:pt>
                <c:pt idx="108">
                  <c:v>10.08</c:v>
                </c:pt>
                <c:pt idx="109">
                  <c:v>10.173333333333334</c:v>
                </c:pt>
                <c:pt idx="110">
                  <c:v>10.266666666666667</c:v>
                </c:pt>
                <c:pt idx="111">
                  <c:v>10.360000000000001</c:v>
                </c:pt>
                <c:pt idx="112">
                  <c:v>10.453333333333333</c:v>
                </c:pt>
                <c:pt idx="113">
                  <c:v>10.546666666666667</c:v>
                </c:pt>
                <c:pt idx="114">
                  <c:v>10.64</c:v>
                </c:pt>
                <c:pt idx="115">
                  <c:v>10.733333333333334</c:v>
                </c:pt>
                <c:pt idx="116">
                  <c:v>10.826666666666668</c:v>
                </c:pt>
                <c:pt idx="117">
                  <c:v>10.92</c:v>
                </c:pt>
                <c:pt idx="118">
                  <c:v>11.013333333333334</c:v>
                </c:pt>
                <c:pt idx="119">
                  <c:v>11.106666666666667</c:v>
                </c:pt>
                <c:pt idx="120">
                  <c:v>11.200000000000001</c:v>
                </c:pt>
                <c:pt idx="121">
                  <c:v>11.293333333333333</c:v>
                </c:pt>
                <c:pt idx="122">
                  <c:v>11.386666666666667</c:v>
                </c:pt>
                <c:pt idx="123">
                  <c:v>11.48</c:v>
                </c:pt>
                <c:pt idx="124">
                  <c:v>11.573333333333334</c:v>
                </c:pt>
                <c:pt idx="125">
                  <c:v>11.666666666666668</c:v>
                </c:pt>
                <c:pt idx="126">
                  <c:v>11.76</c:v>
                </c:pt>
                <c:pt idx="127">
                  <c:v>11.853333333333333</c:v>
                </c:pt>
                <c:pt idx="128">
                  <c:v>11.946666666666667</c:v>
                </c:pt>
                <c:pt idx="129">
                  <c:v>12.040000000000001</c:v>
                </c:pt>
                <c:pt idx="130">
                  <c:v>12.133333333333335</c:v>
                </c:pt>
                <c:pt idx="131">
                  <c:v>12.226666666666667</c:v>
                </c:pt>
                <c:pt idx="132">
                  <c:v>12.32</c:v>
                </c:pt>
                <c:pt idx="133">
                  <c:v>12.413333333333334</c:v>
                </c:pt>
                <c:pt idx="134">
                  <c:v>12.506666666666668</c:v>
                </c:pt>
                <c:pt idx="135">
                  <c:v>12.600000000000001</c:v>
                </c:pt>
                <c:pt idx="136">
                  <c:v>12.693333333333333</c:v>
                </c:pt>
                <c:pt idx="137">
                  <c:v>12.786666666666667</c:v>
                </c:pt>
                <c:pt idx="138">
                  <c:v>12.88</c:v>
                </c:pt>
                <c:pt idx="139">
                  <c:v>12.973333333333334</c:v>
                </c:pt>
                <c:pt idx="140">
                  <c:v>13.066666666666666</c:v>
                </c:pt>
                <c:pt idx="141">
                  <c:v>13.16</c:v>
                </c:pt>
                <c:pt idx="142">
                  <c:v>13.253333333333334</c:v>
                </c:pt>
                <c:pt idx="143">
                  <c:v>13.346666666666668</c:v>
                </c:pt>
                <c:pt idx="144">
                  <c:v>13.440000000000001</c:v>
                </c:pt>
                <c:pt idx="145">
                  <c:v>13.533333333333333</c:v>
                </c:pt>
                <c:pt idx="146">
                  <c:v>13.626666666666667</c:v>
                </c:pt>
                <c:pt idx="147">
                  <c:v>13.72</c:v>
                </c:pt>
                <c:pt idx="148">
                  <c:v>13.813333333333334</c:v>
                </c:pt>
                <c:pt idx="149">
                  <c:v>13.906666666666668</c:v>
                </c:pt>
                <c:pt idx="150">
                  <c:v>14</c:v>
                </c:pt>
              </c:numCache>
            </c:numRef>
          </c:xVal>
          <c:yVal>
            <c:numRef>
              <c:f>[1]Eff_vs_IOUT!$AW$7:$AW$157</c:f>
              <c:numCache>
                <c:formatCode>General</c:formatCode>
                <c:ptCount val="151"/>
                <c:pt idx="0">
                  <c:v>0</c:v>
                </c:pt>
                <c:pt idx="1">
                  <c:v>72.074743546197936</c:v>
                </c:pt>
                <c:pt idx="2">
                  <c:v>83.278946320422875</c:v>
                </c:pt>
                <c:pt idx="3">
                  <c:v>87.823398093854962</c:v>
                </c:pt>
                <c:pt idx="4">
                  <c:v>90.281532425115813</c:v>
                </c:pt>
                <c:pt idx="5">
                  <c:v>91.819206893500748</c:v>
                </c:pt>
                <c:pt idx="6">
                  <c:v>92.870019459561121</c:v>
                </c:pt>
                <c:pt idx="7">
                  <c:v>93.632190379295068</c:v>
                </c:pt>
                <c:pt idx="8">
                  <c:v>94.209194553124718</c:v>
                </c:pt>
                <c:pt idx="9">
                  <c:v>94.660327183697774</c:v>
                </c:pt>
                <c:pt idx="10">
                  <c:v>95.022008446023904</c:v>
                </c:pt>
                <c:pt idx="11">
                  <c:v>95.317844151427352</c:v>
                </c:pt>
                <c:pt idx="12">
                  <c:v>95.563805969178546</c:v>
                </c:pt>
                <c:pt idx="13">
                  <c:v>95.771086688792309</c:v>
                </c:pt>
                <c:pt idx="14">
                  <c:v>95.947763185503092</c:v>
                </c:pt>
                <c:pt idx="15">
                  <c:v>96.099810151145334</c:v>
                </c:pt>
                <c:pt idx="16">
                  <c:v>96.231742235239238</c:v>
                </c:pt>
                <c:pt idx="17">
                  <c:v>96.347034357137446</c:v>
                </c:pt>
                <c:pt idx="18">
                  <c:v>96.448404725179344</c:v>
                </c:pt>
                <c:pt idx="19">
                  <c:v>96.538010182006872</c:v>
                </c:pt>
                <c:pt idx="20">
                  <c:v>96.617584006656713</c:v>
                </c:pt>
                <c:pt idx="21">
                  <c:v>96.688535023683485</c:v>
                </c:pt>
                <c:pt idx="22">
                  <c:v>96.752020127868875</c:v>
                </c:pt>
                <c:pt idx="23">
                  <c:v>96.808998187822311</c:v>
                </c:pt>
                <c:pt idx="24">
                  <c:v>96.860270677489993</c:v>
                </c:pt>
                <c:pt idx="25">
                  <c:v>96.906512697769813</c:v>
                </c:pt>
                <c:pt idx="26">
                  <c:v>96.948296939349646</c:v>
                </c:pt>
                <c:pt idx="27">
                  <c:v>96.986112392178498</c:v>
                </c:pt>
                <c:pt idx="28">
                  <c:v>97.020379097850068</c:v>
                </c:pt>
                <c:pt idx="29">
                  <c:v>97.051459888071491</c:v>
                </c:pt>
                <c:pt idx="30">
                  <c:v>97.079669803929562</c:v>
                </c:pt>
                <c:pt idx="31">
                  <c:v>97.10528371349254</c:v>
                </c:pt>
                <c:pt idx="32">
                  <c:v>97.1285425173742</c:v>
                </c:pt>
                <c:pt idx="33">
                  <c:v>97.149658238475084</c:v>
                </c:pt>
                <c:pt idx="34">
                  <c:v>97.168818223165886</c:v>
                </c:pt>
                <c:pt idx="35">
                  <c:v>97.18618862977246</c:v>
                </c:pt>
                <c:pt idx="36">
                  <c:v>97.201917341538817</c:v>
                </c:pt>
                <c:pt idx="37">
                  <c:v>97.216136411876164</c:v>
                </c:pt>
                <c:pt idx="38">
                  <c:v>97.228964127228892</c:v>
                </c:pt>
                <c:pt idx="39">
                  <c:v>97.240506755547358</c:v>
                </c:pt>
                <c:pt idx="40">
                  <c:v>97.250860034884298</c:v>
                </c:pt>
                <c:pt idx="41">
                  <c:v>97.260110446088532</c:v>
                </c:pt>
                <c:pt idx="42">
                  <c:v>97.268336305266828</c:v>
                </c:pt>
                <c:pt idx="43">
                  <c:v>97.275608705104659</c:v>
                </c:pt>
                <c:pt idx="44">
                  <c:v>97.281992328891221</c:v>
                </c:pt>
                <c:pt idx="45">
                  <c:v>97.287546156889562</c:v>
                </c:pt>
                <c:pt idx="46">
                  <c:v>97.29232408130369</c:v>
                </c:pt>
                <c:pt idx="47">
                  <c:v>97.296375443350129</c:v>
                </c:pt>
                <c:pt idx="48">
                  <c:v>97.299745503707015</c:v>
                </c:pt>
                <c:pt idx="49">
                  <c:v>97.302475855787279</c:v>
                </c:pt>
                <c:pt idx="50">
                  <c:v>97.304604789781806</c:v>
                </c:pt>
                <c:pt idx="51">
                  <c:v>97.306167614181433</c:v>
                </c:pt>
                <c:pt idx="52">
                  <c:v>97.30719694046121</c:v>
                </c:pt>
                <c:pt idx="53">
                  <c:v>97.307722935758818</c:v>
                </c:pt>
                <c:pt idx="54">
                  <c:v>97.307773547667992</c:v>
                </c:pt>
                <c:pt idx="55">
                  <c:v>97.307374704672227</c:v>
                </c:pt>
                <c:pt idx="56">
                  <c:v>97.306550495243812</c:v>
                </c:pt>
                <c:pt idx="57">
                  <c:v>97.305323328211514</c:v>
                </c:pt>
                <c:pt idx="58">
                  <c:v>97.303714076643189</c:v>
                </c:pt>
                <c:pt idx="59">
                  <c:v>97.301742207187147</c:v>
                </c:pt>
                <c:pt idx="60">
                  <c:v>97.299425896558276</c:v>
                </c:pt>
                <c:pt idx="61">
                  <c:v>97.296782136635429</c:v>
                </c:pt>
                <c:pt idx="62">
                  <c:v>97.293826829448079</c:v>
                </c:pt>
                <c:pt idx="63">
                  <c:v>97.290574873169362</c:v>
                </c:pt>
                <c:pt idx="64">
                  <c:v>97.287040240093262</c:v>
                </c:pt>
                <c:pt idx="65">
                  <c:v>97.283236047454679</c:v>
                </c:pt>
                <c:pt idx="66">
                  <c:v>97.279174621846934</c:v>
                </c:pt>
                <c:pt idx="67">
                  <c:v>97.274867557902127</c:v>
                </c:pt>
                <c:pt idx="68">
                  <c:v>97.270325771821732</c:v>
                </c:pt>
                <c:pt idx="69">
                  <c:v>97.265559550277132</c:v>
                </c:pt>
                <c:pt idx="70">
                  <c:v>97.260578595140458</c:v>
                </c:pt>
                <c:pt idx="71">
                  <c:v>97.255392064455208</c:v>
                </c:pt>
                <c:pt idx="72">
                  <c:v>97.250008610009715</c:v>
                </c:pt>
                <c:pt idx="73">
                  <c:v>97.244436411838009</c:v>
                </c:pt>
                <c:pt idx="74">
                  <c:v>97.238683209937207</c:v>
                </c:pt>
                <c:pt idx="75">
                  <c:v>97.232756333459918</c:v>
                </c:pt>
                <c:pt idx="76">
                  <c:v>97.226662727613117</c:v>
                </c:pt>
                <c:pt idx="77">
                  <c:v>97.220408978470843</c:v>
                </c:pt>
                <c:pt idx="78">
                  <c:v>97.214001335887403</c:v>
                </c:pt>
                <c:pt idx="79">
                  <c:v>97.20744573467833</c:v>
                </c:pt>
                <c:pt idx="80">
                  <c:v>97.200747814220009</c:v>
                </c:pt>
                <c:pt idx="81">
                  <c:v>97.19391293660415</c:v>
                </c:pt>
                <c:pt idx="82">
                  <c:v>97.186946203469688</c:v>
                </c:pt>
                <c:pt idx="83">
                  <c:v>97.179852471623491</c:v>
                </c:pt>
                <c:pt idx="84">
                  <c:v>97.172636367549998</c:v>
                </c:pt>
                <c:pt idx="85">
                  <c:v>97.165302300901175</c:v>
                </c:pt>
                <c:pt idx="86">
                  <c:v>97.157854477049284</c:v>
                </c:pt>
                <c:pt idx="87">
                  <c:v>97.150296908777591</c:v>
                </c:pt>
                <c:pt idx="88">
                  <c:v>97.142633427177358</c:v>
                </c:pt>
                <c:pt idx="89">
                  <c:v>97.13486769181317</c:v>
                </c:pt>
                <c:pt idx="90">
                  <c:v>97.127003200213366</c:v>
                </c:pt>
                <c:pt idx="91">
                  <c:v>97.119043296737274</c:v>
                </c:pt>
                <c:pt idx="92">
                  <c:v>97.110991180866407</c:v>
                </c:pt>
                <c:pt idx="93">
                  <c:v>97.102849914962846</c:v>
                </c:pt>
                <c:pt idx="94">
                  <c:v>97.094622431534489</c:v>
                </c:pt>
                <c:pt idx="95">
                  <c:v>97.086311540042971</c:v>
                </c:pt>
                <c:pt idx="96">
                  <c:v>97.07791993328793</c:v>
                </c:pt>
                <c:pt idx="97">
                  <c:v>97.069450193397714</c:v>
                </c:pt>
                <c:pt idx="98">
                  <c:v>97.060904797454839</c:v>
                </c:pt>
                <c:pt idx="99">
                  <c:v>97.052286122781609</c:v>
                </c:pt>
                <c:pt idx="100">
                  <c:v>97.043596451909877</c:v>
                </c:pt>
                <c:pt idx="101">
                  <c:v>97.034837977256586</c:v>
                </c:pt>
                <c:pt idx="102">
                  <c:v>97.02601280552534</c:v>
                </c:pt>
                <c:pt idx="103">
                  <c:v>97.01712296185238</c:v>
                </c:pt>
                <c:pt idx="104">
                  <c:v>97.008170393714295</c:v>
                </c:pt>
                <c:pt idx="105">
                  <c:v>96.999156974613214</c:v>
                </c:pt>
                <c:pt idx="106">
                  <c:v>96.990084507554101</c:v>
                </c:pt>
                <c:pt idx="107">
                  <c:v>96.980954728327688</c:v>
                </c:pt>
                <c:pt idx="108">
                  <c:v>96.971769308611755</c:v>
                </c:pt>
                <c:pt idx="109">
                  <c:v>96.962529858902172</c:v>
                </c:pt>
                <c:pt idx="110">
                  <c:v>96.953237931284619</c:v>
                </c:pt>
                <c:pt idx="111">
                  <c:v>96.943895022057049</c:v>
                </c:pt>
                <c:pt idx="112">
                  <c:v>96.934502574212033</c:v>
                </c:pt>
                <c:pt idx="113">
                  <c:v>96.925061979787714</c:v>
                </c:pt>
                <c:pt idx="114">
                  <c:v>96.91557458209563</c:v>
                </c:pt>
                <c:pt idx="115">
                  <c:v>96.90604167783232</c:v>
                </c:pt>
                <c:pt idx="116">
                  <c:v>96.896464519082414</c:v>
                </c:pt>
                <c:pt idx="117">
                  <c:v>96.886844315219065</c:v>
                </c:pt>
                <c:pt idx="118">
                  <c:v>96.877182234708187</c:v>
                </c:pt>
                <c:pt idx="119">
                  <c:v>96.867479406821971</c:v>
                </c:pt>
                <c:pt idx="120">
                  <c:v>96.857736923266984</c:v>
                </c:pt>
                <c:pt idx="121">
                  <c:v>96.847955839731725</c:v>
                </c:pt>
                <c:pt idx="122">
                  <c:v>96.838137177358405</c:v>
                </c:pt>
                <c:pt idx="123">
                  <c:v>96.828281924143127</c:v>
                </c:pt>
                <c:pt idx="124">
                  <c:v>96.818391036268366</c:v>
                </c:pt>
                <c:pt idx="125">
                  <c:v>96.808465439371929</c:v>
                </c:pt>
                <c:pt idx="126">
                  <c:v>96.798506029755458</c:v>
                </c:pt>
                <c:pt idx="127">
                  <c:v>96.78851367553608</c:v>
                </c:pt>
                <c:pt idx="128">
                  <c:v>96.778489217744266</c:v>
                </c:pt>
                <c:pt idx="129">
                  <c:v>96.768433471370713</c:v>
                </c:pt>
                <c:pt idx="130">
                  <c:v>96.758347226365046</c:v>
                </c:pt>
                <c:pt idx="131">
                  <c:v>96.748231248588937</c:v>
                </c:pt>
                <c:pt idx="132">
                  <c:v>96.738086280726023</c:v>
                </c:pt>
                <c:pt idx="133">
                  <c:v>96.727913043150849</c:v>
                </c:pt>
                <c:pt idx="134">
                  <c:v>96.717712234759063</c:v>
                </c:pt>
                <c:pt idx="135">
                  <c:v>96.707484533760763</c:v>
                </c:pt>
                <c:pt idx="136">
                  <c:v>96.697230598438992</c:v>
                </c:pt>
                <c:pt idx="137">
                  <c:v>96.686951067875043</c:v>
                </c:pt>
                <c:pt idx="138">
                  <c:v>96.676646562642304</c:v>
                </c:pt>
                <c:pt idx="139">
                  <c:v>96.666317685470432</c:v>
                </c:pt>
                <c:pt idx="140">
                  <c:v>96.655965021880732</c:v>
                </c:pt>
                <c:pt idx="141">
                  <c:v>96.645589140794996</c:v>
                </c:pt>
                <c:pt idx="142">
                  <c:v>96.635190595118459</c:v>
                </c:pt>
                <c:pt idx="143">
                  <c:v>96.624769922298384</c:v>
                </c:pt>
                <c:pt idx="144">
                  <c:v>96.614327644859429</c:v>
                </c:pt>
                <c:pt idx="145">
                  <c:v>96.603864270916958</c:v>
                </c:pt>
                <c:pt idx="146">
                  <c:v>96.593380294669288</c:v>
                </c:pt>
                <c:pt idx="147">
                  <c:v>96.582876196869904</c:v>
                </c:pt>
                <c:pt idx="148">
                  <c:v>96.572352445280515</c:v>
                </c:pt>
                <c:pt idx="149">
                  <c:v>96.561809495106033</c:v>
                </c:pt>
                <c:pt idx="150">
                  <c:v>96.551247789412059</c:v>
                </c:pt>
              </c:numCache>
            </c:numRef>
          </c:yVal>
          <c:smooth val="0"/>
          <c:extLst>
            <c:ext xmlns:c16="http://schemas.microsoft.com/office/drawing/2014/chart" uri="{C3380CC4-5D6E-409C-BE32-E72D297353CC}">
              <c16:uniqueId val="{00000000-A990-4ED0-A166-4B5A02BBF415}"/>
            </c:ext>
          </c:extLst>
        </c:ser>
        <c:dLbls>
          <c:showLegendKey val="0"/>
          <c:showVal val="0"/>
          <c:showCatName val="0"/>
          <c:showSerName val="0"/>
          <c:showPercent val="0"/>
          <c:showBubbleSize val="0"/>
        </c:dLbls>
        <c:axId val="224130176"/>
        <c:axId val="224131712"/>
      </c:scatterChart>
      <c:scatterChart>
        <c:scatterStyle val="smoothMarker"/>
        <c:varyColors val="0"/>
        <c:ser>
          <c:idx val="1"/>
          <c:order val="1"/>
          <c:tx>
            <c:v>MOSFET</c:v>
          </c:tx>
          <c:marker>
            <c:symbol val="none"/>
          </c:marker>
          <c:xVal>
            <c:numRef>
              <c:f>[1]Eff_vs_IOUT!$S$7:$S$157</c:f>
              <c:numCache>
                <c:formatCode>General</c:formatCode>
                <c:ptCount val="151"/>
                <c:pt idx="0">
                  <c:v>0</c:v>
                </c:pt>
                <c:pt idx="1">
                  <c:v>9.3333333333333338E-2</c:v>
                </c:pt>
                <c:pt idx="2">
                  <c:v>0.18666666666666668</c:v>
                </c:pt>
                <c:pt idx="3">
                  <c:v>0.28000000000000003</c:v>
                </c:pt>
                <c:pt idx="4">
                  <c:v>0.37333333333333335</c:v>
                </c:pt>
                <c:pt idx="5">
                  <c:v>0.46666666666666667</c:v>
                </c:pt>
                <c:pt idx="6">
                  <c:v>0.56000000000000005</c:v>
                </c:pt>
                <c:pt idx="7">
                  <c:v>0.65333333333333332</c:v>
                </c:pt>
                <c:pt idx="8">
                  <c:v>0.7466666666666667</c:v>
                </c:pt>
                <c:pt idx="9">
                  <c:v>0.84000000000000008</c:v>
                </c:pt>
                <c:pt idx="10">
                  <c:v>0.93333333333333335</c:v>
                </c:pt>
                <c:pt idx="11">
                  <c:v>1.0266666666666666</c:v>
                </c:pt>
                <c:pt idx="12">
                  <c:v>1.1200000000000001</c:v>
                </c:pt>
                <c:pt idx="13">
                  <c:v>1.2133333333333334</c:v>
                </c:pt>
                <c:pt idx="14">
                  <c:v>1.3066666666666666</c:v>
                </c:pt>
                <c:pt idx="15">
                  <c:v>1.4000000000000001</c:v>
                </c:pt>
                <c:pt idx="16">
                  <c:v>1.4933333333333334</c:v>
                </c:pt>
                <c:pt idx="17">
                  <c:v>1.5866666666666667</c:v>
                </c:pt>
                <c:pt idx="18">
                  <c:v>1.6800000000000002</c:v>
                </c:pt>
                <c:pt idx="19">
                  <c:v>1.7733333333333334</c:v>
                </c:pt>
                <c:pt idx="20">
                  <c:v>1.8666666666666667</c:v>
                </c:pt>
                <c:pt idx="21">
                  <c:v>1.9600000000000002</c:v>
                </c:pt>
                <c:pt idx="22">
                  <c:v>2.0533333333333332</c:v>
                </c:pt>
                <c:pt idx="23">
                  <c:v>2.1466666666666669</c:v>
                </c:pt>
                <c:pt idx="24">
                  <c:v>2.2400000000000002</c:v>
                </c:pt>
                <c:pt idx="25">
                  <c:v>2.3333333333333335</c:v>
                </c:pt>
                <c:pt idx="26">
                  <c:v>2.4266666666666667</c:v>
                </c:pt>
                <c:pt idx="27">
                  <c:v>2.52</c:v>
                </c:pt>
                <c:pt idx="28">
                  <c:v>2.6133333333333333</c:v>
                </c:pt>
                <c:pt idx="29">
                  <c:v>2.706666666666667</c:v>
                </c:pt>
                <c:pt idx="30">
                  <c:v>2.8000000000000003</c:v>
                </c:pt>
                <c:pt idx="31">
                  <c:v>2.8933333333333335</c:v>
                </c:pt>
                <c:pt idx="32">
                  <c:v>2.9866666666666668</c:v>
                </c:pt>
                <c:pt idx="33">
                  <c:v>3.08</c:v>
                </c:pt>
                <c:pt idx="34">
                  <c:v>3.1733333333333333</c:v>
                </c:pt>
                <c:pt idx="35">
                  <c:v>3.2666666666666666</c:v>
                </c:pt>
                <c:pt idx="36">
                  <c:v>3.3600000000000003</c:v>
                </c:pt>
                <c:pt idx="37">
                  <c:v>3.4533333333333336</c:v>
                </c:pt>
                <c:pt idx="38">
                  <c:v>3.5466666666666669</c:v>
                </c:pt>
                <c:pt idx="39">
                  <c:v>3.64</c:v>
                </c:pt>
                <c:pt idx="40">
                  <c:v>3.7333333333333334</c:v>
                </c:pt>
                <c:pt idx="41">
                  <c:v>3.8266666666666667</c:v>
                </c:pt>
                <c:pt idx="42">
                  <c:v>3.9200000000000004</c:v>
                </c:pt>
                <c:pt idx="43">
                  <c:v>4.0133333333333336</c:v>
                </c:pt>
                <c:pt idx="44">
                  <c:v>4.1066666666666665</c:v>
                </c:pt>
                <c:pt idx="45">
                  <c:v>4.2</c:v>
                </c:pt>
                <c:pt idx="46">
                  <c:v>4.2933333333333339</c:v>
                </c:pt>
                <c:pt idx="47">
                  <c:v>4.3866666666666667</c:v>
                </c:pt>
                <c:pt idx="48">
                  <c:v>4.4800000000000004</c:v>
                </c:pt>
                <c:pt idx="49">
                  <c:v>4.5733333333333333</c:v>
                </c:pt>
                <c:pt idx="50">
                  <c:v>4.666666666666667</c:v>
                </c:pt>
                <c:pt idx="51">
                  <c:v>4.76</c:v>
                </c:pt>
                <c:pt idx="52">
                  <c:v>4.8533333333333335</c:v>
                </c:pt>
                <c:pt idx="53">
                  <c:v>4.9466666666666672</c:v>
                </c:pt>
                <c:pt idx="54">
                  <c:v>5.04</c:v>
                </c:pt>
                <c:pt idx="55">
                  <c:v>5.1333333333333337</c:v>
                </c:pt>
                <c:pt idx="56">
                  <c:v>5.2266666666666666</c:v>
                </c:pt>
                <c:pt idx="57">
                  <c:v>5.32</c:v>
                </c:pt>
                <c:pt idx="58">
                  <c:v>5.413333333333334</c:v>
                </c:pt>
                <c:pt idx="59">
                  <c:v>5.5066666666666668</c:v>
                </c:pt>
                <c:pt idx="60">
                  <c:v>5.6000000000000005</c:v>
                </c:pt>
                <c:pt idx="61">
                  <c:v>5.6933333333333334</c:v>
                </c:pt>
                <c:pt idx="62">
                  <c:v>5.7866666666666671</c:v>
                </c:pt>
                <c:pt idx="63">
                  <c:v>5.88</c:v>
                </c:pt>
                <c:pt idx="64">
                  <c:v>5.9733333333333336</c:v>
                </c:pt>
                <c:pt idx="65">
                  <c:v>6.0666666666666673</c:v>
                </c:pt>
                <c:pt idx="66">
                  <c:v>6.16</c:v>
                </c:pt>
                <c:pt idx="67">
                  <c:v>6.2533333333333339</c:v>
                </c:pt>
                <c:pt idx="68">
                  <c:v>6.3466666666666667</c:v>
                </c:pt>
                <c:pt idx="69">
                  <c:v>6.44</c:v>
                </c:pt>
                <c:pt idx="70">
                  <c:v>6.5333333333333332</c:v>
                </c:pt>
                <c:pt idx="71">
                  <c:v>6.6266666666666669</c:v>
                </c:pt>
                <c:pt idx="72">
                  <c:v>6.7200000000000006</c:v>
                </c:pt>
                <c:pt idx="73">
                  <c:v>6.8133333333333335</c:v>
                </c:pt>
                <c:pt idx="74">
                  <c:v>6.9066666666666672</c:v>
                </c:pt>
                <c:pt idx="75">
                  <c:v>7</c:v>
                </c:pt>
                <c:pt idx="76">
                  <c:v>7.0933333333333337</c:v>
                </c:pt>
                <c:pt idx="77">
                  <c:v>7.1866666666666674</c:v>
                </c:pt>
                <c:pt idx="78">
                  <c:v>7.28</c:v>
                </c:pt>
                <c:pt idx="79">
                  <c:v>7.373333333333334</c:v>
                </c:pt>
                <c:pt idx="80">
                  <c:v>7.4666666666666668</c:v>
                </c:pt>
                <c:pt idx="81">
                  <c:v>7.5600000000000005</c:v>
                </c:pt>
                <c:pt idx="82">
                  <c:v>7.6533333333333333</c:v>
                </c:pt>
                <c:pt idx="83">
                  <c:v>7.746666666666667</c:v>
                </c:pt>
                <c:pt idx="84">
                  <c:v>7.8400000000000007</c:v>
                </c:pt>
                <c:pt idx="85">
                  <c:v>7.9333333333333336</c:v>
                </c:pt>
                <c:pt idx="86">
                  <c:v>8.0266666666666673</c:v>
                </c:pt>
                <c:pt idx="87">
                  <c:v>8.120000000000001</c:v>
                </c:pt>
                <c:pt idx="88">
                  <c:v>8.2133333333333329</c:v>
                </c:pt>
                <c:pt idx="89">
                  <c:v>8.3066666666666666</c:v>
                </c:pt>
                <c:pt idx="90">
                  <c:v>8.4</c:v>
                </c:pt>
                <c:pt idx="91">
                  <c:v>8.4933333333333341</c:v>
                </c:pt>
                <c:pt idx="92">
                  <c:v>8.5866666666666678</c:v>
                </c:pt>
                <c:pt idx="93">
                  <c:v>8.68</c:v>
                </c:pt>
                <c:pt idx="94">
                  <c:v>8.7733333333333334</c:v>
                </c:pt>
                <c:pt idx="95">
                  <c:v>8.8666666666666671</c:v>
                </c:pt>
                <c:pt idx="96">
                  <c:v>8.9600000000000009</c:v>
                </c:pt>
                <c:pt idx="97">
                  <c:v>9.0533333333333346</c:v>
                </c:pt>
                <c:pt idx="98">
                  <c:v>9.1466666666666665</c:v>
                </c:pt>
                <c:pt idx="99">
                  <c:v>9.24</c:v>
                </c:pt>
                <c:pt idx="100">
                  <c:v>9.3333333333333339</c:v>
                </c:pt>
                <c:pt idx="101">
                  <c:v>9.4266666666666676</c:v>
                </c:pt>
                <c:pt idx="102">
                  <c:v>9.52</c:v>
                </c:pt>
                <c:pt idx="103">
                  <c:v>9.6133333333333333</c:v>
                </c:pt>
                <c:pt idx="104">
                  <c:v>9.706666666666667</c:v>
                </c:pt>
                <c:pt idx="105">
                  <c:v>9.8000000000000007</c:v>
                </c:pt>
                <c:pt idx="106">
                  <c:v>9.8933333333333344</c:v>
                </c:pt>
                <c:pt idx="107">
                  <c:v>9.9866666666666664</c:v>
                </c:pt>
                <c:pt idx="108">
                  <c:v>10.08</c:v>
                </c:pt>
                <c:pt idx="109">
                  <c:v>10.173333333333334</c:v>
                </c:pt>
                <c:pt idx="110">
                  <c:v>10.266666666666667</c:v>
                </c:pt>
                <c:pt idx="111">
                  <c:v>10.360000000000001</c:v>
                </c:pt>
                <c:pt idx="112">
                  <c:v>10.453333333333333</c:v>
                </c:pt>
                <c:pt idx="113">
                  <c:v>10.546666666666667</c:v>
                </c:pt>
                <c:pt idx="114">
                  <c:v>10.64</c:v>
                </c:pt>
                <c:pt idx="115">
                  <c:v>10.733333333333334</c:v>
                </c:pt>
                <c:pt idx="116">
                  <c:v>10.826666666666668</c:v>
                </c:pt>
                <c:pt idx="117">
                  <c:v>10.92</c:v>
                </c:pt>
                <c:pt idx="118">
                  <c:v>11.013333333333334</c:v>
                </c:pt>
                <c:pt idx="119">
                  <c:v>11.106666666666667</c:v>
                </c:pt>
                <c:pt idx="120">
                  <c:v>11.200000000000001</c:v>
                </c:pt>
                <c:pt idx="121">
                  <c:v>11.293333333333333</c:v>
                </c:pt>
                <c:pt idx="122">
                  <c:v>11.386666666666667</c:v>
                </c:pt>
                <c:pt idx="123">
                  <c:v>11.48</c:v>
                </c:pt>
                <c:pt idx="124">
                  <c:v>11.573333333333334</c:v>
                </c:pt>
                <c:pt idx="125">
                  <c:v>11.666666666666668</c:v>
                </c:pt>
                <c:pt idx="126">
                  <c:v>11.76</c:v>
                </c:pt>
                <c:pt idx="127">
                  <c:v>11.853333333333333</c:v>
                </c:pt>
                <c:pt idx="128">
                  <c:v>11.946666666666667</c:v>
                </c:pt>
                <c:pt idx="129">
                  <c:v>12.040000000000001</c:v>
                </c:pt>
                <c:pt idx="130">
                  <c:v>12.133333333333335</c:v>
                </c:pt>
                <c:pt idx="131">
                  <c:v>12.226666666666667</c:v>
                </c:pt>
                <c:pt idx="132">
                  <c:v>12.32</c:v>
                </c:pt>
                <c:pt idx="133">
                  <c:v>12.413333333333334</c:v>
                </c:pt>
                <c:pt idx="134">
                  <c:v>12.506666666666668</c:v>
                </c:pt>
                <c:pt idx="135">
                  <c:v>12.600000000000001</c:v>
                </c:pt>
                <c:pt idx="136">
                  <c:v>12.693333333333333</c:v>
                </c:pt>
                <c:pt idx="137">
                  <c:v>12.786666666666667</c:v>
                </c:pt>
                <c:pt idx="138">
                  <c:v>12.88</c:v>
                </c:pt>
                <c:pt idx="139">
                  <c:v>12.973333333333334</c:v>
                </c:pt>
                <c:pt idx="140">
                  <c:v>13.066666666666666</c:v>
                </c:pt>
                <c:pt idx="141">
                  <c:v>13.16</c:v>
                </c:pt>
                <c:pt idx="142">
                  <c:v>13.253333333333334</c:v>
                </c:pt>
                <c:pt idx="143">
                  <c:v>13.346666666666668</c:v>
                </c:pt>
                <c:pt idx="144">
                  <c:v>13.440000000000001</c:v>
                </c:pt>
                <c:pt idx="145">
                  <c:v>13.533333333333333</c:v>
                </c:pt>
                <c:pt idx="146">
                  <c:v>13.626666666666667</c:v>
                </c:pt>
                <c:pt idx="147">
                  <c:v>13.72</c:v>
                </c:pt>
                <c:pt idx="148">
                  <c:v>13.813333333333334</c:v>
                </c:pt>
                <c:pt idx="149">
                  <c:v>13.906666666666668</c:v>
                </c:pt>
                <c:pt idx="150">
                  <c:v>14</c:v>
                </c:pt>
              </c:numCache>
            </c:numRef>
          </c:xVal>
          <c:yVal>
            <c:numRef>
              <c:f>[1]Eff_vs_IOUT!$AI$7:$AI$157</c:f>
              <c:numCache>
                <c:formatCode>General</c:formatCode>
                <c:ptCount val="151"/>
                <c:pt idx="0">
                  <c:v>1.13161834494674E-3</c:v>
                </c:pt>
                <c:pt idx="1">
                  <c:v>5.3029569450771509E-2</c:v>
                </c:pt>
                <c:pt idx="2">
                  <c:v>0.10503205388992962</c:v>
                </c:pt>
                <c:pt idx="3">
                  <c:v>0.15713907166242103</c:v>
                </c:pt>
                <c:pt idx="4">
                  <c:v>0.20935062276824581</c:v>
                </c:pt>
                <c:pt idx="5">
                  <c:v>0.26166670720740393</c:v>
                </c:pt>
                <c:pt idx="6">
                  <c:v>0.31408732497989528</c:v>
                </c:pt>
                <c:pt idx="7">
                  <c:v>0.36661247608572006</c:v>
                </c:pt>
                <c:pt idx="8">
                  <c:v>0.41924216052487823</c:v>
                </c:pt>
                <c:pt idx="9">
                  <c:v>0.4719763782973696</c:v>
                </c:pt>
                <c:pt idx="10">
                  <c:v>0.52481512940319441</c:v>
                </c:pt>
                <c:pt idx="11">
                  <c:v>0.57775841384235238</c:v>
                </c:pt>
                <c:pt idx="12">
                  <c:v>0.63080623161484384</c:v>
                </c:pt>
                <c:pt idx="13">
                  <c:v>0.68395858272066867</c:v>
                </c:pt>
                <c:pt idx="14">
                  <c:v>0.73721546715982667</c:v>
                </c:pt>
                <c:pt idx="15">
                  <c:v>0.79057688493231826</c:v>
                </c:pt>
                <c:pt idx="16">
                  <c:v>0.84404283603814301</c:v>
                </c:pt>
                <c:pt idx="17">
                  <c:v>0.89761332047730091</c:v>
                </c:pt>
                <c:pt idx="18">
                  <c:v>0.95128833824979242</c:v>
                </c:pt>
                <c:pt idx="19">
                  <c:v>1.0050678893556171</c:v>
                </c:pt>
                <c:pt idx="20">
                  <c:v>1.0589519737947755</c:v>
                </c:pt>
                <c:pt idx="21">
                  <c:v>1.112940591567267</c:v>
                </c:pt>
                <c:pt idx="22">
                  <c:v>1.1670337426730912</c:v>
                </c:pt>
                <c:pt idx="23">
                  <c:v>1.2212314271122497</c:v>
                </c:pt>
                <c:pt idx="24">
                  <c:v>1.275533644884741</c:v>
                </c:pt>
                <c:pt idx="25">
                  <c:v>1.3299403959905658</c:v>
                </c:pt>
                <c:pt idx="26">
                  <c:v>1.384451680429724</c:v>
                </c:pt>
                <c:pt idx="27">
                  <c:v>1.4390674982022156</c:v>
                </c:pt>
                <c:pt idx="28">
                  <c:v>1.4937878493080401</c:v>
                </c:pt>
                <c:pt idx="29">
                  <c:v>1.5486127337471982</c:v>
                </c:pt>
                <c:pt idx="30">
                  <c:v>1.6035421515196897</c:v>
                </c:pt>
                <c:pt idx="31">
                  <c:v>1.6585761026255148</c:v>
                </c:pt>
                <c:pt idx="32">
                  <c:v>1.7137145870646726</c:v>
                </c:pt>
                <c:pt idx="33">
                  <c:v>1.768957604837164</c:v>
                </c:pt>
                <c:pt idx="34">
                  <c:v>1.8243051559429886</c:v>
                </c:pt>
                <c:pt idx="35">
                  <c:v>1.8797572403821465</c:v>
                </c:pt>
                <c:pt idx="36">
                  <c:v>1.9353138581546381</c:v>
                </c:pt>
                <c:pt idx="37">
                  <c:v>1.9909750092604632</c:v>
                </c:pt>
                <c:pt idx="38">
                  <c:v>2.0467406936996211</c:v>
                </c:pt>
                <c:pt idx="39">
                  <c:v>2.1026109114721123</c:v>
                </c:pt>
                <c:pt idx="40">
                  <c:v>2.1585856625779374</c:v>
                </c:pt>
                <c:pt idx="41">
                  <c:v>2.2146649470170954</c:v>
                </c:pt>
                <c:pt idx="42">
                  <c:v>2.2708487647895872</c:v>
                </c:pt>
                <c:pt idx="43">
                  <c:v>2.3271371158954119</c:v>
                </c:pt>
                <c:pt idx="44">
                  <c:v>2.3835300003345692</c:v>
                </c:pt>
                <c:pt idx="45">
                  <c:v>2.4400274181070611</c:v>
                </c:pt>
                <c:pt idx="46">
                  <c:v>2.496629369212886</c:v>
                </c:pt>
                <c:pt idx="47">
                  <c:v>2.5533358536520439</c:v>
                </c:pt>
                <c:pt idx="48">
                  <c:v>2.6101468714245351</c:v>
                </c:pt>
                <c:pt idx="49">
                  <c:v>2.6670624225303601</c:v>
                </c:pt>
                <c:pt idx="50">
                  <c:v>2.724082506969518</c:v>
                </c:pt>
                <c:pt idx="51">
                  <c:v>2.7812071247420094</c:v>
                </c:pt>
                <c:pt idx="52">
                  <c:v>2.8384362758478345</c:v>
                </c:pt>
                <c:pt idx="53">
                  <c:v>2.8957699602869931</c:v>
                </c:pt>
                <c:pt idx="54">
                  <c:v>2.9532081780594845</c:v>
                </c:pt>
                <c:pt idx="55">
                  <c:v>3.0107509291653094</c:v>
                </c:pt>
                <c:pt idx="56">
                  <c:v>3.0683982136044667</c:v>
                </c:pt>
                <c:pt idx="57">
                  <c:v>3.1261500313769579</c:v>
                </c:pt>
                <c:pt idx="58">
                  <c:v>3.1840063824827829</c:v>
                </c:pt>
                <c:pt idx="59">
                  <c:v>3.2419672669219408</c:v>
                </c:pt>
                <c:pt idx="60">
                  <c:v>3.3000326846944326</c:v>
                </c:pt>
                <c:pt idx="61">
                  <c:v>3.3582026358002577</c:v>
                </c:pt>
                <c:pt idx="62">
                  <c:v>3.4164771202394162</c:v>
                </c:pt>
                <c:pt idx="63">
                  <c:v>3.4748561380119067</c:v>
                </c:pt>
                <c:pt idx="64">
                  <c:v>3.533339689117732</c:v>
                </c:pt>
                <c:pt idx="65">
                  <c:v>3.5919277735568906</c:v>
                </c:pt>
                <c:pt idx="66">
                  <c:v>3.6506203913293813</c:v>
                </c:pt>
                <c:pt idx="67">
                  <c:v>3.7094175424352063</c:v>
                </c:pt>
                <c:pt idx="68">
                  <c:v>3.7683192268743637</c:v>
                </c:pt>
                <c:pt idx="69">
                  <c:v>3.8273254446468554</c:v>
                </c:pt>
                <c:pt idx="70">
                  <c:v>3.8864361957526796</c:v>
                </c:pt>
                <c:pt idx="71">
                  <c:v>3.9456514801918376</c:v>
                </c:pt>
                <c:pt idx="72">
                  <c:v>4.0049712979643299</c:v>
                </c:pt>
                <c:pt idx="73">
                  <c:v>4.0643956490701543</c:v>
                </c:pt>
                <c:pt idx="74">
                  <c:v>4.1239245335093129</c:v>
                </c:pt>
                <c:pt idx="75">
                  <c:v>4.183557951281804</c:v>
                </c:pt>
                <c:pt idx="76">
                  <c:v>4.2432959023876284</c:v>
                </c:pt>
                <c:pt idx="77">
                  <c:v>4.3031383868267872</c:v>
                </c:pt>
                <c:pt idx="78">
                  <c:v>4.3630854045992784</c:v>
                </c:pt>
                <c:pt idx="79">
                  <c:v>4.4231369557051039</c:v>
                </c:pt>
                <c:pt idx="80">
                  <c:v>4.4832930401442619</c:v>
                </c:pt>
                <c:pt idx="81">
                  <c:v>4.5435536579167533</c:v>
                </c:pt>
                <c:pt idx="82">
                  <c:v>4.6039188090225771</c:v>
                </c:pt>
                <c:pt idx="83">
                  <c:v>4.6643884934617352</c:v>
                </c:pt>
                <c:pt idx="84">
                  <c:v>4.7249627112342276</c:v>
                </c:pt>
                <c:pt idx="85">
                  <c:v>4.7856414623400516</c:v>
                </c:pt>
                <c:pt idx="86">
                  <c:v>4.8464247467792099</c:v>
                </c:pt>
                <c:pt idx="87">
                  <c:v>4.9073125645517015</c:v>
                </c:pt>
                <c:pt idx="88">
                  <c:v>4.9683049156575247</c:v>
                </c:pt>
                <c:pt idx="89">
                  <c:v>5.0294018000966831</c:v>
                </c:pt>
                <c:pt idx="90">
                  <c:v>5.0906032178691749</c:v>
                </c:pt>
                <c:pt idx="91">
                  <c:v>5.151909168975001</c:v>
                </c:pt>
                <c:pt idx="92">
                  <c:v>5.2133196534141586</c:v>
                </c:pt>
                <c:pt idx="93">
                  <c:v>5.2748346711866496</c:v>
                </c:pt>
                <c:pt idx="94">
                  <c:v>5.336454222292474</c:v>
                </c:pt>
                <c:pt idx="95">
                  <c:v>5.3981783067316327</c:v>
                </c:pt>
                <c:pt idx="96">
                  <c:v>5.4600069245041238</c:v>
                </c:pt>
                <c:pt idx="97">
                  <c:v>5.5219400756099501</c:v>
                </c:pt>
                <c:pt idx="98">
                  <c:v>5.5839777600491072</c:v>
                </c:pt>
                <c:pt idx="99">
                  <c:v>5.6461199778215985</c:v>
                </c:pt>
                <c:pt idx="100">
                  <c:v>5.7083667289274231</c:v>
                </c:pt>
                <c:pt idx="101">
                  <c:v>5.7707180133665812</c:v>
                </c:pt>
                <c:pt idx="102">
                  <c:v>5.8331738311390726</c:v>
                </c:pt>
                <c:pt idx="103">
                  <c:v>5.8957341822448974</c:v>
                </c:pt>
                <c:pt idx="104">
                  <c:v>5.9583990666840556</c:v>
                </c:pt>
                <c:pt idx="105">
                  <c:v>6.0211684844565481</c:v>
                </c:pt>
                <c:pt idx="106">
                  <c:v>6.084042435562373</c:v>
                </c:pt>
                <c:pt idx="107">
                  <c:v>6.1470209200015296</c:v>
                </c:pt>
                <c:pt idx="108">
                  <c:v>6.2101039377740221</c:v>
                </c:pt>
                <c:pt idx="109">
                  <c:v>6.2732914888798472</c:v>
                </c:pt>
                <c:pt idx="110">
                  <c:v>6.3365835733190048</c:v>
                </c:pt>
                <c:pt idx="111">
                  <c:v>6.3999801910914957</c:v>
                </c:pt>
                <c:pt idx="112">
                  <c:v>6.4634813421973201</c:v>
                </c:pt>
                <c:pt idx="113">
                  <c:v>6.5270870266364778</c:v>
                </c:pt>
                <c:pt idx="114">
                  <c:v>6.5907972444089697</c:v>
                </c:pt>
                <c:pt idx="115">
                  <c:v>6.6546119955147951</c:v>
                </c:pt>
                <c:pt idx="116">
                  <c:v>6.7185312799539529</c:v>
                </c:pt>
                <c:pt idx="117">
                  <c:v>6.7825550977264433</c:v>
                </c:pt>
                <c:pt idx="118">
                  <c:v>6.8466834488322688</c:v>
                </c:pt>
                <c:pt idx="119">
                  <c:v>6.9109163332714267</c:v>
                </c:pt>
                <c:pt idx="120">
                  <c:v>6.975253751043919</c:v>
                </c:pt>
                <c:pt idx="121">
                  <c:v>7.0396957021497428</c:v>
                </c:pt>
                <c:pt idx="122">
                  <c:v>7.1042421865889018</c:v>
                </c:pt>
                <c:pt idx="123">
                  <c:v>7.1688932043613933</c:v>
                </c:pt>
                <c:pt idx="124">
                  <c:v>7.2336487554672191</c:v>
                </c:pt>
                <c:pt idx="125">
                  <c:v>7.2985088399063773</c:v>
                </c:pt>
                <c:pt idx="126">
                  <c:v>7.3634734576788672</c:v>
                </c:pt>
                <c:pt idx="127">
                  <c:v>7.4285426087846922</c:v>
                </c:pt>
                <c:pt idx="128">
                  <c:v>7.4937162932238506</c:v>
                </c:pt>
                <c:pt idx="129">
                  <c:v>7.5589945109963432</c:v>
                </c:pt>
                <c:pt idx="130">
                  <c:v>7.6243772621021675</c:v>
                </c:pt>
                <c:pt idx="131">
                  <c:v>7.6898645465413242</c:v>
                </c:pt>
                <c:pt idx="132">
                  <c:v>7.7554563643138161</c:v>
                </c:pt>
                <c:pt idx="133">
                  <c:v>7.8211527154196414</c:v>
                </c:pt>
                <c:pt idx="134">
                  <c:v>7.8869535998587992</c:v>
                </c:pt>
                <c:pt idx="135">
                  <c:v>7.9528590176312912</c:v>
                </c:pt>
                <c:pt idx="136">
                  <c:v>8.0188689687371149</c:v>
                </c:pt>
                <c:pt idx="137">
                  <c:v>8.0849834531762728</c:v>
                </c:pt>
                <c:pt idx="138">
                  <c:v>8.151202470948764</c:v>
                </c:pt>
                <c:pt idx="139">
                  <c:v>8.2175260220545887</c:v>
                </c:pt>
                <c:pt idx="140">
                  <c:v>8.283954106493745</c:v>
                </c:pt>
                <c:pt idx="141">
                  <c:v>8.3504867242662382</c:v>
                </c:pt>
                <c:pt idx="142">
                  <c:v>8.4171238753720612</c:v>
                </c:pt>
                <c:pt idx="143">
                  <c:v>8.4838655598112229</c:v>
                </c:pt>
                <c:pt idx="144">
                  <c:v>8.5507117775837127</c:v>
                </c:pt>
                <c:pt idx="145">
                  <c:v>8.6176625286895376</c:v>
                </c:pt>
                <c:pt idx="146">
                  <c:v>8.684717813128696</c:v>
                </c:pt>
                <c:pt idx="147">
                  <c:v>8.7518776309011876</c:v>
                </c:pt>
                <c:pt idx="148">
                  <c:v>8.8191419820070127</c:v>
                </c:pt>
                <c:pt idx="149">
                  <c:v>8.8865108664461712</c:v>
                </c:pt>
                <c:pt idx="150">
                  <c:v>8.9539842842186612</c:v>
                </c:pt>
              </c:numCache>
            </c:numRef>
          </c:yVal>
          <c:smooth val="1"/>
          <c:extLst>
            <c:ext xmlns:c16="http://schemas.microsoft.com/office/drawing/2014/chart" uri="{C3380CC4-5D6E-409C-BE32-E72D297353CC}">
              <c16:uniqueId val="{00000001-A990-4ED0-A166-4B5A02BBF415}"/>
            </c:ext>
          </c:extLst>
        </c:ser>
        <c:ser>
          <c:idx val="2"/>
          <c:order val="2"/>
          <c:tx>
            <c:v>Diode</c:v>
          </c:tx>
          <c:marker>
            <c:symbol val="none"/>
          </c:marker>
          <c:xVal>
            <c:numRef>
              <c:f>[1]Eff_vs_IOUT!$S$7:$S$157</c:f>
              <c:numCache>
                <c:formatCode>General</c:formatCode>
                <c:ptCount val="151"/>
                <c:pt idx="0">
                  <c:v>0</c:v>
                </c:pt>
                <c:pt idx="1">
                  <c:v>9.3333333333333338E-2</c:v>
                </c:pt>
                <c:pt idx="2">
                  <c:v>0.18666666666666668</c:v>
                </c:pt>
                <c:pt idx="3">
                  <c:v>0.28000000000000003</c:v>
                </c:pt>
                <c:pt idx="4">
                  <c:v>0.37333333333333335</c:v>
                </c:pt>
                <c:pt idx="5">
                  <c:v>0.46666666666666667</c:v>
                </c:pt>
                <c:pt idx="6">
                  <c:v>0.56000000000000005</c:v>
                </c:pt>
                <c:pt idx="7">
                  <c:v>0.65333333333333332</c:v>
                </c:pt>
                <c:pt idx="8">
                  <c:v>0.7466666666666667</c:v>
                </c:pt>
                <c:pt idx="9">
                  <c:v>0.84000000000000008</c:v>
                </c:pt>
                <c:pt idx="10">
                  <c:v>0.93333333333333335</c:v>
                </c:pt>
                <c:pt idx="11">
                  <c:v>1.0266666666666666</c:v>
                </c:pt>
                <c:pt idx="12">
                  <c:v>1.1200000000000001</c:v>
                </c:pt>
                <c:pt idx="13">
                  <c:v>1.2133333333333334</c:v>
                </c:pt>
                <c:pt idx="14">
                  <c:v>1.3066666666666666</c:v>
                </c:pt>
                <c:pt idx="15">
                  <c:v>1.4000000000000001</c:v>
                </c:pt>
                <c:pt idx="16">
                  <c:v>1.4933333333333334</c:v>
                </c:pt>
                <c:pt idx="17">
                  <c:v>1.5866666666666667</c:v>
                </c:pt>
                <c:pt idx="18">
                  <c:v>1.6800000000000002</c:v>
                </c:pt>
                <c:pt idx="19">
                  <c:v>1.7733333333333334</c:v>
                </c:pt>
                <c:pt idx="20">
                  <c:v>1.8666666666666667</c:v>
                </c:pt>
                <c:pt idx="21">
                  <c:v>1.9600000000000002</c:v>
                </c:pt>
                <c:pt idx="22">
                  <c:v>2.0533333333333332</c:v>
                </c:pt>
                <c:pt idx="23">
                  <c:v>2.1466666666666669</c:v>
                </c:pt>
                <c:pt idx="24">
                  <c:v>2.2400000000000002</c:v>
                </c:pt>
                <c:pt idx="25">
                  <c:v>2.3333333333333335</c:v>
                </c:pt>
                <c:pt idx="26">
                  <c:v>2.4266666666666667</c:v>
                </c:pt>
                <c:pt idx="27">
                  <c:v>2.52</c:v>
                </c:pt>
                <c:pt idx="28">
                  <c:v>2.6133333333333333</c:v>
                </c:pt>
                <c:pt idx="29">
                  <c:v>2.706666666666667</c:v>
                </c:pt>
                <c:pt idx="30">
                  <c:v>2.8000000000000003</c:v>
                </c:pt>
                <c:pt idx="31">
                  <c:v>2.8933333333333335</c:v>
                </c:pt>
                <c:pt idx="32">
                  <c:v>2.9866666666666668</c:v>
                </c:pt>
                <c:pt idx="33">
                  <c:v>3.08</c:v>
                </c:pt>
                <c:pt idx="34">
                  <c:v>3.1733333333333333</c:v>
                </c:pt>
                <c:pt idx="35">
                  <c:v>3.2666666666666666</c:v>
                </c:pt>
                <c:pt idx="36">
                  <c:v>3.3600000000000003</c:v>
                </c:pt>
                <c:pt idx="37">
                  <c:v>3.4533333333333336</c:v>
                </c:pt>
                <c:pt idx="38">
                  <c:v>3.5466666666666669</c:v>
                </c:pt>
                <c:pt idx="39">
                  <c:v>3.64</c:v>
                </c:pt>
                <c:pt idx="40">
                  <c:v>3.7333333333333334</c:v>
                </c:pt>
                <c:pt idx="41">
                  <c:v>3.8266666666666667</c:v>
                </c:pt>
                <c:pt idx="42">
                  <c:v>3.9200000000000004</c:v>
                </c:pt>
                <c:pt idx="43">
                  <c:v>4.0133333333333336</c:v>
                </c:pt>
                <c:pt idx="44">
                  <c:v>4.1066666666666665</c:v>
                </c:pt>
                <c:pt idx="45">
                  <c:v>4.2</c:v>
                </c:pt>
                <c:pt idx="46">
                  <c:v>4.2933333333333339</c:v>
                </c:pt>
                <c:pt idx="47">
                  <c:v>4.3866666666666667</c:v>
                </c:pt>
                <c:pt idx="48">
                  <c:v>4.4800000000000004</c:v>
                </c:pt>
                <c:pt idx="49">
                  <c:v>4.5733333333333333</c:v>
                </c:pt>
                <c:pt idx="50">
                  <c:v>4.666666666666667</c:v>
                </c:pt>
                <c:pt idx="51">
                  <c:v>4.76</c:v>
                </c:pt>
                <c:pt idx="52">
                  <c:v>4.8533333333333335</c:v>
                </c:pt>
                <c:pt idx="53">
                  <c:v>4.9466666666666672</c:v>
                </c:pt>
                <c:pt idx="54">
                  <c:v>5.04</c:v>
                </c:pt>
                <c:pt idx="55">
                  <c:v>5.1333333333333337</c:v>
                </c:pt>
                <c:pt idx="56">
                  <c:v>5.2266666666666666</c:v>
                </c:pt>
                <c:pt idx="57">
                  <c:v>5.32</c:v>
                </c:pt>
                <c:pt idx="58">
                  <c:v>5.413333333333334</c:v>
                </c:pt>
                <c:pt idx="59">
                  <c:v>5.5066666666666668</c:v>
                </c:pt>
                <c:pt idx="60">
                  <c:v>5.6000000000000005</c:v>
                </c:pt>
                <c:pt idx="61">
                  <c:v>5.6933333333333334</c:v>
                </c:pt>
                <c:pt idx="62">
                  <c:v>5.7866666666666671</c:v>
                </c:pt>
                <c:pt idx="63">
                  <c:v>5.88</c:v>
                </c:pt>
                <c:pt idx="64">
                  <c:v>5.9733333333333336</c:v>
                </c:pt>
                <c:pt idx="65">
                  <c:v>6.0666666666666673</c:v>
                </c:pt>
                <c:pt idx="66">
                  <c:v>6.16</c:v>
                </c:pt>
                <c:pt idx="67">
                  <c:v>6.2533333333333339</c:v>
                </c:pt>
                <c:pt idx="68">
                  <c:v>6.3466666666666667</c:v>
                </c:pt>
                <c:pt idx="69">
                  <c:v>6.44</c:v>
                </c:pt>
                <c:pt idx="70">
                  <c:v>6.5333333333333332</c:v>
                </c:pt>
                <c:pt idx="71">
                  <c:v>6.6266666666666669</c:v>
                </c:pt>
                <c:pt idx="72">
                  <c:v>6.7200000000000006</c:v>
                </c:pt>
                <c:pt idx="73">
                  <c:v>6.8133333333333335</c:v>
                </c:pt>
                <c:pt idx="74">
                  <c:v>6.9066666666666672</c:v>
                </c:pt>
                <c:pt idx="75">
                  <c:v>7</c:v>
                </c:pt>
                <c:pt idx="76">
                  <c:v>7.0933333333333337</c:v>
                </c:pt>
                <c:pt idx="77">
                  <c:v>7.1866666666666674</c:v>
                </c:pt>
                <c:pt idx="78">
                  <c:v>7.28</c:v>
                </c:pt>
                <c:pt idx="79">
                  <c:v>7.373333333333334</c:v>
                </c:pt>
                <c:pt idx="80">
                  <c:v>7.4666666666666668</c:v>
                </c:pt>
                <c:pt idx="81">
                  <c:v>7.5600000000000005</c:v>
                </c:pt>
                <c:pt idx="82">
                  <c:v>7.6533333333333333</c:v>
                </c:pt>
                <c:pt idx="83">
                  <c:v>7.746666666666667</c:v>
                </c:pt>
                <c:pt idx="84">
                  <c:v>7.8400000000000007</c:v>
                </c:pt>
                <c:pt idx="85">
                  <c:v>7.9333333333333336</c:v>
                </c:pt>
                <c:pt idx="86">
                  <c:v>8.0266666666666673</c:v>
                </c:pt>
                <c:pt idx="87">
                  <c:v>8.120000000000001</c:v>
                </c:pt>
                <c:pt idx="88">
                  <c:v>8.2133333333333329</c:v>
                </c:pt>
                <c:pt idx="89">
                  <c:v>8.3066666666666666</c:v>
                </c:pt>
                <c:pt idx="90">
                  <c:v>8.4</c:v>
                </c:pt>
                <c:pt idx="91">
                  <c:v>8.4933333333333341</c:v>
                </c:pt>
                <c:pt idx="92">
                  <c:v>8.5866666666666678</c:v>
                </c:pt>
                <c:pt idx="93">
                  <c:v>8.68</c:v>
                </c:pt>
                <c:pt idx="94">
                  <c:v>8.7733333333333334</c:v>
                </c:pt>
                <c:pt idx="95">
                  <c:v>8.8666666666666671</c:v>
                </c:pt>
                <c:pt idx="96">
                  <c:v>8.9600000000000009</c:v>
                </c:pt>
                <c:pt idx="97">
                  <c:v>9.0533333333333346</c:v>
                </c:pt>
                <c:pt idx="98">
                  <c:v>9.1466666666666665</c:v>
                </c:pt>
                <c:pt idx="99">
                  <c:v>9.24</c:v>
                </c:pt>
                <c:pt idx="100">
                  <c:v>9.3333333333333339</c:v>
                </c:pt>
                <c:pt idx="101">
                  <c:v>9.4266666666666676</c:v>
                </c:pt>
                <c:pt idx="102">
                  <c:v>9.52</c:v>
                </c:pt>
                <c:pt idx="103">
                  <c:v>9.6133333333333333</c:v>
                </c:pt>
                <c:pt idx="104">
                  <c:v>9.706666666666667</c:v>
                </c:pt>
                <c:pt idx="105">
                  <c:v>9.8000000000000007</c:v>
                </c:pt>
                <c:pt idx="106">
                  <c:v>9.8933333333333344</c:v>
                </c:pt>
                <c:pt idx="107">
                  <c:v>9.9866666666666664</c:v>
                </c:pt>
                <c:pt idx="108">
                  <c:v>10.08</c:v>
                </c:pt>
                <c:pt idx="109">
                  <c:v>10.173333333333334</c:v>
                </c:pt>
                <c:pt idx="110">
                  <c:v>10.266666666666667</c:v>
                </c:pt>
                <c:pt idx="111">
                  <c:v>10.360000000000001</c:v>
                </c:pt>
                <c:pt idx="112">
                  <c:v>10.453333333333333</c:v>
                </c:pt>
                <c:pt idx="113">
                  <c:v>10.546666666666667</c:v>
                </c:pt>
                <c:pt idx="114">
                  <c:v>10.64</c:v>
                </c:pt>
                <c:pt idx="115">
                  <c:v>10.733333333333334</c:v>
                </c:pt>
                <c:pt idx="116">
                  <c:v>10.826666666666668</c:v>
                </c:pt>
                <c:pt idx="117">
                  <c:v>10.92</c:v>
                </c:pt>
                <c:pt idx="118">
                  <c:v>11.013333333333334</c:v>
                </c:pt>
                <c:pt idx="119">
                  <c:v>11.106666666666667</c:v>
                </c:pt>
                <c:pt idx="120">
                  <c:v>11.200000000000001</c:v>
                </c:pt>
                <c:pt idx="121">
                  <c:v>11.293333333333333</c:v>
                </c:pt>
                <c:pt idx="122">
                  <c:v>11.386666666666667</c:v>
                </c:pt>
                <c:pt idx="123">
                  <c:v>11.48</c:v>
                </c:pt>
                <c:pt idx="124">
                  <c:v>11.573333333333334</c:v>
                </c:pt>
                <c:pt idx="125">
                  <c:v>11.666666666666668</c:v>
                </c:pt>
                <c:pt idx="126">
                  <c:v>11.76</c:v>
                </c:pt>
                <c:pt idx="127">
                  <c:v>11.853333333333333</c:v>
                </c:pt>
                <c:pt idx="128">
                  <c:v>11.946666666666667</c:v>
                </c:pt>
                <c:pt idx="129">
                  <c:v>12.040000000000001</c:v>
                </c:pt>
                <c:pt idx="130">
                  <c:v>12.133333333333335</c:v>
                </c:pt>
                <c:pt idx="131">
                  <c:v>12.226666666666667</c:v>
                </c:pt>
                <c:pt idx="132">
                  <c:v>12.32</c:v>
                </c:pt>
                <c:pt idx="133">
                  <c:v>12.413333333333334</c:v>
                </c:pt>
                <c:pt idx="134">
                  <c:v>12.506666666666668</c:v>
                </c:pt>
                <c:pt idx="135">
                  <c:v>12.600000000000001</c:v>
                </c:pt>
                <c:pt idx="136">
                  <c:v>12.693333333333333</c:v>
                </c:pt>
                <c:pt idx="137">
                  <c:v>12.786666666666667</c:v>
                </c:pt>
                <c:pt idx="138">
                  <c:v>12.88</c:v>
                </c:pt>
                <c:pt idx="139">
                  <c:v>12.973333333333334</c:v>
                </c:pt>
                <c:pt idx="140">
                  <c:v>13.066666666666666</c:v>
                </c:pt>
                <c:pt idx="141">
                  <c:v>13.16</c:v>
                </c:pt>
                <c:pt idx="142">
                  <c:v>13.253333333333334</c:v>
                </c:pt>
                <c:pt idx="143">
                  <c:v>13.346666666666668</c:v>
                </c:pt>
                <c:pt idx="144">
                  <c:v>13.440000000000001</c:v>
                </c:pt>
                <c:pt idx="145">
                  <c:v>13.533333333333333</c:v>
                </c:pt>
                <c:pt idx="146">
                  <c:v>13.626666666666667</c:v>
                </c:pt>
                <c:pt idx="147">
                  <c:v>13.72</c:v>
                </c:pt>
                <c:pt idx="148">
                  <c:v>13.813333333333334</c:v>
                </c:pt>
                <c:pt idx="149">
                  <c:v>13.906666666666668</c:v>
                </c:pt>
                <c:pt idx="150">
                  <c:v>14</c:v>
                </c:pt>
              </c:numCache>
            </c:numRef>
          </c:xVal>
          <c:yVal>
            <c:numRef>
              <c:f>[1]Eff_vs_IOUT!$AO$7:$AO$157</c:f>
              <c:numCache>
                <c:formatCode>General</c:formatCode>
                <c:ptCount val="151"/>
                <c:pt idx="0">
                  <c:v>0.63790833399516844</c:v>
                </c:pt>
                <c:pt idx="1">
                  <c:v>0.63990566732850174</c:v>
                </c:pt>
                <c:pt idx="2">
                  <c:v>0.64195526732850172</c:v>
                </c:pt>
                <c:pt idx="3">
                  <c:v>0.6440571339951684</c:v>
                </c:pt>
                <c:pt idx="4">
                  <c:v>0.64621126732850176</c:v>
                </c:pt>
                <c:pt idx="5">
                  <c:v>0.6484176673285017</c:v>
                </c:pt>
                <c:pt idx="6">
                  <c:v>0.65067633399516844</c:v>
                </c:pt>
                <c:pt idx="7">
                  <c:v>0.65298726732850176</c:v>
                </c:pt>
                <c:pt idx="8">
                  <c:v>0.65535046732850177</c:v>
                </c:pt>
                <c:pt idx="9">
                  <c:v>0.65776593399516836</c:v>
                </c:pt>
                <c:pt idx="10">
                  <c:v>0.66023366732850175</c:v>
                </c:pt>
                <c:pt idx="11">
                  <c:v>0.66275366732850172</c:v>
                </c:pt>
                <c:pt idx="12">
                  <c:v>0.66532593399516837</c:v>
                </c:pt>
                <c:pt idx="13">
                  <c:v>0.66795046732850172</c:v>
                </c:pt>
                <c:pt idx="14">
                  <c:v>0.67062726732850175</c:v>
                </c:pt>
                <c:pt idx="15">
                  <c:v>0.67335633399516848</c:v>
                </c:pt>
                <c:pt idx="16">
                  <c:v>0.67613766732850178</c:v>
                </c:pt>
                <c:pt idx="17">
                  <c:v>0.67897126732850177</c:v>
                </c:pt>
                <c:pt idx="18">
                  <c:v>0.68185713399516845</c:v>
                </c:pt>
                <c:pt idx="19">
                  <c:v>0.68479526732850171</c:v>
                </c:pt>
                <c:pt idx="20">
                  <c:v>0.68778566732850177</c:v>
                </c:pt>
                <c:pt idx="21">
                  <c:v>0.69082833399516841</c:v>
                </c:pt>
                <c:pt idx="22">
                  <c:v>0.69392326732850174</c:v>
                </c:pt>
                <c:pt idx="23">
                  <c:v>0.69707046732850175</c:v>
                </c:pt>
                <c:pt idx="24">
                  <c:v>0.70026993399516846</c:v>
                </c:pt>
                <c:pt idx="25">
                  <c:v>0.70352166732850174</c:v>
                </c:pt>
                <c:pt idx="26">
                  <c:v>0.70682566732850183</c:v>
                </c:pt>
                <c:pt idx="27">
                  <c:v>0.71018193399516838</c:v>
                </c:pt>
                <c:pt idx="28">
                  <c:v>0.71359046732850173</c:v>
                </c:pt>
                <c:pt idx="29">
                  <c:v>0.71705126732850177</c:v>
                </c:pt>
                <c:pt idx="30">
                  <c:v>0.72056433399516839</c:v>
                </c:pt>
                <c:pt idx="31">
                  <c:v>0.72412966732850181</c:v>
                </c:pt>
                <c:pt idx="32">
                  <c:v>0.7277472673285017</c:v>
                </c:pt>
                <c:pt idx="33">
                  <c:v>0.7314171339951685</c:v>
                </c:pt>
                <c:pt idx="34">
                  <c:v>0.73513926732850177</c:v>
                </c:pt>
                <c:pt idx="35">
                  <c:v>0.73891366732850172</c:v>
                </c:pt>
                <c:pt idx="36">
                  <c:v>0.74274033399516837</c:v>
                </c:pt>
                <c:pt idx="37">
                  <c:v>0.7466192673285017</c:v>
                </c:pt>
                <c:pt idx="38">
                  <c:v>0.75055046732850172</c:v>
                </c:pt>
                <c:pt idx="39">
                  <c:v>0.75453393399516833</c:v>
                </c:pt>
                <c:pt idx="40">
                  <c:v>0.75856966732850173</c:v>
                </c:pt>
                <c:pt idx="41">
                  <c:v>0.76265766732850171</c:v>
                </c:pt>
                <c:pt idx="42">
                  <c:v>0.76679793399516849</c:v>
                </c:pt>
                <c:pt idx="43">
                  <c:v>0.77099046732850174</c:v>
                </c:pt>
                <c:pt idx="44">
                  <c:v>0.77523526732850168</c:v>
                </c:pt>
                <c:pt idx="45">
                  <c:v>0.77953233399516841</c:v>
                </c:pt>
                <c:pt idx="46">
                  <c:v>0.78388166732850184</c:v>
                </c:pt>
                <c:pt idx="47">
                  <c:v>0.78828326732850174</c:v>
                </c:pt>
                <c:pt idx="48">
                  <c:v>0.79273713399516832</c:v>
                </c:pt>
                <c:pt idx="49">
                  <c:v>0.7972432673285017</c:v>
                </c:pt>
                <c:pt idx="50">
                  <c:v>0.80180166732850178</c:v>
                </c:pt>
                <c:pt idx="51">
                  <c:v>0.80641233399516843</c:v>
                </c:pt>
                <c:pt idx="52">
                  <c:v>0.81107526732850177</c:v>
                </c:pt>
                <c:pt idx="53">
                  <c:v>0.8157904673285018</c:v>
                </c:pt>
                <c:pt idx="54">
                  <c:v>0.82055793399516841</c:v>
                </c:pt>
                <c:pt idx="55">
                  <c:v>0.82537766732850182</c:v>
                </c:pt>
                <c:pt idx="56">
                  <c:v>0.83024966732850169</c:v>
                </c:pt>
                <c:pt idx="57">
                  <c:v>0.83517393399516837</c:v>
                </c:pt>
                <c:pt idx="58">
                  <c:v>0.84015046732850174</c:v>
                </c:pt>
                <c:pt idx="59">
                  <c:v>0.84517926732850168</c:v>
                </c:pt>
                <c:pt idx="60">
                  <c:v>0.85026033399516843</c:v>
                </c:pt>
                <c:pt idx="61">
                  <c:v>0.85539366732850175</c:v>
                </c:pt>
                <c:pt idx="62">
                  <c:v>0.86057926732850187</c:v>
                </c:pt>
                <c:pt idx="63">
                  <c:v>0.86581713399516835</c:v>
                </c:pt>
                <c:pt idx="64">
                  <c:v>0.87110726732850186</c:v>
                </c:pt>
                <c:pt idx="65">
                  <c:v>0.87644966732850182</c:v>
                </c:pt>
                <c:pt idx="66">
                  <c:v>0.88184433399516837</c:v>
                </c:pt>
                <c:pt idx="67">
                  <c:v>0.88729126732850183</c:v>
                </c:pt>
                <c:pt idx="68">
                  <c:v>0.89279046732850165</c:v>
                </c:pt>
                <c:pt idx="69">
                  <c:v>0.89834193399516837</c:v>
                </c:pt>
                <c:pt idx="70">
                  <c:v>0.90394566732850168</c:v>
                </c:pt>
                <c:pt idx="71">
                  <c:v>0.90960166732850167</c:v>
                </c:pt>
                <c:pt idx="72">
                  <c:v>0.91530993399516836</c:v>
                </c:pt>
                <c:pt idx="73">
                  <c:v>0.92107046732850173</c:v>
                </c:pt>
                <c:pt idx="74">
                  <c:v>0.92688326732850179</c:v>
                </c:pt>
                <c:pt idx="75">
                  <c:v>0.93274833399516832</c:v>
                </c:pt>
                <c:pt idx="76">
                  <c:v>0.93866566732850176</c:v>
                </c:pt>
                <c:pt idx="77">
                  <c:v>0.94463526732850167</c:v>
                </c:pt>
                <c:pt idx="78">
                  <c:v>0.95065713399516838</c:v>
                </c:pt>
                <c:pt idx="79">
                  <c:v>0.95673126732850167</c:v>
                </c:pt>
                <c:pt idx="80">
                  <c:v>0.96285766732850175</c:v>
                </c:pt>
                <c:pt idx="81">
                  <c:v>0.96903633399516842</c:v>
                </c:pt>
                <c:pt idx="82">
                  <c:v>0.97526726732850166</c:v>
                </c:pt>
                <c:pt idx="83">
                  <c:v>0.98155046732850182</c:v>
                </c:pt>
                <c:pt idx="84">
                  <c:v>0.98788593399516844</c:v>
                </c:pt>
                <c:pt idx="85">
                  <c:v>0.99427366732850175</c:v>
                </c:pt>
                <c:pt idx="86">
                  <c:v>1.0007136673285018</c:v>
                </c:pt>
                <c:pt idx="87">
                  <c:v>1.0072059339951684</c:v>
                </c:pt>
                <c:pt idx="88">
                  <c:v>1.0137504673285016</c:v>
                </c:pt>
                <c:pt idx="89">
                  <c:v>1.0203472673285017</c:v>
                </c:pt>
                <c:pt idx="90">
                  <c:v>1.0269963339951684</c:v>
                </c:pt>
                <c:pt idx="91">
                  <c:v>1.0336976673285017</c:v>
                </c:pt>
                <c:pt idx="92">
                  <c:v>1.0404512673285016</c:v>
                </c:pt>
                <c:pt idx="93">
                  <c:v>1.0472571339951684</c:v>
                </c:pt>
                <c:pt idx="94">
                  <c:v>1.0541152673285017</c:v>
                </c:pt>
                <c:pt idx="95">
                  <c:v>1.0610256673285017</c:v>
                </c:pt>
                <c:pt idx="96">
                  <c:v>1.0679883339951683</c:v>
                </c:pt>
                <c:pt idx="97">
                  <c:v>1.0750032673285017</c:v>
                </c:pt>
                <c:pt idx="98">
                  <c:v>1.0820704673285015</c:v>
                </c:pt>
                <c:pt idx="99">
                  <c:v>1.0891899339951683</c:v>
                </c:pt>
                <c:pt idx="100">
                  <c:v>1.0963616673285017</c:v>
                </c:pt>
                <c:pt idx="101">
                  <c:v>1.1035856673285016</c:v>
                </c:pt>
                <c:pt idx="102">
                  <c:v>1.1108619339951684</c:v>
                </c:pt>
                <c:pt idx="103">
                  <c:v>1.1181904673285017</c:v>
                </c:pt>
                <c:pt idx="104">
                  <c:v>1.1255712673285017</c:v>
                </c:pt>
                <c:pt idx="105">
                  <c:v>1.1330043339951683</c:v>
                </c:pt>
                <c:pt idx="106">
                  <c:v>1.1404896673285019</c:v>
                </c:pt>
                <c:pt idx="107">
                  <c:v>1.1480272673285017</c:v>
                </c:pt>
                <c:pt idx="108">
                  <c:v>1.1556171339951684</c:v>
                </c:pt>
                <c:pt idx="109">
                  <c:v>1.1632592673285016</c:v>
                </c:pt>
                <c:pt idx="110">
                  <c:v>1.1709536673285019</c:v>
                </c:pt>
                <c:pt idx="111">
                  <c:v>1.1787003339951685</c:v>
                </c:pt>
                <c:pt idx="112">
                  <c:v>1.1864992673285015</c:v>
                </c:pt>
                <c:pt idx="113">
                  <c:v>1.1943504673285019</c:v>
                </c:pt>
                <c:pt idx="114">
                  <c:v>1.2022539339951683</c:v>
                </c:pt>
                <c:pt idx="115">
                  <c:v>1.2102096673285019</c:v>
                </c:pt>
                <c:pt idx="116">
                  <c:v>1.2182176673285019</c:v>
                </c:pt>
                <c:pt idx="117">
                  <c:v>1.2262779339951684</c:v>
                </c:pt>
                <c:pt idx="118">
                  <c:v>1.2343904673285018</c:v>
                </c:pt>
                <c:pt idx="119">
                  <c:v>1.2425552673285019</c:v>
                </c:pt>
                <c:pt idx="120">
                  <c:v>1.2507723339951684</c:v>
                </c:pt>
                <c:pt idx="121">
                  <c:v>1.2590416673285016</c:v>
                </c:pt>
                <c:pt idx="122">
                  <c:v>1.2673632673285018</c:v>
                </c:pt>
                <c:pt idx="123">
                  <c:v>1.2757371339951682</c:v>
                </c:pt>
                <c:pt idx="124">
                  <c:v>1.2841632673285017</c:v>
                </c:pt>
                <c:pt idx="125">
                  <c:v>1.2926416673285019</c:v>
                </c:pt>
                <c:pt idx="126">
                  <c:v>1.3011723339951682</c:v>
                </c:pt>
                <c:pt idx="127">
                  <c:v>1.3097552673285018</c:v>
                </c:pt>
                <c:pt idx="128">
                  <c:v>1.3183904673285016</c:v>
                </c:pt>
                <c:pt idx="129">
                  <c:v>1.3270779339951686</c:v>
                </c:pt>
                <c:pt idx="130">
                  <c:v>1.3358176673285018</c:v>
                </c:pt>
                <c:pt idx="131">
                  <c:v>1.3446096673285015</c:v>
                </c:pt>
                <c:pt idx="132">
                  <c:v>1.3534539339951683</c:v>
                </c:pt>
                <c:pt idx="133">
                  <c:v>1.3623504673285018</c:v>
                </c:pt>
                <c:pt idx="134">
                  <c:v>1.3712992673285016</c:v>
                </c:pt>
                <c:pt idx="135">
                  <c:v>1.3803003339951685</c:v>
                </c:pt>
                <c:pt idx="136">
                  <c:v>1.3893536673285016</c:v>
                </c:pt>
                <c:pt idx="137">
                  <c:v>1.3984592673285019</c:v>
                </c:pt>
                <c:pt idx="138">
                  <c:v>1.4076171339951684</c:v>
                </c:pt>
                <c:pt idx="139">
                  <c:v>1.4168272673285018</c:v>
                </c:pt>
                <c:pt idx="140">
                  <c:v>1.4260896673285015</c:v>
                </c:pt>
                <c:pt idx="141">
                  <c:v>1.4354043339951685</c:v>
                </c:pt>
                <c:pt idx="142">
                  <c:v>1.4447712673285016</c:v>
                </c:pt>
                <c:pt idx="143">
                  <c:v>1.454190467328502</c:v>
                </c:pt>
                <c:pt idx="144">
                  <c:v>1.4636619339951684</c:v>
                </c:pt>
                <c:pt idx="145">
                  <c:v>1.4731856673285018</c:v>
                </c:pt>
                <c:pt idx="146">
                  <c:v>1.4827616673285018</c:v>
                </c:pt>
                <c:pt idx="147">
                  <c:v>1.4923899339951685</c:v>
                </c:pt>
                <c:pt idx="148">
                  <c:v>1.5020704673285015</c:v>
                </c:pt>
                <c:pt idx="149">
                  <c:v>1.5118032673285018</c:v>
                </c:pt>
                <c:pt idx="150">
                  <c:v>1.5215883339951684</c:v>
                </c:pt>
              </c:numCache>
            </c:numRef>
          </c:yVal>
          <c:smooth val="1"/>
          <c:extLst>
            <c:ext xmlns:c16="http://schemas.microsoft.com/office/drawing/2014/chart" uri="{C3380CC4-5D6E-409C-BE32-E72D297353CC}">
              <c16:uniqueId val="{00000002-A990-4ED0-A166-4B5A02BBF415}"/>
            </c:ext>
          </c:extLst>
        </c:ser>
        <c:ser>
          <c:idx val="3"/>
          <c:order val="3"/>
          <c:tx>
            <c:v>RCS</c:v>
          </c:tx>
          <c:marker>
            <c:symbol val="none"/>
          </c:marker>
          <c:xVal>
            <c:numRef>
              <c:f>[1]Eff_vs_IOUT!$S$7:$S$157</c:f>
              <c:numCache>
                <c:formatCode>General</c:formatCode>
                <c:ptCount val="151"/>
                <c:pt idx="0">
                  <c:v>0</c:v>
                </c:pt>
                <c:pt idx="1">
                  <c:v>9.3333333333333338E-2</c:v>
                </c:pt>
                <c:pt idx="2">
                  <c:v>0.18666666666666668</c:v>
                </c:pt>
                <c:pt idx="3">
                  <c:v>0.28000000000000003</c:v>
                </c:pt>
                <c:pt idx="4">
                  <c:v>0.37333333333333335</c:v>
                </c:pt>
                <c:pt idx="5">
                  <c:v>0.46666666666666667</c:v>
                </c:pt>
                <c:pt idx="6">
                  <c:v>0.56000000000000005</c:v>
                </c:pt>
                <c:pt idx="7">
                  <c:v>0.65333333333333332</c:v>
                </c:pt>
                <c:pt idx="8">
                  <c:v>0.7466666666666667</c:v>
                </c:pt>
                <c:pt idx="9">
                  <c:v>0.84000000000000008</c:v>
                </c:pt>
                <c:pt idx="10">
                  <c:v>0.93333333333333335</c:v>
                </c:pt>
                <c:pt idx="11">
                  <c:v>1.0266666666666666</c:v>
                </c:pt>
                <c:pt idx="12">
                  <c:v>1.1200000000000001</c:v>
                </c:pt>
                <c:pt idx="13">
                  <c:v>1.2133333333333334</c:v>
                </c:pt>
                <c:pt idx="14">
                  <c:v>1.3066666666666666</c:v>
                </c:pt>
                <c:pt idx="15">
                  <c:v>1.4000000000000001</c:v>
                </c:pt>
                <c:pt idx="16">
                  <c:v>1.4933333333333334</c:v>
                </c:pt>
                <c:pt idx="17">
                  <c:v>1.5866666666666667</c:v>
                </c:pt>
                <c:pt idx="18">
                  <c:v>1.6800000000000002</c:v>
                </c:pt>
                <c:pt idx="19">
                  <c:v>1.7733333333333334</c:v>
                </c:pt>
                <c:pt idx="20">
                  <c:v>1.8666666666666667</c:v>
                </c:pt>
                <c:pt idx="21">
                  <c:v>1.9600000000000002</c:v>
                </c:pt>
                <c:pt idx="22">
                  <c:v>2.0533333333333332</c:v>
                </c:pt>
                <c:pt idx="23">
                  <c:v>2.1466666666666669</c:v>
                </c:pt>
                <c:pt idx="24">
                  <c:v>2.2400000000000002</c:v>
                </c:pt>
                <c:pt idx="25">
                  <c:v>2.3333333333333335</c:v>
                </c:pt>
                <c:pt idx="26">
                  <c:v>2.4266666666666667</c:v>
                </c:pt>
                <c:pt idx="27">
                  <c:v>2.52</c:v>
                </c:pt>
                <c:pt idx="28">
                  <c:v>2.6133333333333333</c:v>
                </c:pt>
                <c:pt idx="29">
                  <c:v>2.706666666666667</c:v>
                </c:pt>
                <c:pt idx="30">
                  <c:v>2.8000000000000003</c:v>
                </c:pt>
                <c:pt idx="31">
                  <c:v>2.8933333333333335</c:v>
                </c:pt>
                <c:pt idx="32">
                  <c:v>2.9866666666666668</c:v>
                </c:pt>
                <c:pt idx="33">
                  <c:v>3.08</c:v>
                </c:pt>
                <c:pt idx="34">
                  <c:v>3.1733333333333333</c:v>
                </c:pt>
                <c:pt idx="35">
                  <c:v>3.2666666666666666</c:v>
                </c:pt>
                <c:pt idx="36">
                  <c:v>3.3600000000000003</c:v>
                </c:pt>
                <c:pt idx="37">
                  <c:v>3.4533333333333336</c:v>
                </c:pt>
                <c:pt idx="38">
                  <c:v>3.5466666666666669</c:v>
                </c:pt>
                <c:pt idx="39">
                  <c:v>3.64</c:v>
                </c:pt>
                <c:pt idx="40">
                  <c:v>3.7333333333333334</c:v>
                </c:pt>
                <c:pt idx="41">
                  <c:v>3.8266666666666667</c:v>
                </c:pt>
                <c:pt idx="42">
                  <c:v>3.9200000000000004</c:v>
                </c:pt>
                <c:pt idx="43">
                  <c:v>4.0133333333333336</c:v>
                </c:pt>
                <c:pt idx="44">
                  <c:v>4.1066666666666665</c:v>
                </c:pt>
                <c:pt idx="45">
                  <c:v>4.2</c:v>
                </c:pt>
                <c:pt idx="46">
                  <c:v>4.2933333333333339</c:v>
                </c:pt>
                <c:pt idx="47">
                  <c:v>4.3866666666666667</c:v>
                </c:pt>
                <c:pt idx="48">
                  <c:v>4.4800000000000004</c:v>
                </c:pt>
                <c:pt idx="49">
                  <c:v>4.5733333333333333</c:v>
                </c:pt>
                <c:pt idx="50">
                  <c:v>4.666666666666667</c:v>
                </c:pt>
                <c:pt idx="51">
                  <c:v>4.76</c:v>
                </c:pt>
                <c:pt idx="52">
                  <c:v>4.8533333333333335</c:v>
                </c:pt>
                <c:pt idx="53">
                  <c:v>4.9466666666666672</c:v>
                </c:pt>
                <c:pt idx="54">
                  <c:v>5.04</c:v>
                </c:pt>
                <c:pt idx="55">
                  <c:v>5.1333333333333337</c:v>
                </c:pt>
                <c:pt idx="56">
                  <c:v>5.2266666666666666</c:v>
                </c:pt>
                <c:pt idx="57">
                  <c:v>5.32</c:v>
                </c:pt>
                <c:pt idx="58">
                  <c:v>5.413333333333334</c:v>
                </c:pt>
                <c:pt idx="59">
                  <c:v>5.5066666666666668</c:v>
                </c:pt>
                <c:pt idx="60">
                  <c:v>5.6000000000000005</c:v>
                </c:pt>
                <c:pt idx="61">
                  <c:v>5.6933333333333334</c:v>
                </c:pt>
                <c:pt idx="62">
                  <c:v>5.7866666666666671</c:v>
                </c:pt>
                <c:pt idx="63">
                  <c:v>5.88</c:v>
                </c:pt>
                <c:pt idx="64">
                  <c:v>5.9733333333333336</c:v>
                </c:pt>
                <c:pt idx="65">
                  <c:v>6.0666666666666673</c:v>
                </c:pt>
                <c:pt idx="66">
                  <c:v>6.16</c:v>
                </c:pt>
                <c:pt idx="67">
                  <c:v>6.2533333333333339</c:v>
                </c:pt>
                <c:pt idx="68">
                  <c:v>6.3466666666666667</c:v>
                </c:pt>
                <c:pt idx="69">
                  <c:v>6.44</c:v>
                </c:pt>
                <c:pt idx="70">
                  <c:v>6.5333333333333332</c:v>
                </c:pt>
                <c:pt idx="71">
                  <c:v>6.6266666666666669</c:v>
                </c:pt>
                <c:pt idx="72">
                  <c:v>6.7200000000000006</c:v>
                </c:pt>
                <c:pt idx="73">
                  <c:v>6.8133333333333335</c:v>
                </c:pt>
                <c:pt idx="74">
                  <c:v>6.9066666666666672</c:v>
                </c:pt>
                <c:pt idx="75">
                  <c:v>7</c:v>
                </c:pt>
                <c:pt idx="76">
                  <c:v>7.0933333333333337</c:v>
                </c:pt>
                <c:pt idx="77">
                  <c:v>7.1866666666666674</c:v>
                </c:pt>
                <c:pt idx="78">
                  <c:v>7.28</c:v>
                </c:pt>
                <c:pt idx="79">
                  <c:v>7.373333333333334</c:v>
                </c:pt>
                <c:pt idx="80">
                  <c:v>7.4666666666666668</c:v>
                </c:pt>
                <c:pt idx="81">
                  <c:v>7.5600000000000005</c:v>
                </c:pt>
                <c:pt idx="82">
                  <c:v>7.6533333333333333</c:v>
                </c:pt>
                <c:pt idx="83">
                  <c:v>7.746666666666667</c:v>
                </c:pt>
                <c:pt idx="84">
                  <c:v>7.8400000000000007</c:v>
                </c:pt>
                <c:pt idx="85">
                  <c:v>7.9333333333333336</c:v>
                </c:pt>
                <c:pt idx="86">
                  <c:v>8.0266666666666673</c:v>
                </c:pt>
                <c:pt idx="87">
                  <c:v>8.120000000000001</c:v>
                </c:pt>
                <c:pt idx="88">
                  <c:v>8.2133333333333329</c:v>
                </c:pt>
                <c:pt idx="89">
                  <c:v>8.3066666666666666</c:v>
                </c:pt>
                <c:pt idx="90">
                  <c:v>8.4</c:v>
                </c:pt>
                <c:pt idx="91">
                  <c:v>8.4933333333333341</c:v>
                </c:pt>
                <c:pt idx="92">
                  <c:v>8.5866666666666678</c:v>
                </c:pt>
                <c:pt idx="93">
                  <c:v>8.68</c:v>
                </c:pt>
                <c:pt idx="94">
                  <c:v>8.7733333333333334</c:v>
                </c:pt>
                <c:pt idx="95">
                  <c:v>8.8666666666666671</c:v>
                </c:pt>
                <c:pt idx="96">
                  <c:v>8.9600000000000009</c:v>
                </c:pt>
                <c:pt idx="97">
                  <c:v>9.0533333333333346</c:v>
                </c:pt>
                <c:pt idx="98">
                  <c:v>9.1466666666666665</c:v>
                </c:pt>
                <c:pt idx="99">
                  <c:v>9.24</c:v>
                </c:pt>
                <c:pt idx="100">
                  <c:v>9.3333333333333339</c:v>
                </c:pt>
                <c:pt idx="101">
                  <c:v>9.4266666666666676</c:v>
                </c:pt>
                <c:pt idx="102">
                  <c:v>9.52</c:v>
                </c:pt>
                <c:pt idx="103">
                  <c:v>9.6133333333333333</c:v>
                </c:pt>
                <c:pt idx="104">
                  <c:v>9.706666666666667</c:v>
                </c:pt>
                <c:pt idx="105">
                  <c:v>9.8000000000000007</c:v>
                </c:pt>
                <c:pt idx="106">
                  <c:v>9.8933333333333344</c:v>
                </c:pt>
                <c:pt idx="107">
                  <c:v>9.9866666666666664</c:v>
                </c:pt>
                <c:pt idx="108">
                  <c:v>10.08</c:v>
                </c:pt>
                <c:pt idx="109">
                  <c:v>10.173333333333334</c:v>
                </c:pt>
                <c:pt idx="110">
                  <c:v>10.266666666666667</c:v>
                </c:pt>
                <c:pt idx="111">
                  <c:v>10.360000000000001</c:v>
                </c:pt>
                <c:pt idx="112">
                  <c:v>10.453333333333333</c:v>
                </c:pt>
                <c:pt idx="113">
                  <c:v>10.546666666666667</c:v>
                </c:pt>
                <c:pt idx="114">
                  <c:v>10.64</c:v>
                </c:pt>
                <c:pt idx="115">
                  <c:v>10.733333333333334</c:v>
                </c:pt>
                <c:pt idx="116">
                  <c:v>10.826666666666668</c:v>
                </c:pt>
                <c:pt idx="117">
                  <c:v>10.92</c:v>
                </c:pt>
                <c:pt idx="118">
                  <c:v>11.013333333333334</c:v>
                </c:pt>
                <c:pt idx="119">
                  <c:v>11.106666666666667</c:v>
                </c:pt>
                <c:pt idx="120">
                  <c:v>11.200000000000001</c:v>
                </c:pt>
                <c:pt idx="121">
                  <c:v>11.293333333333333</c:v>
                </c:pt>
                <c:pt idx="122">
                  <c:v>11.386666666666667</c:v>
                </c:pt>
                <c:pt idx="123">
                  <c:v>11.48</c:v>
                </c:pt>
                <c:pt idx="124">
                  <c:v>11.573333333333334</c:v>
                </c:pt>
                <c:pt idx="125">
                  <c:v>11.666666666666668</c:v>
                </c:pt>
                <c:pt idx="126">
                  <c:v>11.76</c:v>
                </c:pt>
                <c:pt idx="127">
                  <c:v>11.853333333333333</c:v>
                </c:pt>
                <c:pt idx="128">
                  <c:v>11.946666666666667</c:v>
                </c:pt>
                <c:pt idx="129">
                  <c:v>12.040000000000001</c:v>
                </c:pt>
                <c:pt idx="130">
                  <c:v>12.133333333333335</c:v>
                </c:pt>
                <c:pt idx="131">
                  <c:v>12.226666666666667</c:v>
                </c:pt>
                <c:pt idx="132">
                  <c:v>12.32</c:v>
                </c:pt>
                <c:pt idx="133">
                  <c:v>12.413333333333334</c:v>
                </c:pt>
                <c:pt idx="134">
                  <c:v>12.506666666666668</c:v>
                </c:pt>
                <c:pt idx="135">
                  <c:v>12.600000000000001</c:v>
                </c:pt>
                <c:pt idx="136">
                  <c:v>12.693333333333333</c:v>
                </c:pt>
                <c:pt idx="137">
                  <c:v>12.786666666666667</c:v>
                </c:pt>
                <c:pt idx="138">
                  <c:v>12.88</c:v>
                </c:pt>
                <c:pt idx="139">
                  <c:v>12.973333333333334</c:v>
                </c:pt>
                <c:pt idx="140">
                  <c:v>13.066666666666666</c:v>
                </c:pt>
                <c:pt idx="141">
                  <c:v>13.16</c:v>
                </c:pt>
                <c:pt idx="142">
                  <c:v>13.253333333333334</c:v>
                </c:pt>
                <c:pt idx="143">
                  <c:v>13.346666666666668</c:v>
                </c:pt>
                <c:pt idx="144">
                  <c:v>13.440000000000001</c:v>
                </c:pt>
                <c:pt idx="145">
                  <c:v>13.533333333333333</c:v>
                </c:pt>
                <c:pt idx="146">
                  <c:v>13.626666666666667</c:v>
                </c:pt>
                <c:pt idx="147">
                  <c:v>13.72</c:v>
                </c:pt>
                <c:pt idx="148">
                  <c:v>13.813333333333334</c:v>
                </c:pt>
                <c:pt idx="149">
                  <c:v>13.906666666666668</c:v>
                </c:pt>
                <c:pt idx="150">
                  <c:v>14</c:v>
                </c:pt>
              </c:numCache>
            </c:numRef>
          </c:xVal>
          <c:yVal>
            <c:numRef>
              <c:f>[1]Eff_vs_IOUT!$AP$7:$AP$157</c:f>
              <c:numCache>
                <c:formatCode>General</c:formatCode>
                <c:ptCount val="151"/>
                <c:pt idx="0">
                  <c:v>2.5461412761301648E-3</c:v>
                </c:pt>
                <c:pt idx="1">
                  <c:v>2.663741276130165E-3</c:v>
                </c:pt>
                <c:pt idx="2">
                  <c:v>3.0165412761301649E-3</c:v>
                </c:pt>
                <c:pt idx="3">
                  <c:v>3.6045412761301645E-3</c:v>
                </c:pt>
                <c:pt idx="4">
                  <c:v>4.4277412761301654E-3</c:v>
                </c:pt>
                <c:pt idx="5">
                  <c:v>5.4861412761301655E-3</c:v>
                </c:pt>
                <c:pt idx="6">
                  <c:v>6.7797412761301645E-3</c:v>
                </c:pt>
                <c:pt idx="7">
                  <c:v>8.308541276130163E-3</c:v>
                </c:pt>
                <c:pt idx="8">
                  <c:v>1.0072541276130166E-2</c:v>
                </c:pt>
                <c:pt idx="9">
                  <c:v>1.2071741276130166E-2</c:v>
                </c:pt>
                <c:pt idx="10">
                  <c:v>1.4306141276130167E-2</c:v>
                </c:pt>
                <c:pt idx="11">
                  <c:v>1.6775741276130161E-2</c:v>
                </c:pt>
                <c:pt idx="12">
                  <c:v>1.9480541276130164E-2</c:v>
                </c:pt>
                <c:pt idx="13">
                  <c:v>2.242054127613017E-2</c:v>
                </c:pt>
                <c:pt idx="14">
                  <c:v>2.5595741276130162E-2</c:v>
                </c:pt>
                <c:pt idx="15">
                  <c:v>2.9006141276130167E-2</c:v>
                </c:pt>
                <c:pt idx="16">
                  <c:v>3.2651741276130172E-2</c:v>
                </c:pt>
                <c:pt idx="17">
                  <c:v>3.6532541276130169E-2</c:v>
                </c:pt>
                <c:pt idx="18">
                  <c:v>4.0648541276130171E-2</c:v>
                </c:pt>
                <c:pt idx="19">
                  <c:v>4.4999741276130177E-2</c:v>
                </c:pt>
                <c:pt idx="20">
                  <c:v>4.9586141276130175E-2</c:v>
                </c:pt>
                <c:pt idx="21">
                  <c:v>5.4407741276130184E-2</c:v>
                </c:pt>
                <c:pt idx="22">
                  <c:v>5.9464541276130156E-2</c:v>
                </c:pt>
                <c:pt idx="23">
                  <c:v>6.4756541276130161E-2</c:v>
                </c:pt>
                <c:pt idx="24">
                  <c:v>7.0283741276130171E-2</c:v>
                </c:pt>
                <c:pt idx="25">
                  <c:v>7.6046141276130172E-2</c:v>
                </c:pt>
                <c:pt idx="26">
                  <c:v>8.2043741276130178E-2</c:v>
                </c:pt>
                <c:pt idx="27">
                  <c:v>8.827654127613016E-2</c:v>
                </c:pt>
                <c:pt idx="28">
                  <c:v>9.4744541276130148E-2</c:v>
                </c:pt>
                <c:pt idx="29">
                  <c:v>0.10144774127613021</c:v>
                </c:pt>
                <c:pt idx="30">
                  <c:v>0.10838614127613017</c:v>
                </c:pt>
                <c:pt idx="31">
                  <c:v>0.11555974127613018</c:v>
                </c:pt>
                <c:pt idx="32">
                  <c:v>0.12296854127613016</c:v>
                </c:pt>
                <c:pt idx="33">
                  <c:v>0.13061254127613015</c:v>
                </c:pt>
                <c:pt idx="34">
                  <c:v>0.13849174127613015</c:v>
                </c:pt>
                <c:pt idx="35">
                  <c:v>0.14660614127613011</c:v>
                </c:pt>
                <c:pt idx="36">
                  <c:v>0.15495574127613018</c:v>
                </c:pt>
                <c:pt idx="37">
                  <c:v>0.16354054127613019</c:v>
                </c:pt>
                <c:pt idx="38">
                  <c:v>0.17236054127613018</c:v>
                </c:pt>
                <c:pt idx="39">
                  <c:v>0.18141574127613017</c:v>
                </c:pt>
                <c:pt idx="40">
                  <c:v>0.1907061412761302</c:v>
                </c:pt>
                <c:pt idx="41">
                  <c:v>0.20023174127613019</c:v>
                </c:pt>
                <c:pt idx="42">
                  <c:v>0.20999254127613026</c:v>
                </c:pt>
                <c:pt idx="43">
                  <c:v>0.21998854127613024</c:v>
                </c:pt>
                <c:pt idx="44">
                  <c:v>0.2302197412761301</c:v>
                </c:pt>
                <c:pt idx="45">
                  <c:v>0.24068614127613017</c:v>
                </c:pt>
                <c:pt idx="46">
                  <c:v>0.25138774127613023</c:v>
                </c:pt>
                <c:pt idx="47">
                  <c:v>0.26232454127613014</c:v>
                </c:pt>
                <c:pt idx="48">
                  <c:v>0.27349654127613016</c:v>
                </c:pt>
                <c:pt idx="49">
                  <c:v>0.28490374127613011</c:v>
                </c:pt>
                <c:pt idx="50">
                  <c:v>0.29654614127613022</c:v>
                </c:pt>
                <c:pt idx="51">
                  <c:v>0.3084237412761302</c:v>
                </c:pt>
                <c:pt idx="52">
                  <c:v>0.32053654127613024</c:v>
                </c:pt>
                <c:pt idx="53">
                  <c:v>0.33288454127613021</c:v>
                </c:pt>
                <c:pt idx="54">
                  <c:v>0.34546774127613017</c:v>
                </c:pt>
                <c:pt idx="55">
                  <c:v>0.35828614127613029</c:v>
                </c:pt>
                <c:pt idx="56">
                  <c:v>0.37133974127613001</c:v>
                </c:pt>
                <c:pt idx="57">
                  <c:v>0.38462854127613016</c:v>
                </c:pt>
                <c:pt idx="58">
                  <c:v>0.3981525412761302</c:v>
                </c:pt>
                <c:pt idx="59">
                  <c:v>0.41191174127613006</c:v>
                </c:pt>
                <c:pt idx="60">
                  <c:v>0.42590614127613013</c:v>
                </c:pt>
                <c:pt idx="61">
                  <c:v>0.44013574127613031</c:v>
                </c:pt>
                <c:pt idx="62">
                  <c:v>0.45460054127613025</c:v>
                </c:pt>
                <c:pt idx="63">
                  <c:v>0.46930054127613019</c:v>
                </c:pt>
                <c:pt idx="64">
                  <c:v>0.48423574127613017</c:v>
                </c:pt>
                <c:pt idx="65">
                  <c:v>0.49940614127613037</c:v>
                </c:pt>
                <c:pt idx="66">
                  <c:v>0.51481174127613027</c:v>
                </c:pt>
                <c:pt idx="67">
                  <c:v>0.53045254127613017</c:v>
                </c:pt>
                <c:pt idx="68">
                  <c:v>0.54632854127613006</c:v>
                </c:pt>
                <c:pt idx="69">
                  <c:v>0.56243974127613017</c:v>
                </c:pt>
                <c:pt idx="70">
                  <c:v>0.57878614127612993</c:v>
                </c:pt>
                <c:pt idx="71">
                  <c:v>0.59536774127613012</c:v>
                </c:pt>
                <c:pt idx="72">
                  <c:v>0.6121845412761302</c:v>
                </c:pt>
                <c:pt idx="73">
                  <c:v>0.62923654127613027</c:v>
                </c:pt>
                <c:pt idx="74">
                  <c:v>0.64652374127613033</c:v>
                </c:pt>
                <c:pt idx="75">
                  <c:v>0.66404614127613015</c:v>
                </c:pt>
                <c:pt idx="76">
                  <c:v>0.68180374127613019</c:v>
                </c:pt>
                <c:pt idx="77">
                  <c:v>0.69979654127613033</c:v>
                </c:pt>
                <c:pt idx="78">
                  <c:v>0.71802454127613013</c:v>
                </c:pt>
                <c:pt idx="79">
                  <c:v>0.73648774127613015</c:v>
                </c:pt>
                <c:pt idx="80">
                  <c:v>0.75518614127613026</c:v>
                </c:pt>
                <c:pt idx="81">
                  <c:v>0.77411974127613048</c:v>
                </c:pt>
                <c:pt idx="82">
                  <c:v>0.79328854127613024</c:v>
                </c:pt>
                <c:pt idx="83">
                  <c:v>0.81269254127613033</c:v>
                </c:pt>
                <c:pt idx="84">
                  <c:v>0.83233174127613052</c:v>
                </c:pt>
                <c:pt idx="85">
                  <c:v>0.85220614127613015</c:v>
                </c:pt>
                <c:pt idx="86">
                  <c:v>0.87231574127613043</c:v>
                </c:pt>
                <c:pt idx="87">
                  <c:v>0.89266054127613048</c:v>
                </c:pt>
                <c:pt idx="88">
                  <c:v>0.91324054127612997</c:v>
                </c:pt>
                <c:pt idx="89">
                  <c:v>0.93405574127613</c:v>
                </c:pt>
                <c:pt idx="90">
                  <c:v>0.95510614127613036</c:v>
                </c:pt>
                <c:pt idx="91">
                  <c:v>0.97639174127613004</c:v>
                </c:pt>
                <c:pt idx="92">
                  <c:v>0.99791254127613027</c:v>
                </c:pt>
                <c:pt idx="93">
                  <c:v>1.0196685412761304</c:v>
                </c:pt>
                <c:pt idx="94">
                  <c:v>1.0416597412761301</c:v>
                </c:pt>
                <c:pt idx="95">
                  <c:v>1.06388614127613</c:v>
                </c:pt>
                <c:pt idx="96">
                  <c:v>1.0863477412761304</c:v>
                </c:pt>
                <c:pt idx="97">
                  <c:v>1.1090445412761303</c:v>
                </c:pt>
                <c:pt idx="98">
                  <c:v>1.13197654127613</c:v>
                </c:pt>
                <c:pt idx="99">
                  <c:v>1.1551437412761303</c:v>
                </c:pt>
                <c:pt idx="100">
                  <c:v>1.1785461412761302</c:v>
                </c:pt>
                <c:pt idx="101">
                  <c:v>1.2021837412761303</c:v>
                </c:pt>
                <c:pt idx="102">
                  <c:v>1.22605654127613</c:v>
                </c:pt>
                <c:pt idx="103">
                  <c:v>1.2501645412761302</c:v>
                </c:pt>
                <c:pt idx="104">
                  <c:v>1.2745077412761305</c:v>
                </c:pt>
                <c:pt idx="105">
                  <c:v>1.2990861412761303</c:v>
                </c:pt>
                <c:pt idx="106">
                  <c:v>1.3238997412761304</c:v>
                </c:pt>
                <c:pt idx="107">
                  <c:v>1.3489485412761304</c:v>
                </c:pt>
                <c:pt idx="108">
                  <c:v>1.3742325412761303</c:v>
                </c:pt>
                <c:pt idx="109">
                  <c:v>1.3997517412761304</c:v>
                </c:pt>
                <c:pt idx="110">
                  <c:v>1.4255061412761303</c:v>
                </c:pt>
                <c:pt idx="111">
                  <c:v>1.4514957412761309</c:v>
                </c:pt>
                <c:pt idx="112">
                  <c:v>1.4777205412761296</c:v>
                </c:pt>
                <c:pt idx="113">
                  <c:v>1.5041805412761304</c:v>
                </c:pt>
                <c:pt idx="114">
                  <c:v>1.5308757412761302</c:v>
                </c:pt>
                <c:pt idx="115">
                  <c:v>1.5578061412761306</c:v>
                </c:pt>
                <c:pt idx="116">
                  <c:v>1.5849717412761304</c:v>
                </c:pt>
                <c:pt idx="117">
                  <c:v>1.6123725412761301</c:v>
                </c:pt>
                <c:pt idx="118">
                  <c:v>1.6400085412761298</c:v>
                </c:pt>
                <c:pt idx="119">
                  <c:v>1.6678797412761301</c:v>
                </c:pt>
                <c:pt idx="120">
                  <c:v>1.6959861412761297</c:v>
                </c:pt>
                <c:pt idx="121">
                  <c:v>1.7243277412761302</c:v>
                </c:pt>
                <c:pt idx="122">
                  <c:v>1.7529045412761304</c:v>
                </c:pt>
                <c:pt idx="123">
                  <c:v>1.7817165412761307</c:v>
                </c:pt>
                <c:pt idx="124">
                  <c:v>1.8107637412761304</c:v>
                </c:pt>
                <c:pt idx="125">
                  <c:v>1.8400461412761306</c:v>
                </c:pt>
                <c:pt idx="126">
                  <c:v>1.8695637412761303</c:v>
                </c:pt>
                <c:pt idx="127">
                  <c:v>1.8993165412761301</c:v>
                </c:pt>
                <c:pt idx="128">
                  <c:v>1.92930454127613</c:v>
                </c:pt>
                <c:pt idx="129">
                  <c:v>1.9595277412761303</c:v>
                </c:pt>
                <c:pt idx="130">
                  <c:v>1.9899861412761308</c:v>
                </c:pt>
                <c:pt idx="131">
                  <c:v>2.0206797412761301</c:v>
                </c:pt>
                <c:pt idx="132">
                  <c:v>2.0516085412761305</c:v>
                </c:pt>
                <c:pt idx="133">
                  <c:v>2.08277254127613</c:v>
                </c:pt>
                <c:pt idx="134">
                  <c:v>2.1141717412761301</c:v>
                </c:pt>
                <c:pt idx="135">
                  <c:v>2.1458061412761307</c:v>
                </c:pt>
                <c:pt idx="136">
                  <c:v>2.1776757412761296</c:v>
                </c:pt>
                <c:pt idx="137">
                  <c:v>2.20978054127613</c:v>
                </c:pt>
                <c:pt idx="138">
                  <c:v>2.2421205412761296</c:v>
                </c:pt>
                <c:pt idx="139">
                  <c:v>2.2746957412761306</c:v>
                </c:pt>
                <c:pt idx="140">
                  <c:v>2.3075061412761295</c:v>
                </c:pt>
                <c:pt idx="141">
                  <c:v>2.3405517412761307</c:v>
                </c:pt>
                <c:pt idx="142">
                  <c:v>2.3738325412761303</c:v>
                </c:pt>
                <c:pt idx="143">
                  <c:v>2.4073485412761304</c:v>
                </c:pt>
                <c:pt idx="144">
                  <c:v>2.4410997412761302</c:v>
                </c:pt>
                <c:pt idx="145">
                  <c:v>2.4750861412761305</c:v>
                </c:pt>
                <c:pt idx="146">
                  <c:v>2.50930774127613</c:v>
                </c:pt>
                <c:pt idx="147">
                  <c:v>2.5437645412761301</c:v>
                </c:pt>
                <c:pt idx="148">
                  <c:v>2.5784565412761302</c:v>
                </c:pt>
                <c:pt idx="149">
                  <c:v>2.6133837412761314</c:v>
                </c:pt>
                <c:pt idx="150">
                  <c:v>2.6485461412761295</c:v>
                </c:pt>
              </c:numCache>
            </c:numRef>
          </c:yVal>
          <c:smooth val="1"/>
          <c:extLst>
            <c:ext xmlns:c16="http://schemas.microsoft.com/office/drawing/2014/chart" uri="{C3380CC4-5D6E-409C-BE32-E72D297353CC}">
              <c16:uniqueId val="{00000003-A990-4ED0-A166-4B5A02BBF415}"/>
            </c:ext>
          </c:extLst>
        </c:ser>
        <c:dLbls>
          <c:showLegendKey val="0"/>
          <c:showVal val="0"/>
          <c:showCatName val="0"/>
          <c:showSerName val="0"/>
          <c:showPercent val="0"/>
          <c:showBubbleSize val="0"/>
        </c:dLbls>
        <c:axId val="543660288"/>
        <c:axId val="543658752"/>
      </c:scatterChart>
      <c:valAx>
        <c:axId val="224130176"/>
        <c:scaling>
          <c:orientation val="minMax"/>
          <c:max val="6"/>
        </c:scaling>
        <c:delete val="0"/>
        <c:axPos val="b"/>
        <c:majorGridlines/>
        <c:numFmt formatCode="General" sourceLinked="1"/>
        <c:majorTickMark val="out"/>
        <c:minorTickMark val="none"/>
        <c:tickLblPos val="nextTo"/>
        <c:crossAx val="224131712"/>
        <c:crosses val="autoZero"/>
        <c:crossBetween val="midCat"/>
      </c:valAx>
      <c:valAx>
        <c:axId val="224131712"/>
        <c:scaling>
          <c:orientation val="minMax"/>
          <c:max val="100"/>
          <c:min val="60"/>
        </c:scaling>
        <c:delete val="0"/>
        <c:axPos val="l"/>
        <c:majorGridlines/>
        <c:title>
          <c:overlay val="0"/>
          <c:txPr>
            <a:bodyPr rot="-5400000" vert="horz"/>
            <a:lstStyle/>
            <a:p>
              <a:pPr>
                <a:defRPr/>
              </a:pPr>
              <a:endParaRPr lang="en-US"/>
            </a:p>
          </c:txPr>
        </c:title>
        <c:numFmt formatCode="General" sourceLinked="1"/>
        <c:majorTickMark val="out"/>
        <c:minorTickMark val="none"/>
        <c:tickLblPos val="nextTo"/>
        <c:crossAx val="224130176"/>
        <c:crosses val="autoZero"/>
        <c:crossBetween val="midCat"/>
      </c:valAx>
      <c:valAx>
        <c:axId val="543658752"/>
        <c:scaling>
          <c:orientation val="minMax"/>
        </c:scaling>
        <c:delete val="0"/>
        <c:axPos val="r"/>
        <c:numFmt formatCode="General" sourceLinked="1"/>
        <c:majorTickMark val="out"/>
        <c:minorTickMark val="none"/>
        <c:tickLblPos val="nextTo"/>
        <c:crossAx val="543660288"/>
        <c:crosses val="max"/>
        <c:crossBetween val="midCat"/>
      </c:valAx>
      <c:valAx>
        <c:axId val="543660288"/>
        <c:scaling>
          <c:orientation val="minMax"/>
        </c:scaling>
        <c:delete val="1"/>
        <c:axPos val="b"/>
        <c:numFmt formatCode="General" sourceLinked="1"/>
        <c:majorTickMark val="out"/>
        <c:minorTickMark val="none"/>
        <c:tickLblPos val="nextTo"/>
        <c:crossAx val="543658752"/>
        <c:crosses val="autoZero"/>
        <c:crossBetween val="midCat"/>
      </c:valAx>
    </c:plotArea>
    <c:legend>
      <c:legendPos val="r"/>
      <c:overlay val="1"/>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2400"/>
            </a:pPr>
            <a:r>
              <a:rPr lang="el-GR" sz="2400"/>
              <a:t>η</a:t>
            </a:r>
            <a:endParaRPr lang="en-US" sz="2400"/>
          </a:p>
        </c:rich>
      </c:tx>
      <c:layout>
        <c:manualLayout>
          <c:xMode val="edge"/>
          <c:yMode val="edge"/>
          <c:x val="9.2321838295158831E-2"/>
          <c:y val="6.7069081153588199E-3"/>
        </c:manualLayout>
      </c:layout>
      <c:overlay val="1"/>
    </c:title>
    <c:autoTitleDeleted val="0"/>
    <c:plotArea>
      <c:layout>
        <c:manualLayout>
          <c:layoutTarget val="inner"/>
          <c:xMode val="edge"/>
          <c:yMode val="edge"/>
          <c:x val="9.4343575816580413E-2"/>
          <c:y val="0.12777504924560487"/>
          <c:w val="0.82170691922728745"/>
          <c:h val="0.74982770867653059"/>
        </c:manualLayout>
      </c:layout>
      <c:scatterChart>
        <c:scatterStyle val="smoothMarker"/>
        <c:varyColors val="0"/>
        <c:ser>
          <c:idx val="0"/>
          <c:order val="0"/>
          <c:tx>
            <c:v>Eff</c:v>
          </c:tx>
          <c:spPr>
            <a:ln>
              <a:solidFill>
                <a:srgbClr val="FF0000"/>
              </a:solidFill>
            </a:ln>
          </c:spPr>
          <c:marker>
            <c:symbol val="none"/>
          </c:marker>
          <c:xVal>
            <c:numRef>
              <c:f>Eff_vs_VIN!$T$7:$T$157</c:f>
              <c:numCache>
                <c:formatCode>General</c:formatCode>
                <c:ptCount val="151"/>
                <c:pt idx="0">
                  <c:v>18</c:v>
                </c:pt>
                <c:pt idx="1">
                  <c:v>18.28</c:v>
                </c:pt>
                <c:pt idx="2">
                  <c:v>18.559999999999999</c:v>
                </c:pt>
                <c:pt idx="3">
                  <c:v>18.84</c:v>
                </c:pt>
                <c:pt idx="4">
                  <c:v>19.12</c:v>
                </c:pt>
                <c:pt idx="5">
                  <c:v>19.399999999999999</c:v>
                </c:pt>
                <c:pt idx="6">
                  <c:v>19.68</c:v>
                </c:pt>
                <c:pt idx="7">
                  <c:v>19.96</c:v>
                </c:pt>
                <c:pt idx="8">
                  <c:v>20.240000000000002</c:v>
                </c:pt>
                <c:pt idx="9">
                  <c:v>20.52</c:v>
                </c:pt>
                <c:pt idx="10">
                  <c:v>20.8</c:v>
                </c:pt>
                <c:pt idx="11">
                  <c:v>21.08</c:v>
                </c:pt>
                <c:pt idx="12">
                  <c:v>21.36</c:v>
                </c:pt>
                <c:pt idx="13">
                  <c:v>21.64</c:v>
                </c:pt>
                <c:pt idx="14">
                  <c:v>21.92</c:v>
                </c:pt>
                <c:pt idx="15">
                  <c:v>22.2</c:v>
                </c:pt>
                <c:pt idx="16">
                  <c:v>22.48</c:v>
                </c:pt>
                <c:pt idx="17">
                  <c:v>22.76</c:v>
                </c:pt>
                <c:pt idx="18">
                  <c:v>23.04</c:v>
                </c:pt>
                <c:pt idx="19">
                  <c:v>23.32</c:v>
                </c:pt>
                <c:pt idx="20">
                  <c:v>23.6</c:v>
                </c:pt>
                <c:pt idx="21">
                  <c:v>23.880000000000003</c:v>
                </c:pt>
                <c:pt idx="22">
                  <c:v>24.16</c:v>
                </c:pt>
                <c:pt idx="23">
                  <c:v>24.44</c:v>
                </c:pt>
                <c:pt idx="24">
                  <c:v>24.72</c:v>
                </c:pt>
                <c:pt idx="25">
                  <c:v>25</c:v>
                </c:pt>
                <c:pt idx="26">
                  <c:v>25.28</c:v>
                </c:pt>
                <c:pt idx="27">
                  <c:v>25.560000000000002</c:v>
                </c:pt>
                <c:pt idx="28">
                  <c:v>25.84</c:v>
                </c:pt>
                <c:pt idx="29">
                  <c:v>26.12</c:v>
                </c:pt>
                <c:pt idx="30">
                  <c:v>26.4</c:v>
                </c:pt>
                <c:pt idx="31">
                  <c:v>26.68</c:v>
                </c:pt>
                <c:pt idx="32">
                  <c:v>26.96</c:v>
                </c:pt>
                <c:pt idx="33">
                  <c:v>27.240000000000002</c:v>
                </c:pt>
                <c:pt idx="34">
                  <c:v>27.520000000000003</c:v>
                </c:pt>
                <c:pt idx="35">
                  <c:v>27.8</c:v>
                </c:pt>
                <c:pt idx="36">
                  <c:v>28.080000000000002</c:v>
                </c:pt>
                <c:pt idx="37">
                  <c:v>28.36</c:v>
                </c:pt>
                <c:pt idx="38">
                  <c:v>28.64</c:v>
                </c:pt>
                <c:pt idx="39">
                  <c:v>28.92</c:v>
                </c:pt>
                <c:pt idx="40">
                  <c:v>29.200000000000003</c:v>
                </c:pt>
                <c:pt idx="41">
                  <c:v>29.48</c:v>
                </c:pt>
                <c:pt idx="42">
                  <c:v>29.76</c:v>
                </c:pt>
                <c:pt idx="43">
                  <c:v>30.04</c:v>
                </c:pt>
                <c:pt idx="44">
                  <c:v>30.32</c:v>
                </c:pt>
                <c:pt idx="45">
                  <c:v>30.6</c:v>
                </c:pt>
                <c:pt idx="46">
                  <c:v>30.880000000000003</c:v>
                </c:pt>
                <c:pt idx="47">
                  <c:v>31.160000000000004</c:v>
                </c:pt>
                <c:pt idx="48">
                  <c:v>31.44</c:v>
                </c:pt>
                <c:pt idx="49">
                  <c:v>31.72</c:v>
                </c:pt>
                <c:pt idx="50">
                  <c:v>32</c:v>
                </c:pt>
                <c:pt idx="51">
                  <c:v>32.28</c:v>
                </c:pt>
                <c:pt idx="52">
                  <c:v>32.56</c:v>
                </c:pt>
                <c:pt idx="53">
                  <c:v>32.840000000000003</c:v>
                </c:pt>
                <c:pt idx="54">
                  <c:v>33.120000000000005</c:v>
                </c:pt>
                <c:pt idx="55">
                  <c:v>33.400000000000006</c:v>
                </c:pt>
                <c:pt idx="56">
                  <c:v>33.68</c:v>
                </c:pt>
                <c:pt idx="57">
                  <c:v>33.96</c:v>
                </c:pt>
                <c:pt idx="58">
                  <c:v>34.24</c:v>
                </c:pt>
                <c:pt idx="59">
                  <c:v>34.520000000000003</c:v>
                </c:pt>
                <c:pt idx="60">
                  <c:v>34.799999999999997</c:v>
                </c:pt>
                <c:pt idx="61">
                  <c:v>35.08</c:v>
                </c:pt>
                <c:pt idx="62">
                  <c:v>35.36</c:v>
                </c:pt>
                <c:pt idx="63">
                  <c:v>35.64</c:v>
                </c:pt>
                <c:pt idx="64">
                  <c:v>35.92</c:v>
                </c:pt>
                <c:pt idx="65">
                  <c:v>36.200000000000003</c:v>
                </c:pt>
                <c:pt idx="66">
                  <c:v>36.480000000000004</c:v>
                </c:pt>
                <c:pt idx="67">
                  <c:v>36.760000000000005</c:v>
                </c:pt>
                <c:pt idx="68">
                  <c:v>37.040000000000006</c:v>
                </c:pt>
                <c:pt idx="69">
                  <c:v>37.32</c:v>
                </c:pt>
                <c:pt idx="70">
                  <c:v>37.6</c:v>
                </c:pt>
                <c:pt idx="71">
                  <c:v>37.880000000000003</c:v>
                </c:pt>
                <c:pt idx="72">
                  <c:v>38.160000000000004</c:v>
                </c:pt>
                <c:pt idx="73">
                  <c:v>38.44</c:v>
                </c:pt>
                <c:pt idx="74">
                  <c:v>38.72</c:v>
                </c:pt>
                <c:pt idx="75">
                  <c:v>39</c:v>
                </c:pt>
                <c:pt idx="76">
                  <c:v>39.28</c:v>
                </c:pt>
                <c:pt idx="77">
                  <c:v>39.56</c:v>
                </c:pt>
                <c:pt idx="78">
                  <c:v>39.840000000000003</c:v>
                </c:pt>
                <c:pt idx="79">
                  <c:v>40.120000000000005</c:v>
                </c:pt>
                <c:pt idx="80">
                  <c:v>40.400000000000006</c:v>
                </c:pt>
                <c:pt idx="81">
                  <c:v>40.680000000000007</c:v>
                </c:pt>
                <c:pt idx="82">
                  <c:v>40.96</c:v>
                </c:pt>
                <c:pt idx="83">
                  <c:v>41.24</c:v>
                </c:pt>
                <c:pt idx="84">
                  <c:v>41.52</c:v>
                </c:pt>
                <c:pt idx="85">
                  <c:v>41.8</c:v>
                </c:pt>
                <c:pt idx="86">
                  <c:v>42.08</c:v>
                </c:pt>
                <c:pt idx="87">
                  <c:v>42.36</c:v>
                </c:pt>
                <c:pt idx="88">
                  <c:v>42.64</c:v>
                </c:pt>
                <c:pt idx="89">
                  <c:v>42.92</c:v>
                </c:pt>
                <c:pt idx="90">
                  <c:v>43.2</c:v>
                </c:pt>
                <c:pt idx="91">
                  <c:v>43.480000000000004</c:v>
                </c:pt>
                <c:pt idx="92">
                  <c:v>43.760000000000005</c:v>
                </c:pt>
                <c:pt idx="93">
                  <c:v>44.040000000000006</c:v>
                </c:pt>
                <c:pt idx="94">
                  <c:v>44.320000000000007</c:v>
                </c:pt>
                <c:pt idx="95">
                  <c:v>44.6</c:v>
                </c:pt>
                <c:pt idx="96">
                  <c:v>44.88</c:v>
                </c:pt>
                <c:pt idx="97">
                  <c:v>45.160000000000004</c:v>
                </c:pt>
                <c:pt idx="98">
                  <c:v>45.44</c:v>
                </c:pt>
                <c:pt idx="99">
                  <c:v>45.72</c:v>
                </c:pt>
                <c:pt idx="100">
                  <c:v>46</c:v>
                </c:pt>
                <c:pt idx="101">
                  <c:v>46.28</c:v>
                </c:pt>
                <c:pt idx="102">
                  <c:v>46.56</c:v>
                </c:pt>
                <c:pt idx="103">
                  <c:v>46.84</c:v>
                </c:pt>
                <c:pt idx="104">
                  <c:v>47.120000000000005</c:v>
                </c:pt>
                <c:pt idx="105">
                  <c:v>47.400000000000006</c:v>
                </c:pt>
                <c:pt idx="106">
                  <c:v>47.680000000000007</c:v>
                </c:pt>
                <c:pt idx="107">
                  <c:v>47.960000000000008</c:v>
                </c:pt>
                <c:pt idx="108">
                  <c:v>48.24</c:v>
                </c:pt>
                <c:pt idx="109">
                  <c:v>48.52</c:v>
                </c:pt>
                <c:pt idx="110">
                  <c:v>48.800000000000004</c:v>
                </c:pt>
                <c:pt idx="111">
                  <c:v>49.08</c:v>
                </c:pt>
                <c:pt idx="112">
                  <c:v>49.36</c:v>
                </c:pt>
                <c:pt idx="113">
                  <c:v>49.64</c:v>
                </c:pt>
                <c:pt idx="114">
                  <c:v>49.92</c:v>
                </c:pt>
                <c:pt idx="115">
                  <c:v>50.2</c:v>
                </c:pt>
                <c:pt idx="116">
                  <c:v>50.480000000000004</c:v>
                </c:pt>
                <c:pt idx="117">
                  <c:v>50.760000000000005</c:v>
                </c:pt>
                <c:pt idx="118">
                  <c:v>51.040000000000006</c:v>
                </c:pt>
                <c:pt idx="119">
                  <c:v>51.32</c:v>
                </c:pt>
                <c:pt idx="120">
                  <c:v>51.6</c:v>
                </c:pt>
                <c:pt idx="121">
                  <c:v>51.88</c:v>
                </c:pt>
                <c:pt idx="122">
                  <c:v>52.160000000000004</c:v>
                </c:pt>
                <c:pt idx="123">
                  <c:v>52.440000000000005</c:v>
                </c:pt>
                <c:pt idx="124">
                  <c:v>52.720000000000006</c:v>
                </c:pt>
                <c:pt idx="125">
                  <c:v>53</c:v>
                </c:pt>
                <c:pt idx="126">
                  <c:v>53.28</c:v>
                </c:pt>
                <c:pt idx="127">
                  <c:v>53.56</c:v>
                </c:pt>
                <c:pt idx="128">
                  <c:v>53.84</c:v>
                </c:pt>
                <c:pt idx="129">
                  <c:v>54.120000000000005</c:v>
                </c:pt>
                <c:pt idx="130">
                  <c:v>54.400000000000006</c:v>
                </c:pt>
                <c:pt idx="131">
                  <c:v>54.680000000000007</c:v>
                </c:pt>
                <c:pt idx="132">
                  <c:v>54.96</c:v>
                </c:pt>
                <c:pt idx="133">
                  <c:v>55.24</c:v>
                </c:pt>
                <c:pt idx="134">
                  <c:v>55.52</c:v>
                </c:pt>
                <c:pt idx="135">
                  <c:v>55.800000000000004</c:v>
                </c:pt>
                <c:pt idx="136">
                  <c:v>56.080000000000005</c:v>
                </c:pt>
                <c:pt idx="137">
                  <c:v>56.360000000000007</c:v>
                </c:pt>
                <c:pt idx="138">
                  <c:v>56.64</c:v>
                </c:pt>
                <c:pt idx="139">
                  <c:v>56.92</c:v>
                </c:pt>
                <c:pt idx="140">
                  <c:v>57.2</c:v>
                </c:pt>
                <c:pt idx="141">
                  <c:v>57.480000000000004</c:v>
                </c:pt>
                <c:pt idx="142">
                  <c:v>57.760000000000005</c:v>
                </c:pt>
                <c:pt idx="143">
                  <c:v>58.040000000000006</c:v>
                </c:pt>
                <c:pt idx="144">
                  <c:v>58.320000000000007</c:v>
                </c:pt>
                <c:pt idx="145">
                  <c:v>58.6</c:v>
                </c:pt>
                <c:pt idx="146">
                  <c:v>58.88</c:v>
                </c:pt>
                <c:pt idx="147">
                  <c:v>59.160000000000004</c:v>
                </c:pt>
                <c:pt idx="148">
                  <c:v>59.440000000000005</c:v>
                </c:pt>
                <c:pt idx="149">
                  <c:v>59.720000000000006</c:v>
                </c:pt>
                <c:pt idx="150">
                  <c:v>60.000000000000007</c:v>
                </c:pt>
              </c:numCache>
            </c:numRef>
          </c:xVal>
          <c:yVal>
            <c:numRef>
              <c:f>Eff_vs_VIN!$AW$7:$AW$157</c:f>
              <c:numCache>
                <c:formatCode>General</c:formatCode>
                <c:ptCount val="151"/>
                <c:pt idx="0">
                  <c:v>98.235671876908697</c:v>
                </c:pt>
                <c:pt idx="1">
                  <c:v>98.263806568894481</c:v>
                </c:pt>
                <c:pt idx="2">
                  <c:v>98.290560067316235</c:v>
                </c:pt>
                <c:pt idx="3">
                  <c:v>98.316019785866558</c:v>
                </c:pt>
                <c:pt idx="4">
                  <c:v>98.340267275170362</c:v>
                </c:pt>
                <c:pt idx="5">
                  <c:v>98.363378699037014</c:v>
                </c:pt>
                <c:pt idx="6">
                  <c:v>98.385425265165978</c:v>
                </c:pt>
                <c:pt idx="7">
                  <c:v>98.406473615208895</c:v>
                </c:pt>
                <c:pt idx="8">
                  <c:v>98.426586178506412</c:v>
                </c:pt>
                <c:pt idx="9">
                  <c:v>98.445821493309197</c:v>
                </c:pt>
                <c:pt idx="10">
                  <c:v>98.464234498850914</c:v>
                </c:pt>
                <c:pt idx="11">
                  <c:v>98.481876801253236</c:v>
                </c:pt>
                <c:pt idx="12">
                  <c:v>98.498796915906127</c:v>
                </c:pt>
                <c:pt idx="13">
                  <c:v>98.515040488669726</c:v>
                </c:pt>
                <c:pt idx="14">
                  <c:v>98.530650497985562</c:v>
                </c:pt>
                <c:pt idx="15">
                  <c:v>98.545667439755761</c:v>
                </c:pt>
                <c:pt idx="16">
                  <c:v>98.560129496648599</c:v>
                </c:pt>
                <c:pt idx="17">
                  <c:v>98.574072693311649</c:v>
                </c:pt>
                <c:pt idx="18">
                  <c:v>98.587531038817318</c:v>
                </c:pt>
                <c:pt idx="19">
                  <c:v>98.600536657527556</c:v>
                </c:pt>
                <c:pt idx="20">
                  <c:v>98.613119909441764</c:v>
                </c:pt>
                <c:pt idx="21">
                  <c:v>98.625309500984102</c:v>
                </c:pt>
                <c:pt idx="22">
                  <c:v>98.637132587088772</c:v>
                </c:pt>
                <c:pt idx="23">
                  <c:v>98.648614865357757</c:v>
                </c:pt>
                <c:pt idx="24">
                  <c:v>98.659780662987544</c:v>
                </c:pt>
                <c:pt idx="25">
                  <c:v>98.670653017094509</c:v>
                </c:pt>
                <c:pt idx="26">
                  <c:v>98.681253749007169</c:v>
                </c:pt>
                <c:pt idx="27">
                  <c:v>98.691603533039483</c:v>
                </c:pt>
                <c:pt idx="28">
                  <c:v>98.70172196021079</c:v>
                </c:pt>
                <c:pt idx="29">
                  <c:v>98.711627597334243</c:v>
                </c:pt>
                <c:pt idx="30">
                  <c:v>98.72133804185664</c:v>
                </c:pt>
                <c:pt idx="31">
                  <c:v>98.730869972797535</c:v>
                </c:pt>
                <c:pt idx="32">
                  <c:v>98.740239198103595</c:v>
                </c:pt>
                <c:pt idx="33">
                  <c:v>98.749460698706386</c:v>
                </c:pt>
                <c:pt idx="34">
                  <c:v>98.75854866954549</c:v>
                </c:pt>
                <c:pt idx="35">
                  <c:v>98.767516557796199</c:v>
                </c:pt>
                <c:pt idx="36">
                  <c:v>98.776377098520243</c:v>
                </c:pt>
                <c:pt idx="37">
                  <c:v>98.785142347938674</c:v>
                </c:pt>
                <c:pt idx="38">
                  <c:v>98.793823714509514</c:v>
                </c:pt>
                <c:pt idx="39">
                  <c:v>98.802431987977172</c:v>
                </c:pt>
                <c:pt idx="40">
                  <c:v>98.810977366546325</c:v>
                </c:pt>
                <c:pt idx="41">
                  <c:v>98.819469482320869</c:v>
                </c:pt>
                <c:pt idx="42">
                  <c:v>98.827917425136278</c:v>
                </c:pt>
                <c:pt idx="43">
                  <c:v>98.836329764904079</c:v>
                </c:pt>
                <c:pt idx="44">
                  <c:v>98.844714572576635</c:v>
                </c:pt>
                <c:pt idx="45">
                  <c:v>98.85307943983274</c:v>
                </c:pt>
                <c:pt idx="46">
                  <c:v>98.861431497575751</c:v>
                </c:pt>
                <c:pt idx="47">
                  <c:v>98.869777433329403</c:v>
                </c:pt>
                <c:pt idx="48">
                  <c:v>98.878123507609644</c:v>
                </c:pt>
                <c:pt idx="49">
                  <c:v>98.886475569344483</c:v>
                </c:pt>
                <c:pt idx="50">
                  <c:v>98.894839070408992</c:v>
                </c:pt>
                <c:pt idx="51">
                  <c:v>98.903219079337134</c:v>
                </c:pt>
                <c:pt idx="52">
                  <c:v>98.911620294267507</c:v>
                </c:pt>
                <c:pt idx="53">
                  <c:v>98.920047055176042</c:v>
                </c:pt>
                <c:pt idx="54">
                  <c:v>98.928503355444661</c:v>
                </c:pt>
                <c:pt idx="55">
                  <c:v>98.936992852811642</c:v>
                </c:pt>
                <c:pt idx="56">
                  <c:v>98.945518879745734</c:v>
                </c:pt>
                <c:pt idx="57">
                  <c:v>98.954084453283585</c:v>
                </c:pt>
                <c:pt idx="58">
                  <c:v>98.962692284366767</c:v>
                </c:pt>
                <c:pt idx="59">
                  <c:v>98.97134478671282</c:v>
                </c:pt>
                <c:pt idx="60">
                  <c:v>98.980044085251691</c:v>
                </c:pt>
                <c:pt idx="61">
                  <c:v>98.988792024157419</c:v>
                </c:pt>
                <c:pt idx="62">
                  <c:v>98.997590174502534</c:v>
                </c:pt>
                <c:pt idx="63">
                  <c:v>99.00643984156126</c:v>
                </c:pt>
                <c:pt idx="64">
                  <c:v>99.015342071785312</c:v>
                </c:pt>
                <c:pt idx="65">
                  <c:v>99.024297659475351</c:v>
                </c:pt>
                <c:pt idx="66">
                  <c:v>99.033307153169005</c:v>
                </c:pt>
                <c:pt idx="67">
                  <c:v>99.042370861765491</c:v>
                </c:pt>
                <c:pt idx="68">
                  <c:v>99.051488860405797</c:v>
                </c:pt>
                <c:pt idx="69">
                  <c:v>99.060660996125605</c:v>
                </c:pt>
                <c:pt idx="70">
                  <c:v>99.069886893298019</c:v>
                </c:pt>
                <c:pt idx="71">
                  <c:v>99.079165958881504</c:v>
                </c:pt>
                <c:pt idx="72">
                  <c:v>99.088497387487948</c:v>
                </c:pt>
                <c:pt idx="73">
                  <c:v>99.097880166285108</c:v>
                </c:pt>
                <c:pt idx="74">
                  <c:v>99.107313079746106</c:v>
                </c:pt>
                <c:pt idx="75">
                  <c:v>99.116794714259569</c:v>
                </c:pt>
                <c:pt idx="76">
                  <c:v>99.126323462611566</c:v>
                </c:pt>
                <c:pt idx="77">
                  <c:v>99.135897528351364</c:v>
                </c:pt>
                <c:pt idx="78">
                  <c:v>99.145514930051803</c:v>
                </c:pt>
                <c:pt idx="79">
                  <c:v>99.155173505474806</c:v>
                </c:pt>
                <c:pt idx="80">
                  <c:v>99.164870915652131</c:v>
                </c:pt>
                <c:pt idx="81">
                  <c:v>99.174604648891147</c:v>
                </c:pt>
                <c:pt idx="82">
                  <c:v>99.184372024714861</c:v>
                </c:pt>
                <c:pt idx="83">
                  <c:v>99.194170197745549</c:v>
                </c:pt>
                <c:pt idx="84">
                  <c:v>99.203996161540559</c:v>
                </c:pt>
                <c:pt idx="85">
                  <c:v>99.213846752389074</c:v>
                </c:pt>
                <c:pt idx="86">
                  <c:v>99.223718653078024</c:v>
                </c:pt>
                <c:pt idx="87">
                  <c:v>99.233608396635873</c:v>
                </c:pt>
                <c:pt idx="88">
                  <c:v>99.243512370061623</c:v>
                </c:pt>
                <c:pt idx="89">
                  <c:v>99.253426818048013</c:v>
                </c:pt>
                <c:pt idx="90">
                  <c:v>99.263347846706012</c:v>
                </c:pt>
                <c:pt idx="91">
                  <c:v>99.27327142729915</c:v>
                </c:pt>
                <c:pt idx="92">
                  <c:v>99.283193399995469</c:v>
                </c:pt>
                <c:pt idx="93">
                  <c:v>99.29310947764489</c:v>
                </c:pt>
                <c:pt idx="94">
                  <c:v>99.303015249590473</c:v>
                </c:pt>
                <c:pt idx="95">
                  <c:v>99.312906185521328</c:v>
                </c:pt>
                <c:pt idx="96">
                  <c:v>99.322777639375886</c:v>
                </c:pt>
                <c:pt idx="97">
                  <c:v>99.332624853303841</c:v>
                </c:pt>
                <c:pt idx="98">
                  <c:v>99.342442961695724</c:v>
                </c:pt>
                <c:pt idx="99">
                  <c:v>99.352226995289101</c:v>
                </c:pt>
                <c:pt idx="100">
                  <c:v>99.361971885360802</c:v>
                </c:pt>
                <c:pt idx="101">
                  <c:v>99.371672468015177</c:v>
                </c:pt>
                <c:pt idx="102">
                  <c:v>99.381323488578502</c:v>
                </c:pt>
                <c:pt idx="103">
                  <c:v>99.3909196061106</c:v>
                </c:pt>
                <c:pt idx="104">
                  <c:v>99.40045539804494</c:v>
                </c:pt>
                <c:pt idx="105">
                  <c:v>99.409925364969624</c:v>
                </c:pt>
                <c:pt idx="106">
                  <c:v>99.419323935562119</c:v>
                </c:pt>
                <c:pt idx="107">
                  <c:v>99.428645471691823</c:v>
                </c:pt>
                <c:pt idx="108">
                  <c:v>99.437884273705308</c:v>
                </c:pt>
                <c:pt idx="109">
                  <c:v>99.447034585910615</c:v>
                </c:pt>
                <c:pt idx="110">
                  <c:v>99.456090602278209</c:v>
                </c:pt>
                <c:pt idx="111">
                  <c:v>99.465046472377466</c:v>
                </c:pt>
                <c:pt idx="112">
                  <c:v>99.473896307570371</c:v>
                </c:pt>
                <c:pt idx="113">
                  <c:v>99.482634187484607</c:v>
                </c:pt>
                <c:pt idx="114">
                  <c:v>99.491254166792373</c:v>
                </c:pt>
                <c:pt idx="115">
                  <c:v>99.499750282322594</c:v>
                </c:pt>
                <c:pt idx="116">
                  <c:v>99.50811656053807</c:v>
                </c:pt>
                <c:pt idx="117">
                  <c:v>99.516347025412912</c:v>
                </c:pt>
                <c:pt idx="118">
                  <c:v>99.524435706749358</c:v>
                </c:pt>
                <c:pt idx="119">
                  <c:v>99.532376648978769</c:v>
                </c:pt>
                <c:pt idx="120">
                  <c:v>99.540163920496965</c:v>
                </c:pt>
                <c:pt idx="121">
                  <c:v>99.547791623591451</c:v>
                </c:pt>
                <c:pt idx="122">
                  <c:v>99.555253905026234</c:v>
                </c:pt>
                <c:pt idx="123">
                  <c:v>99.562544967359784</c:v>
                </c:pt>
                <c:pt idx="124">
                  <c:v>99.569659081083444</c:v>
                </c:pt>
                <c:pt idx="125">
                  <c:v>99.57659059768244</c:v>
                </c:pt>
                <c:pt idx="126">
                  <c:v>99.583333963738227</c:v>
                </c:pt>
                <c:pt idx="127">
                  <c:v>99.589883736212798</c:v>
                </c:pt>
                <c:pt idx="128">
                  <c:v>99.596234599081697</c:v>
                </c:pt>
                <c:pt idx="129">
                  <c:v>99.602381381514903</c:v>
                </c:pt>
                <c:pt idx="130">
                  <c:v>99.608319077846019</c:v>
                </c:pt>
                <c:pt idx="131">
                  <c:v>99.61404286962204</c:v>
                </c:pt>
                <c:pt idx="132">
                  <c:v>99.619548150092371</c:v>
                </c:pt>
                <c:pt idx="133">
                  <c:v>99.624830551582875</c:v>
                </c:pt>
                <c:pt idx="134">
                  <c:v>99.62988597631346</c:v>
                </c:pt>
                <c:pt idx="135">
                  <c:v>99.634710631370311</c:v>
                </c:pt>
                <c:pt idx="136">
                  <c:v>99.639301068748892</c:v>
                </c:pt>
                <c:pt idx="137">
                  <c:v>99.643654231668449</c:v>
                </c:pt>
                <c:pt idx="138">
                  <c:v>99.647767508759173</c:v>
                </c:pt>
                <c:pt idx="139">
                  <c:v>99.651638798302073</c:v>
                </c:pt>
                <c:pt idx="140">
                  <c:v>99.655266585559573</c:v>
                </c:pt>
                <c:pt idx="141">
                  <c:v>99.658650037547957</c:v>
                </c:pt>
                <c:pt idx="142">
                  <c:v>99.661789121687576</c:v>
                </c:pt>
                <c:pt idx="143">
                  <c:v>99.66468475822343</c:v>
                </c:pt>
                <c:pt idx="144">
                  <c:v>99.667339022356003</c:v>
                </c:pt>
                <c:pt idx="145">
                  <c:v>99.669755423321931</c:v>
                </c:pt>
                <c:pt idx="146">
                  <c:v>99.671939310658388</c:v>
                </c:pt>
                <c:pt idx="147">
                  <c:v>99.673898510341189</c:v>
                </c:pt>
                <c:pt idx="148">
                  <c:v>99.675644434544523</c:v>
                </c:pt>
                <c:pt idx="149">
                  <c:v>99.677194404385062</c:v>
                </c:pt>
                <c:pt idx="150">
                  <c:v>0</c:v>
                </c:pt>
              </c:numCache>
            </c:numRef>
          </c:yVal>
          <c:smooth val="0"/>
          <c:extLst>
            <c:ext xmlns:c16="http://schemas.microsoft.com/office/drawing/2014/chart" uri="{C3380CC4-5D6E-409C-BE32-E72D297353CC}">
              <c16:uniqueId val="{00000000-A9EB-4B3D-B1F8-864F59D7502D}"/>
            </c:ext>
          </c:extLst>
        </c:ser>
        <c:dLbls>
          <c:showLegendKey val="0"/>
          <c:showVal val="0"/>
          <c:showCatName val="0"/>
          <c:showSerName val="0"/>
          <c:showPercent val="0"/>
          <c:showBubbleSize val="0"/>
        </c:dLbls>
        <c:axId val="361445248"/>
        <c:axId val="361446784"/>
      </c:scatterChart>
      <c:scatterChart>
        <c:scatterStyle val="smoothMarker"/>
        <c:varyColors val="0"/>
        <c:ser>
          <c:idx val="1"/>
          <c:order val="1"/>
          <c:tx>
            <c:v>LS MOSFET</c:v>
          </c:tx>
          <c:spPr>
            <a:ln>
              <a:solidFill>
                <a:schemeClr val="tx2">
                  <a:lumMod val="75000"/>
                </a:schemeClr>
              </a:solidFill>
              <a:prstDash val="dashDot"/>
            </a:ln>
          </c:spPr>
          <c:marker>
            <c:symbol val="none"/>
          </c:marker>
          <c:xVal>
            <c:numRef>
              <c:f>Eff_vs_VIN!$T$7:$T$157</c:f>
              <c:numCache>
                <c:formatCode>General</c:formatCode>
                <c:ptCount val="151"/>
                <c:pt idx="0">
                  <c:v>18</c:v>
                </c:pt>
                <c:pt idx="1">
                  <c:v>18.28</c:v>
                </c:pt>
                <c:pt idx="2">
                  <c:v>18.559999999999999</c:v>
                </c:pt>
                <c:pt idx="3">
                  <c:v>18.84</c:v>
                </c:pt>
                <c:pt idx="4">
                  <c:v>19.12</c:v>
                </c:pt>
                <c:pt idx="5">
                  <c:v>19.399999999999999</c:v>
                </c:pt>
                <c:pt idx="6">
                  <c:v>19.68</c:v>
                </c:pt>
                <c:pt idx="7">
                  <c:v>19.96</c:v>
                </c:pt>
                <c:pt idx="8">
                  <c:v>20.240000000000002</c:v>
                </c:pt>
                <c:pt idx="9">
                  <c:v>20.52</c:v>
                </c:pt>
                <c:pt idx="10">
                  <c:v>20.8</c:v>
                </c:pt>
                <c:pt idx="11">
                  <c:v>21.08</c:v>
                </c:pt>
                <c:pt idx="12">
                  <c:v>21.36</c:v>
                </c:pt>
                <c:pt idx="13">
                  <c:v>21.64</c:v>
                </c:pt>
                <c:pt idx="14">
                  <c:v>21.92</c:v>
                </c:pt>
                <c:pt idx="15">
                  <c:v>22.2</c:v>
                </c:pt>
                <c:pt idx="16">
                  <c:v>22.48</c:v>
                </c:pt>
                <c:pt idx="17">
                  <c:v>22.76</c:v>
                </c:pt>
                <c:pt idx="18">
                  <c:v>23.04</c:v>
                </c:pt>
                <c:pt idx="19">
                  <c:v>23.32</c:v>
                </c:pt>
                <c:pt idx="20">
                  <c:v>23.6</c:v>
                </c:pt>
                <c:pt idx="21">
                  <c:v>23.880000000000003</c:v>
                </c:pt>
                <c:pt idx="22">
                  <c:v>24.16</c:v>
                </c:pt>
                <c:pt idx="23">
                  <c:v>24.44</c:v>
                </c:pt>
                <c:pt idx="24">
                  <c:v>24.72</c:v>
                </c:pt>
                <c:pt idx="25">
                  <c:v>25</c:v>
                </c:pt>
                <c:pt idx="26">
                  <c:v>25.28</c:v>
                </c:pt>
                <c:pt idx="27">
                  <c:v>25.560000000000002</c:v>
                </c:pt>
                <c:pt idx="28">
                  <c:v>25.84</c:v>
                </c:pt>
                <c:pt idx="29">
                  <c:v>26.12</c:v>
                </c:pt>
                <c:pt idx="30">
                  <c:v>26.4</c:v>
                </c:pt>
                <c:pt idx="31">
                  <c:v>26.68</c:v>
                </c:pt>
                <c:pt idx="32">
                  <c:v>26.96</c:v>
                </c:pt>
                <c:pt idx="33">
                  <c:v>27.240000000000002</c:v>
                </c:pt>
                <c:pt idx="34">
                  <c:v>27.520000000000003</c:v>
                </c:pt>
                <c:pt idx="35">
                  <c:v>27.8</c:v>
                </c:pt>
                <c:pt idx="36">
                  <c:v>28.080000000000002</c:v>
                </c:pt>
                <c:pt idx="37">
                  <c:v>28.36</c:v>
                </c:pt>
                <c:pt idx="38">
                  <c:v>28.64</c:v>
                </c:pt>
                <c:pt idx="39">
                  <c:v>28.92</c:v>
                </c:pt>
                <c:pt idx="40">
                  <c:v>29.200000000000003</c:v>
                </c:pt>
                <c:pt idx="41">
                  <c:v>29.48</c:v>
                </c:pt>
                <c:pt idx="42">
                  <c:v>29.76</c:v>
                </c:pt>
                <c:pt idx="43">
                  <c:v>30.04</c:v>
                </c:pt>
                <c:pt idx="44">
                  <c:v>30.32</c:v>
                </c:pt>
                <c:pt idx="45">
                  <c:v>30.6</c:v>
                </c:pt>
                <c:pt idx="46">
                  <c:v>30.880000000000003</c:v>
                </c:pt>
                <c:pt idx="47">
                  <c:v>31.160000000000004</c:v>
                </c:pt>
                <c:pt idx="48">
                  <c:v>31.44</c:v>
                </c:pt>
                <c:pt idx="49">
                  <c:v>31.72</c:v>
                </c:pt>
                <c:pt idx="50">
                  <c:v>32</c:v>
                </c:pt>
                <c:pt idx="51">
                  <c:v>32.28</c:v>
                </c:pt>
                <c:pt idx="52">
                  <c:v>32.56</c:v>
                </c:pt>
                <c:pt idx="53">
                  <c:v>32.840000000000003</c:v>
                </c:pt>
                <c:pt idx="54">
                  <c:v>33.120000000000005</c:v>
                </c:pt>
                <c:pt idx="55">
                  <c:v>33.400000000000006</c:v>
                </c:pt>
                <c:pt idx="56">
                  <c:v>33.68</c:v>
                </c:pt>
                <c:pt idx="57">
                  <c:v>33.96</c:v>
                </c:pt>
                <c:pt idx="58">
                  <c:v>34.24</c:v>
                </c:pt>
                <c:pt idx="59">
                  <c:v>34.520000000000003</c:v>
                </c:pt>
                <c:pt idx="60">
                  <c:v>34.799999999999997</c:v>
                </c:pt>
                <c:pt idx="61">
                  <c:v>35.08</c:v>
                </c:pt>
                <c:pt idx="62">
                  <c:v>35.36</c:v>
                </c:pt>
                <c:pt idx="63">
                  <c:v>35.64</c:v>
                </c:pt>
                <c:pt idx="64">
                  <c:v>35.92</c:v>
                </c:pt>
                <c:pt idx="65">
                  <c:v>36.200000000000003</c:v>
                </c:pt>
                <c:pt idx="66">
                  <c:v>36.480000000000004</c:v>
                </c:pt>
                <c:pt idx="67">
                  <c:v>36.760000000000005</c:v>
                </c:pt>
                <c:pt idx="68">
                  <c:v>37.040000000000006</c:v>
                </c:pt>
                <c:pt idx="69">
                  <c:v>37.32</c:v>
                </c:pt>
                <c:pt idx="70">
                  <c:v>37.6</c:v>
                </c:pt>
                <c:pt idx="71">
                  <c:v>37.880000000000003</c:v>
                </c:pt>
                <c:pt idx="72">
                  <c:v>38.160000000000004</c:v>
                </c:pt>
                <c:pt idx="73">
                  <c:v>38.44</c:v>
                </c:pt>
                <c:pt idx="74">
                  <c:v>38.72</c:v>
                </c:pt>
                <c:pt idx="75">
                  <c:v>39</c:v>
                </c:pt>
                <c:pt idx="76">
                  <c:v>39.28</c:v>
                </c:pt>
                <c:pt idx="77">
                  <c:v>39.56</c:v>
                </c:pt>
                <c:pt idx="78">
                  <c:v>39.840000000000003</c:v>
                </c:pt>
                <c:pt idx="79">
                  <c:v>40.120000000000005</c:v>
                </c:pt>
                <c:pt idx="80">
                  <c:v>40.400000000000006</c:v>
                </c:pt>
                <c:pt idx="81">
                  <c:v>40.680000000000007</c:v>
                </c:pt>
                <c:pt idx="82">
                  <c:v>40.96</c:v>
                </c:pt>
                <c:pt idx="83">
                  <c:v>41.24</c:v>
                </c:pt>
                <c:pt idx="84">
                  <c:v>41.52</c:v>
                </c:pt>
                <c:pt idx="85">
                  <c:v>41.8</c:v>
                </c:pt>
                <c:pt idx="86">
                  <c:v>42.08</c:v>
                </c:pt>
                <c:pt idx="87">
                  <c:v>42.36</c:v>
                </c:pt>
                <c:pt idx="88">
                  <c:v>42.64</c:v>
                </c:pt>
                <c:pt idx="89">
                  <c:v>42.92</c:v>
                </c:pt>
                <c:pt idx="90">
                  <c:v>43.2</c:v>
                </c:pt>
                <c:pt idx="91">
                  <c:v>43.480000000000004</c:v>
                </c:pt>
                <c:pt idx="92">
                  <c:v>43.760000000000005</c:v>
                </c:pt>
                <c:pt idx="93">
                  <c:v>44.040000000000006</c:v>
                </c:pt>
                <c:pt idx="94">
                  <c:v>44.320000000000007</c:v>
                </c:pt>
                <c:pt idx="95">
                  <c:v>44.6</c:v>
                </c:pt>
                <c:pt idx="96">
                  <c:v>44.88</c:v>
                </c:pt>
                <c:pt idx="97">
                  <c:v>45.160000000000004</c:v>
                </c:pt>
                <c:pt idx="98">
                  <c:v>45.44</c:v>
                </c:pt>
                <c:pt idx="99">
                  <c:v>45.72</c:v>
                </c:pt>
                <c:pt idx="100">
                  <c:v>46</c:v>
                </c:pt>
                <c:pt idx="101">
                  <c:v>46.28</c:v>
                </c:pt>
                <c:pt idx="102">
                  <c:v>46.56</c:v>
                </c:pt>
                <c:pt idx="103">
                  <c:v>46.84</c:v>
                </c:pt>
                <c:pt idx="104">
                  <c:v>47.120000000000005</c:v>
                </c:pt>
                <c:pt idx="105">
                  <c:v>47.400000000000006</c:v>
                </c:pt>
                <c:pt idx="106">
                  <c:v>47.680000000000007</c:v>
                </c:pt>
                <c:pt idx="107">
                  <c:v>47.960000000000008</c:v>
                </c:pt>
                <c:pt idx="108">
                  <c:v>48.24</c:v>
                </c:pt>
                <c:pt idx="109">
                  <c:v>48.52</c:v>
                </c:pt>
                <c:pt idx="110">
                  <c:v>48.800000000000004</c:v>
                </c:pt>
                <c:pt idx="111">
                  <c:v>49.08</c:v>
                </c:pt>
                <c:pt idx="112">
                  <c:v>49.36</c:v>
                </c:pt>
                <c:pt idx="113">
                  <c:v>49.64</c:v>
                </c:pt>
                <c:pt idx="114">
                  <c:v>49.92</c:v>
                </c:pt>
                <c:pt idx="115">
                  <c:v>50.2</c:v>
                </c:pt>
                <c:pt idx="116">
                  <c:v>50.480000000000004</c:v>
                </c:pt>
                <c:pt idx="117">
                  <c:v>50.760000000000005</c:v>
                </c:pt>
                <c:pt idx="118">
                  <c:v>51.040000000000006</c:v>
                </c:pt>
                <c:pt idx="119">
                  <c:v>51.32</c:v>
                </c:pt>
                <c:pt idx="120">
                  <c:v>51.6</c:v>
                </c:pt>
                <c:pt idx="121">
                  <c:v>51.88</c:v>
                </c:pt>
                <c:pt idx="122">
                  <c:v>52.160000000000004</c:v>
                </c:pt>
                <c:pt idx="123">
                  <c:v>52.440000000000005</c:v>
                </c:pt>
                <c:pt idx="124">
                  <c:v>52.720000000000006</c:v>
                </c:pt>
                <c:pt idx="125">
                  <c:v>53</c:v>
                </c:pt>
                <c:pt idx="126">
                  <c:v>53.28</c:v>
                </c:pt>
                <c:pt idx="127">
                  <c:v>53.56</c:v>
                </c:pt>
                <c:pt idx="128">
                  <c:v>53.84</c:v>
                </c:pt>
                <c:pt idx="129">
                  <c:v>54.120000000000005</c:v>
                </c:pt>
                <c:pt idx="130">
                  <c:v>54.400000000000006</c:v>
                </c:pt>
                <c:pt idx="131">
                  <c:v>54.680000000000007</c:v>
                </c:pt>
                <c:pt idx="132">
                  <c:v>54.96</c:v>
                </c:pt>
                <c:pt idx="133">
                  <c:v>55.24</c:v>
                </c:pt>
                <c:pt idx="134">
                  <c:v>55.52</c:v>
                </c:pt>
                <c:pt idx="135">
                  <c:v>55.800000000000004</c:v>
                </c:pt>
                <c:pt idx="136">
                  <c:v>56.080000000000005</c:v>
                </c:pt>
                <c:pt idx="137">
                  <c:v>56.360000000000007</c:v>
                </c:pt>
                <c:pt idx="138">
                  <c:v>56.64</c:v>
                </c:pt>
                <c:pt idx="139">
                  <c:v>56.92</c:v>
                </c:pt>
                <c:pt idx="140">
                  <c:v>57.2</c:v>
                </c:pt>
                <c:pt idx="141">
                  <c:v>57.480000000000004</c:v>
                </c:pt>
                <c:pt idx="142">
                  <c:v>57.760000000000005</c:v>
                </c:pt>
                <c:pt idx="143">
                  <c:v>58.040000000000006</c:v>
                </c:pt>
                <c:pt idx="144">
                  <c:v>58.320000000000007</c:v>
                </c:pt>
                <c:pt idx="145">
                  <c:v>58.6</c:v>
                </c:pt>
                <c:pt idx="146">
                  <c:v>58.88</c:v>
                </c:pt>
                <c:pt idx="147">
                  <c:v>59.160000000000004</c:v>
                </c:pt>
                <c:pt idx="148">
                  <c:v>59.440000000000005</c:v>
                </c:pt>
                <c:pt idx="149">
                  <c:v>59.720000000000006</c:v>
                </c:pt>
                <c:pt idx="150">
                  <c:v>60.000000000000007</c:v>
                </c:pt>
              </c:numCache>
            </c:numRef>
          </c:xVal>
          <c:yVal>
            <c:numRef>
              <c:f>Eff_vs_VIN!$AI$7:$AI$157</c:f>
              <c:numCache>
                <c:formatCode>General</c:formatCode>
                <c:ptCount val="151"/>
                <c:pt idx="0">
                  <c:v>2.012852165291561</c:v>
                </c:pt>
                <c:pt idx="1">
                  <c:v>1.9726871881305414</c:v>
                </c:pt>
                <c:pt idx="2">
                  <c:v>1.934014775033541</c:v>
                </c:pt>
                <c:pt idx="3">
                  <c:v>1.8967558583951318</c:v>
                </c:pt>
                <c:pt idx="4">
                  <c:v>1.8608367174822993</c:v>
                </c:pt>
                <c:pt idx="5">
                  <c:v>1.8261885419603336</c:v>
                </c:pt>
                <c:pt idx="6">
                  <c:v>1.7927470369480654</c:v>
                </c:pt>
                <c:pt idx="7">
                  <c:v>1.7604520651106719</c:v>
                </c:pt>
                <c:pt idx="8">
                  <c:v>1.7292473218405289</c:v>
                </c:pt>
                <c:pt idx="9">
                  <c:v>1.6990800400468349</c:v>
                </c:pt>
                <c:pt idx="10">
                  <c:v>1.6699007214832517</c:v>
                </c:pt>
                <c:pt idx="11">
                  <c:v>1.6416628918985814</c:v>
                </c:pt>
                <c:pt idx="12">
                  <c:v>1.6143228776057965</c:v>
                </c:pt>
                <c:pt idx="13">
                  <c:v>1.5878396013360272</c:v>
                </c:pt>
                <c:pt idx="14">
                  <c:v>1.5621743954816112</c:v>
                </c:pt>
                <c:pt idx="15">
                  <c:v>1.5372908310407181</c:v>
                </c:pt>
                <c:pt idx="16">
                  <c:v>1.5131545607591774</c:v>
                </c:pt>
                <c:pt idx="17">
                  <c:v>1.4897331751263607</c:v>
                </c:pt>
                <c:pt idx="18">
                  <c:v>1.4669960700241278</c:v>
                </c:pt>
                <c:pt idx="19">
                  <c:v>1.4449143249534044</c:v>
                </c:pt>
                <c:pt idx="20">
                  <c:v>1.423460590874059</c:v>
                </c:pt>
                <c:pt idx="21">
                  <c:v>1.4026089867921279</c:v>
                </c:pt>
                <c:pt idx="22">
                  <c:v>1.3823350043158131</c:v>
                </c:pt>
                <c:pt idx="23">
                  <c:v>1.3626154194792464</c:v>
                </c:pt>
                <c:pt idx="24">
                  <c:v>1.3434282112021081</c:v>
                </c:pt>
                <c:pt idx="25">
                  <c:v>1.3247524858147304</c:v>
                </c:pt>
                <c:pt idx="26">
                  <c:v>1.3065684071332473</c:v>
                </c:pt>
                <c:pt idx="27">
                  <c:v>1.2888571316184345</c:v>
                </c:pt>
                <c:pt idx="28">
                  <c:v>1.2716007481958218</c:v>
                </c:pt>
                <c:pt idx="29">
                  <c:v>1.254782222353986</c:v>
                </c:pt>
                <c:pt idx="30">
                  <c:v>1.2383853441732569</c:v>
                </c:pt>
                <c:pt idx="31">
                  <c:v>1.2223946799687497</c:v>
                </c:pt>
                <c:pt idx="32">
                  <c:v>1.2067955272601729</c:v>
                </c:pt>
                <c:pt idx="33">
                  <c:v>1.1915738728064966</c:v>
                </c:pt>
                <c:pt idx="34">
                  <c:v>1.1767163534667222</c:v>
                </c:pt>
                <c:pt idx="35">
                  <c:v>1.162210219668856</c:v>
                </c:pt>
                <c:pt idx="36">
                  <c:v>1.1480433012880487</c:v>
                </c:pt>
                <c:pt idx="37">
                  <c:v>1.1342039757519047</c:v>
                </c:pt>
                <c:pt idx="38">
                  <c:v>1.1206811382064117</c:v>
                </c:pt>
                <c:pt idx="39">
                  <c:v>1.1074641735899087</c:v>
                </c:pt>
                <c:pt idx="40">
                  <c:v>1.0945429304752163</c:v>
                </c:pt>
                <c:pt idx="41">
                  <c:v>1.0819076965515531</c:v>
                </c:pt>
                <c:pt idx="42">
                  <c:v>1.0695491756283402</c:v>
                </c:pt>
                <c:pt idx="43">
                  <c:v>1.057458466052521</c:v>
                </c:pt>
                <c:pt idx="44">
                  <c:v>1.0456270404396832</c:v>
                </c:pt>
                <c:pt idx="45">
                  <c:v>1.0340467266271869</c:v>
                </c:pt>
                <c:pt idx="46">
                  <c:v>1.0227096897646994</c:v>
                </c:pt>
                <c:pt idx="47">
                  <c:v>1.0116084154641316</c:v>
                </c:pt>
                <c:pt idx="48">
                  <c:v>1.0007356939369731</c:v>
                </c:pt>
                <c:pt idx="49">
                  <c:v>0.99008460505253393</c:v>
                </c:pt>
                <c:pt idx="50">
                  <c:v>0.97964850425563232</c:v>
                </c:pt>
                <c:pt idx="51">
                  <c:v>0.96942100928687736</c:v>
                </c:pt>
                <c:pt idx="52">
                  <c:v>0.95939598765293166</c:v>
                </c:pt>
                <c:pt idx="53">
                  <c:v>0.9495675447980132</c:v>
                </c:pt>
                <c:pt idx="54">
                  <c:v>0.93993001293145884</c:v>
                </c:pt>
                <c:pt idx="55">
                  <c:v>0.93047794046945409</c:v>
                </c:pt>
                <c:pt idx="56">
                  <c:v>0.9212060820520318</c:v>
                </c:pt>
                <c:pt idx="57">
                  <c:v>0.91210938909922601</c:v>
                </c:pt>
                <c:pt idx="58">
                  <c:v>0.90318300087281222</c:v>
                </c:pt>
                <c:pt idx="59">
                  <c:v>0.89442223601241844</c:v>
                </c:pt>
                <c:pt idx="60">
                  <c:v>0.88582258451696549</c:v>
                </c:pt>
                <c:pt idx="61">
                  <c:v>0.87737970014438749</c:v>
                </c:pt>
                <c:pt idx="62">
                  <c:v>0.86908939320444534</c:v>
                </c:pt>
                <c:pt idx="63">
                  <c:v>0.86094762372114242</c:v>
                </c:pt>
                <c:pt idx="64">
                  <c:v>0.85295049494283837</c:v>
                </c:pt>
                <c:pt idx="65">
                  <c:v>0.84509424717962123</c:v>
                </c:pt>
                <c:pt idx="66">
                  <c:v>0.8373752519488431</c:v>
                </c:pt>
                <c:pt idx="67">
                  <c:v>0.82979000641098943</c:v>
                </c:pt>
                <c:pt idx="68">
                  <c:v>0.82233512807920639</c:v>
                </c:pt>
                <c:pt idx="69">
                  <c:v>0.81500734978689404</c:v>
                </c:pt>
                <c:pt idx="70">
                  <c:v>0.80780351489877411</c:v>
                </c:pt>
                <c:pt idx="71">
                  <c:v>0.80072057275176856</c:v>
                </c:pt>
                <c:pt idx="72">
                  <c:v>0.79375557431288901</c:v>
                </c:pt>
                <c:pt idx="73">
                  <c:v>0.78690566804214679</c:v>
                </c:pt>
                <c:pt idx="74">
                  <c:v>0.78016809594922987</c:v>
                </c:pt>
                <c:pt idx="75">
                  <c:v>0.77354018983339845</c:v>
                </c:pt>
                <c:pt idx="76">
                  <c:v>0.76701936769669521</c:v>
                </c:pt>
                <c:pt idx="77">
                  <c:v>0.76060313032116655</c:v>
                </c:pt>
                <c:pt idx="78">
                  <c:v>0.75428905800135815</c:v>
                </c:pt>
                <c:pt idx="79">
                  <c:v>0.74807480742387389</c:v>
                </c:pt>
                <c:pt idx="80">
                  <c:v>0.74195810868627432</c:v>
                </c:pt>
                <c:pt idx="81">
                  <c:v>0.73593676244804507</c:v>
                </c:pt>
                <c:pt idx="82">
                  <c:v>0.73000863720680353</c:v>
                </c:pt>
                <c:pt idx="83">
                  <c:v>0.72417166669330046</c:v>
                </c:pt>
                <c:pt idx="84">
                  <c:v>0.71842384737915232</c:v>
                </c:pt>
                <c:pt idx="85">
                  <c:v>0.71276323609158843</c:v>
                </c:pt>
                <c:pt idx="86">
                  <c:v>0.70718794772982319</c:v>
                </c:pt>
                <c:pt idx="87">
                  <c:v>0.70169615307797384</c:v>
                </c:pt>
                <c:pt idx="88">
                  <c:v>0.69628607670972076</c:v>
                </c:pt>
                <c:pt idx="89">
                  <c:v>0.69095599498019233</c:v>
                </c:pt>
                <c:pt idx="90">
                  <c:v>0.68570423410079173</c:v>
                </c:pt>
                <c:pt idx="91">
                  <c:v>0.6805291682929332</c:v>
                </c:pt>
                <c:pt idx="92">
                  <c:v>0.6754292180168644</c:v>
                </c:pt>
                <c:pt idx="93">
                  <c:v>0.67040284827197572</c:v>
                </c:pt>
                <c:pt idx="94">
                  <c:v>0.66544856696517496</c:v>
                </c:pt>
                <c:pt idx="95">
                  <c:v>0.6605649233441071</c:v>
                </c:pt>
                <c:pt idx="96">
                  <c:v>0.65575050649215616</c:v>
                </c:pt>
                <c:pt idx="97">
                  <c:v>0.65100394388234262</c:v>
                </c:pt>
                <c:pt idx="98">
                  <c:v>0.64632389998737239</c:v>
                </c:pt>
                <c:pt idx="99">
                  <c:v>0.64170907494324192</c:v>
                </c:pt>
                <c:pt idx="100">
                  <c:v>0.63715820326394135</c:v>
                </c:pt>
                <c:pt idx="101">
                  <c:v>0.63267005260491871</c:v>
                </c:pt>
                <c:pt idx="102">
                  <c:v>0.62824342257309762</c:v>
                </c:pt>
                <c:pt idx="103">
                  <c:v>0.62387714358134483</c:v>
                </c:pt>
                <c:pt idx="104">
                  <c:v>0.61957007574539813</c:v>
                </c:pt>
                <c:pt idx="105">
                  <c:v>0.61532110782136318</c:v>
                </c:pt>
                <c:pt idx="106">
                  <c:v>0.6111291561819816</c:v>
                </c:pt>
                <c:pt idx="107">
                  <c:v>0.60699316382996626</c:v>
                </c:pt>
                <c:pt idx="108">
                  <c:v>0.60291209944677981</c:v>
                </c:pt>
                <c:pt idx="109">
                  <c:v>0.59888495647531814</c:v>
                </c:pt>
                <c:pt idx="110">
                  <c:v>0.59491075223502998</c:v>
                </c:pt>
                <c:pt idx="111">
                  <c:v>0.59098852706808203</c:v>
                </c:pt>
                <c:pt idx="112">
                  <c:v>0.58711734351524059</c:v>
                </c:pt>
                <c:pt idx="113">
                  <c:v>0.58329628552020985</c:v>
                </c:pt>
                <c:pt idx="114">
                  <c:v>0.57952445766122296</c:v>
                </c:pt>
                <c:pt idx="115">
                  <c:v>0.57580098440874306</c:v>
                </c:pt>
                <c:pt idx="116">
                  <c:v>0.57212500940818589</c:v>
                </c:pt>
                <c:pt idx="117">
                  <c:v>0.56849569478662076</c:v>
                </c:pt>
                <c:pt idx="118">
                  <c:v>0.56491222048246548</c:v>
                </c:pt>
                <c:pt idx="119">
                  <c:v>0.56137378359722934</c:v>
                </c:pt>
                <c:pt idx="120">
                  <c:v>0.55787959776840157</c:v>
                </c:pt>
                <c:pt idx="121">
                  <c:v>0.55442889256263561</c:v>
                </c:pt>
                <c:pt idx="122">
                  <c:v>0.55102091288839661</c:v>
                </c:pt>
                <c:pt idx="123">
                  <c:v>0.54765491842730718</c:v>
                </c:pt>
                <c:pt idx="124">
                  <c:v>0.54433018308342995</c:v>
                </c:pt>
                <c:pt idx="125">
                  <c:v>0.54104599444978607</c:v>
                </c:pt>
                <c:pt idx="126">
                  <c:v>0.53780165329142238</c:v>
                </c:pt>
                <c:pt idx="127">
                  <c:v>0.53459647304438074</c:v>
                </c:pt>
                <c:pt idx="128">
                  <c:v>0.53142977932994717</c:v>
                </c:pt>
                <c:pt idx="129">
                  <c:v>0.52830090948358777</c:v>
                </c:pt>
                <c:pt idx="130">
                  <c:v>0.52520921209800242</c:v>
                </c:pt>
                <c:pt idx="131">
                  <c:v>0.52215404657975617</c:v>
                </c:pt>
                <c:pt idx="132">
                  <c:v>0.51913478271896696</c:v>
                </c:pt>
                <c:pt idx="133">
                  <c:v>0.51615080027155247</c:v>
                </c:pt>
                <c:pt idx="134">
                  <c:v>0.51320148855356562</c:v>
                </c:pt>
                <c:pt idx="135">
                  <c:v>0.51028624604715589</c:v>
                </c:pt>
                <c:pt idx="136">
                  <c:v>0.50740448001772798</c:v>
                </c:pt>
                <c:pt idx="137">
                  <c:v>0.50455560614187744</c:v>
                </c:pt>
                <c:pt idx="138">
                  <c:v>0.50173904814570491</c:v>
                </c:pt>
                <c:pt idx="139">
                  <c:v>0.49895423745312306</c:v>
                </c:pt>
                <c:pt idx="140">
                  <c:v>0.49620061284379635</c:v>
                </c:pt>
                <c:pt idx="141">
                  <c:v>0.49347762012035412</c:v>
                </c:pt>
                <c:pt idx="142">
                  <c:v>0.49078471178454491</c:v>
                </c:pt>
                <c:pt idx="143">
                  <c:v>0.48812134672200863</c:v>
                </c:pt>
                <c:pt idx="144">
                  <c:v>0.48548698989535433</c:v>
                </c:pt>
                <c:pt idx="145">
                  <c:v>0.48288111204524808</c:v>
                </c:pt>
                <c:pt idx="146">
                  <c:v>0.48030318939922523</c:v>
                </c:pt>
                <c:pt idx="147">
                  <c:v>0.47775270338795411</c:v>
                </c:pt>
                <c:pt idx="148">
                  <c:v>0.47522914036868585</c:v>
                </c:pt>
                <c:pt idx="149">
                  <c:v>0.47273199135564192</c:v>
                </c:pt>
                <c:pt idx="150">
                  <c:v>0</c:v>
                </c:pt>
              </c:numCache>
            </c:numRef>
          </c:yVal>
          <c:smooth val="1"/>
          <c:extLst>
            <c:ext xmlns:c16="http://schemas.microsoft.com/office/drawing/2014/chart" uri="{C3380CC4-5D6E-409C-BE32-E72D297353CC}">
              <c16:uniqueId val="{00000001-A9EB-4B3D-B1F8-864F59D7502D}"/>
            </c:ext>
          </c:extLst>
        </c:ser>
        <c:ser>
          <c:idx val="2"/>
          <c:order val="2"/>
          <c:tx>
            <c:v>HS MOSFET</c:v>
          </c:tx>
          <c:spPr>
            <a:ln>
              <a:solidFill>
                <a:schemeClr val="bg2">
                  <a:lumMod val="50000"/>
                </a:schemeClr>
              </a:solidFill>
              <a:prstDash val="sysDash"/>
            </a:ln>
          </c:spPr>
          <c:marker>
            <c:symbol val="none"/>
          </c:marker>
          <c:xVal>
            <c:numRef>
              <c:f>Eff_vs_VIN!$T$7:$T$157</c:f>
              <c:numCache>
                <c:formatCode>General</c:formatCode>
                <c:ptCount val="151"/>
                <c:pt idx="0">
                  <c:v>18</c:v>
                </c:pt>
                <c:pt idx="1">
                  <c:v>18.28</c:v>
                </c:pt>
                <c:pt idx="2">
                  <c:v>18.559999999999999</c:v>
                </c:pt>
                <c:pt idx="3">
                  <c:v>18.84</c:v>
                </c:pt>
                <c:pt idx="4">
                  <c:v>19.12</c:v>
                </c:pt>
                <c:pt idx="5">
                  <c:v>19.399999999999999</c:v>
                </c:pt>
                <c:pt idx="6">
                  <c:v>19.68</c:v>
                </c:pt>
                <c:pt idx="7">
                  <c:v>19.96</c:v>
                </c:pt>
                <c:pt idx="8">
                  <c:v>20.240000000000002</c:v>
                </c:pt>
                <c:pt idx="9">
                  <c:v>20.52</c:v>
                </c:pt>
                <c:pt idx="10">
                  <c:v>20.8</c:v>
                </c:pt>
                <c:pt idx="11">
                  <c:v>21.08</c:v>
                </c:pt>
                <c:pt idx="12">
                  <c:v>21.36</c:v>
                </c:pt>
                <c:pt idx="13">
                  <c:v>21.64</c:v>
                </c:pt>
                <c:pt idx="14">
                  <c:v>21.92</c:v>
                </c:pt>
                <c:pt idx="15">
                  <c:v>22.2</c:v>
                </c:pt>
                <c:pt idx="16">
                  <c:v>22.48</c:v>
                </c:pt>
                <c:pt idx="17">
                  <c:v>22.76</c:v>
                </c:pt>
                <c:pt idx="18">
                  <c:v>23.04</c:v>
                </c:pt>
                <c:pt idx="19">
                  <c:v>23.32</c:v>
                </c:pt>
                <c:pt idx="20">
                  <c:v>23.6</c:v>
                </c:pt>
                <c:pt idx="21">
                  <c:v>23.880000000000003</c:v>
                </c:pt>
                <c:pt idx="22">
                  <c:v>24.16</c:v>
                </c:pt>
                <c:pt idx="23">
                  <c:v>24.44</c:v>
                </c:pt>
                <c:pt idx="24">
                  <c:v>24.72</c:v>
                </c:pt>
                <c:pt idx="25">
                  <c:v>25</c:v>
                </c:pt>
                <c:pt idx="26">
                  <c:v>25.28</c:v>
                </c:pt>
                <c:pt idx="27">
                  <c:v>25.560000000000002</c:v>
                </c:pt>
                <c:pt idx="28">
                  <c:v>25.84</c:v>
                </c:pt>
                <c:pt idx="29">
                  <c:v>26.12</c:v>
                </c:pt>
                <c:pt idx="30">
                  <c:v>26.4</c:v>
                </c:pt>
                <c:pt idx="31">
                  <c:v>26.68</c:v>
                </c:pt>
                <c:pt idx="32">
                  <c:v>26.96</c:v>
                </c:pt>
                <c:pt idx="33">
                  <c:v>27.240000000000002</c:v>
                </c:pt>
                <c:pt idx="34">
                  <c:v>27.520000000000003</c:v>
                </c:pt>
                <c:pt idx="35">
                  <c:v>27.8</c:v>
                </c:pt>
                <c:pt idx="36">
                  <c:v>28.080000000000002</c:v>
                </c:pt>
                <c:pt idx="37">
                  <c:v>28.36</c:v>
                </c:pt>
                <c:pt idx="38">
                  <c:v>28.64</c:v>
                </c:pt>
                <c:pt idx="39">
                  <c:v>28.92</c:v>
                </c:pt>
                <c:pt idx="40">
                  <c:v>29.200000000000003</c:v>
                </c:pt>
                <c:pt idx="41">
                  <c:v>29.48</c:v>
                </c:pt>
                <c:pt idx="42">
                  <c:v>29.76</c:v>
                </c:pt>
                <c:pt idx="43">
                  <c:v>30.04</c:v>
                </c:pt>
                <c:pt idx="44">
                  <c:v>30.32</c:v>
                </c:pt>
                <c:pt idx="45">
                  <c:v>30.6</c:v>
                </c:pt>
                <c:pt idx="46">
                  <c:v>30.880000000000003</c:v>
                </c:pt>
                <c:pt idx="47">
                  <c:v>31.160000000000004</c:v>
                </c:pt>
                <c:pt idx="48">
                  <c:v>31.44</c:v>
                </c:pt>
                <c:pt idx="49">
                  <c:v>31.72</c:v>
                </c:pt>
                <c:pt idx="50">
                  <c:v>32</c:v>
                </c:pt>
                <c:pt idx="51">
                  <c:v>32.28</c:v>
                </c:pt>
                <c:pt idx="52">
                  <c:v>32.56</c:v>
                </c:pt>
                <c:pt idx="53">
                  <c:v>32.840000000000003</c:v>
                </c:pt>
                <c:pt idx="54">
                  <c:v>33.120000000000005</c:v>
                </c:pt>
                <c:pt idx="55">
                  <c:v>33.400000000000006</c:v>
                </c:pt>
                <c:pt idx="56">
                  <c:v>33.68</c:v>
                </c:pt>
                <c:pt idx="57">
                  <c:v>33.96</c:v>
                </c:pt>
                <c:pt idx="58">
                  <c:v>34.24</c:v>
                </c:pt>
                <c:pt idx="59">
                  <c:v>34.520000000000003</c:v>
                </c:pt>
                <c:pt idx="60">
                  <c:v>34.799999999999997</c:v>
                </c:pt>
                <c:pt idx="61">
                  <c:v>35.08</c:v>
                </c:pt>
                <c:pt idx="62">
                  <c:v>35.36</c:v>
                </c:pt>
                <c:pt idx="63">
                  <c:v>35.64</c:v>
                </c:pt>
                <c:pt idx="64">
                  <c:v>35.92</c:v>
                </c:pt>
                <c:pt idx="65">
                  <c:v>36.200000000000003</c:v>
                </c:pt>
                <c:pt idx="66">
                  <c:v>36.480000000000004</c:v>
                </c:pt>
                <c:pt idx="67">
                  <c:v>36.760000000000005</c:v>
                </c:pt>
                <c:pt idx="68">
                  <c:v>37.040000000000006</c:v>
                </c:pt>
                <c:pt idx="69">
                  <c:v>37.32</c:v>
                </c:pt>
                <c:pt idx="70">
                  <c:v>37.6</c:v>
                </c:pt>
                <c:pt idx="71">
                  <c:v>37.880000000000003</c:v>
                </c:pt>
                <c:pt idx="72">
                  <c:v>38.160000000000004</c:v>
                </c:pt>
                <c:pt idx="73">
                  <c:v>38.44</c:v>
                </c:pt>
                <c:pt idx="74">
                  <c:v>38.72</c:v>
                </c:pt>
                <c:pt idx="75">
                  <c:v>39</c:v>
                </c:pt>
                <c:pt idx="76">
                  <c:v>39.28</c:v>
                </c:pt>
                <c:pt idx="77">
                  <c:v>39.56</c:v>
                </c:pt>
                <c:pt idx="78">
                  <c:v>39.840000000000003</c:v>
                </c:pt>
                <c:pt idx="79">
                  <c:v>40.120000000000005</c:v>
                </c:pt>
                <c:pt idx="80">
                  <c:v>40.400000000000006</c:v>
                </c:pt>
                <c:pt idx="81">
                  <c:v>40.680000000000007</c:v>
                </c:pt>
                <c:pt idx="82">
                  <c:v>40.96</c:v>
                </c:pt>
                <c:pt idx="83">
                  <c:v>41.24</c:v>
                </c:pt>
                <c:pt idx="84">
                  <c:v>41.52</c:v>
                </c:pt>
                <c:pt idx="85">
                  <c:v>41.8</c:v>
                </c:pt>
                <c:pt idx="86">
                  <c:v>42.08</c:v>
                </c:pt>
                <c:pt idx="87">
                  <c:v>42.36</c:v>
                </c:pt>
                <c:pt idx="88">
                  <c:v>42.64</c:v>
                </c:pt>
                <c:pt idx="89">
                  <c:v>42.92</c:v>
                </c:pt>
                <c:pt idx="90">
                  <c:v>43.2</c:v>
                </c:pt>
                <c:pt idx="91">
                  <c:v>43.480000000000004</c:v>
                </c:pt>
                <c:pt idx="92">
                  <c:v>43.760000000000005</c:v>
                </c:pt>
                <c:pt idx="93">
                  <c:v>44.040000000000006</c:v>
                </c:pt>
                <c:pt idx="94">
                  <c:v>44.320000000000007</c:v>
                </c:pt>
                <c:pt idx="95">
                  <c:v>44.6</c:v>
                </c:pt>
                <c:pt idx="96">
                  <c:v>44.88</c:v>
                </c:pt>
                <c:pt idx="97">
                  <c:v>45.160000000000004</c:v>
                </c:pt>
                <c:pt idx="98">
                  <c:v>45.44</c:v>
                </c:pt>
                <c:pt idx="99">
                  <c:v>45.72</c:v>
                </c:pt>
                <c:pt idx="100">
                  <c:v>46</c:v>
                </c:pt>
                <c:pt idx="101">
                  <c:v>46.28</c:v>
                </c:pt>
                <c:pt idx="102">
                  <c:v>46.56</c:v>
                </c:pt>
                <c:pt idx="103">
                  <c:v>46.84</c:v>
                </c:pt>
                <c:pt idx="104">
                  <c:v>47.120000000000005</c:v>
                </c:pt>
                <c:pt idx="105">
                  <c:v>47.400000000000006</c:v>
                </c:pt>
                <c:pt idx="106">
                  <c:v>47.680000000000007</c:v>
                </c:pt>
                <c:pt idx="107">
                  <c:v>47.960000000000008</c:v>
                </c:pt>
                <c:pt idx="108">
                  <c:v>48.24</c:v>
                </c:pt>
                <c:pt idx="109">
                  <c:v>48.52</c:v>
                </c:pt>
                <c:pt idx="110">
                  <c:v>48.800000000000004</c:v>
                </c:pt>
                <c:pt idx="111">
                  <c:v>49.08</c:v>
                </c:pt>
                <c:pt idx="112">
                  <c:v>49.36</c:v>
                </c:pt>
                <c:pt idx="113">
                  <c:v>49.64</c:v>
                </c:pt>
                <c:pt idx="114">
                  <c:v>49.92</c:v>
                </c:pt>
                <c:pt idx="115">
                  <c:v>50.2</c:v>
                </c:pt>
                <c:pt idx="116">
                  <c:v>50.480000000000004</c:v>
                </c:pt>
                <c:pt idx="117">
                  <c:v>50.760000000000005</c:v>
                </c:pt>
                <c:pt idx="118">
                  <c:v>51.040000000000006</c:v>
                </c:pt>
                <c:pt idx="119">
                  <c:v>51.32</c:v>
                </c:pt>
                <c:pt idx="120">
                  <c:v>51.6</c:v>
                </c:pt>
                <c:pt idx="121">
                  <c:v>51.88</c:v>
                </c:pt>
                <c:pt idx="122">
                  <c:v>52.160000000000004</c:v>
                </c:pt>
                <c:pt idx="123">
                  <c:v>52.440000000000005</c:v>
                </c:pt>
                <c:pt idx="124">
                  <c:v>52.720000000000006</c:v>
                </c:pt>
                <c:pt idx="125">
                  <c:v>53</c:v>
                </c:pt>
                <c:pt idx="126">
                  <c:v>53.28</c:v>
                </c:pt>
                <c:pt idx="127">
                  <c:v>53.56</c:v>
                </c:pt>
                <c:pt idx="128">
                  <c:v>53.84</c:v>
                </c:pt>
                <c:pt idx="129">
                  <c:v>54.120000000000005</c:v>
                </c:pt>
                <c:pt idx="130">
                  <c:v>54.400000000000006</c:v>
                </c:pt>
                <c:pt idx="131">
                  <c:v>54.680000000000007</c:v>
                </c:pt>
                <c:pt idx="132">
                  <c:v>54.96</c:v>
                </c:pt>
                <c:pt idx="133">
                  <c:v>55.24</c:v>
                </c:pt>
                <c:pt idx="134">
                  <c:v>55.52</c:v>
                </c:pt>
                <c:pt idx="135">
                  <c:v>55.800000000000004</c:v>
                </c:pt>
                <c:pt idx="136">
                  <c:v>56.080000000000005</c:v>
                </c:pt>
                <c:pt idx="137">
                  <c:v>56.360000000000007</c:v>
                </c:pt>
                <c:pt idx="138">
                  <c:v>56.64</c:v>
                </c:pt>
                <c:pt idx="139">
                  <c:v>56.92</c:v>
                </c:pt>
                <c:pt idx="140">
                  <c:v>57.2</c:v>
                </c:pt>
                <c:pt idx="141">
                  <c:v>57.480000000000004</c:v>
                </c:pt>
                <c:pt idx="142">
                  <c:v>57.760000000000005</c:v>
                </c:pt>
                <c:pt idx="143">
                  <c:v>58.040000000000006</c:v>
                </c:pt>
                <c:pt idx="144">
                  <c:v>58.320000000000007</c:v>
                </c:pt>
                <c:pt idx="145">
                  <c:v>58.6</c:v>
                </c:pt>
                <c:pt idx="146">
                  <c:v>58.88</c:v>
                </c:pt>
                <c:pt idx="147">
                  <c:v>59.160000000000004</c:v>
                </c:pt>
                <c:pt idx="148">
                  <c:v>59.440000000000005</c:v>
                </c:pt>
                <c:pt idx="149">
                  <c:v>59.720000000000006</c:v>
                </c:pt>
                <c:pt idx="150">
                  <c:v>60.000000000000007</c:v>
                </c:pt>
              </c:numCache>
            </c:numRef>
          </c:xVal>
          <c:yVal>
            <c:numRef>
              <c:f>Eff_vs_VIN!$AO$7:$AO$157</c:f>
              <c:numCache>
                <c:formatCode>General</c:formatCode>
                <c:ptCount val="151"/>
                <c:pt idx="0">
                  <c:v>0.70055652071005925</c:v>
                </c:pt>
                <c:pt idx="1">
                  <c:v>0.6949075416983771</c:v>
                </c:pt>
                <c:pt idx="2">
                  <c:v>0.68943434438500495</c:v>
                </c:pt>
                <c:pt idx="3">
                  <c:v>0.68412869151952171</c:v>
                </c:pt>
                <c:pt idx="4">
                  <c:v>0.67898282419661782</c:v>
                </c:pt>
                <c:pt idx="5">
                  <c:v>0.67398942731738787</c:v>
                </c:pt>
                <c:pt idx="6">
                  <c:v>0.66914159800307593</c:v>
                </c:pt>
                <c:pt idx="7">
                  <c:v>0.66443281667135112</c:v>
                </c:pt>
                <c:pt idx="8">
                  <c:v>0.65985692051727962</c:v>
                </c:pt>
                <c:pt idx="9">
                  <c:v>0.65540807916930621</c:v>
                </c:pt>
                <c:pt idx="10">
                  <c:v>0.6510807723152896</c:v>
                </c:pt>
                <c:pt idx="11">
                  <c:v>0.64686976911542171</c:v>
                </c:pt>
                <c:pt idx="12">
                  <c:v>0.64277010923806144</c:v>
                </c:pt>
                <c:pt idx="13">
                  <c:v>0.63877708537149525</c:v>
                </c:pt>
                <c:pt idx="14">
                  <c:v>0.63488622707964848</c:v>
                </c:pt>
                <c:pt idx="15">
                  <c:v>0.6310932858830961</c:v>
                </c:pt>
                <c:pt idx="16">
                  <c:v>0.62739422145853818</c:v>
                </c:pt>
                <c:pt idx="17">
                  <c:v>0.62378518886042322</c:v>
                </c:pt>
                <c:pt idx="18">
                  <c:v>0.6202625266777676</c:v>
                </c:pt>
                <c:pt idx="19">
                  <c:v>0.61682274604756504</c:v>
                </c:pt>
                <c:pt idx="20">
                  <c:v>0.61346252045365146</c:v>
                </c:pt>
                <c:pt idx="21">
                  <c:v>0.61017867624655253</c:v>
                </c:pt>
                <c:pt idx="22">
                  <c:v>0.60696818382582696</c:v>
                </c:pt>
                <c:pt idx="23">
                  <c:v>0.60382814943177276</c:v>
                </c:pt>
                <c:pt idx="24">
                  <c:v>0.60075580749818414</c:v>
                </c:pt>
                <c:pt idx="25">
                  <c:v>0.59774851352217118</c:v>
                </c:pt>
                <c:pt idx="26">
                  <c:v>0.59480373741095272</c:v>
                </c:pt>
                <c:pt idx="27">
                  <c:v>0.59191905726905003</c:v>
                </c:pt>
                <c:pt idx="28">
                  <c:v>0.5890921535924718</c:v>
                </c:pt>
                <c:pt idx="29">
                  <c:v>0.5863208038393557</c:v>
                </c:pt>
                <c:pt idx="30">
                  <c:v>0.58360287734911243</c:v>
                </c:pt>
                <c:pt idx="31">
                  <c:v>0.58093633058447414</c:v>
                </c:pt>
                <c:pt idx="32">
                  <c:v>0.5783192026729691</c:v>
                </c:pt>
                <c:pt idx="33">
                  <c:v>0.57574961122628088</c:v>
                </c:pt>
                <c:pt idx="34">
                  <c:v>0.57322574841769702</c:v>
                </c:pt>
                <c:pt idx="35">
                  <c:v>0.57074587729945481</c:v>
                </c:pt>
                <c:pt idx="36">
                  <c:v>0.56830832834323686</c:v>
                </c:pt>
                <c:pt idx="37">
                  <c:v>0.56591149618839509</c:v>
                </c:pt>
                <c:pt idx="38">
                  <c:v>0.56355383658368674</c:v>
                </c:pt>
                <c:pt idx="39">
                  <c:v>0.56123386350940763</c:v>
                </c:pt>
                <c:pt idx="40">
                  <c:v>0.55895014646781482</c:v>
                </c:pt>
                <c:pt idx="41">
                  <c:v>0.55670130793064743</c:v>
                </c:pt>
                <c:pt idx="42">
                  <c:v>0.55448602093340105</c:v>
                </c:pt>
                <c:pt idx="43">
                  <c:v>0.55230300680678068</c:v>
                </c:pt>
                <c:pt idx="44">
                  <c:v>0.55015103303646307</c:v>
                </c:pt>
                <c:pt idx="45">
                  <c:v>0.54802891124295161</c:v>
                </c:pt>
                <c:pt idx="46">
                  <c:v>0.54593549527389917</c:v>
                </c:pt>
                <c:pt idx="47">
                  <c:v>0.54386967940182684</c:v>
                </c:pt>
                <c:pt idx="48">
                  <c:v>0.54183039662066723</c:v>
                </c:pt>
                <c:pt idx="49">
                  <c:v>0.53981661703502459</c:v>
                </c:pt>
                <c:pt idx="50">
                  <c:v>0.53782734633647455</c:v>
                </c:pt>
                <c:pt idx="51">
                  <c:v>0.5358616243616191</c:v>
                </c:pt>
                <c:pt idx="52">
                  <c:v>0.53391852372697213</c:v>
                </c:pt>
                <c:pt idx="53">
                  <c:v>0.5319971485360937</c:v>
                </c:pt>
                <c:pt idx="54">
                  <c:v>0.53009663315469568</c:v>
                </c:pt>
                <c:pt idx="55">
                  <c:v>0.52821614104973014</c:v>
                </c:pt>
                <c:pt idx="56">
                  <c:v>0.52635486368873674</c:v>
                </c:pt>
                <c:pt idx="57">
                  <c:v>0.5245120194959727</c:v>
                </c:pt>
                <c:pt idx="58">
                  <c:v>0.52268685286207361</c:v>
                </c:pt>
                <c:pt idx="59">
                  <c:v>0.52087863320420469</c:v>
                </c:pt>
                <c:pt idx="60">
                  <c:v>0.51908665407386256</c:v>
                </c:pt>
                <c:pt idx="61">
                  <c:v>0.51731023230966011</c:v>
                </c:pt>
                <c:pt idx="62">
                  <c:v>0.51554870723260637</c:v>
                </c:pt>
                <c:pt idx="63">
                  <c:v>0.51380143988153881</c:v>
                </c:pt>
                <c:pt idx="64">
                  <c:v>0.51206781228652265</c:v>
                </c:pt>
                <c:pt idx="65">
                  <c:v>0.51034722677815714</c:v>
                </c:pt>
                <c:pt idx="66">
                  <c:v>0.50863910533086198</c:v>
                </c:pt>
                <c:pt idx="67">
                  <c:v>0.50694288893833117</c:v>
                </c:pt>
                <c:pt idx="68">
                  <c:v>0.50525803701945349</c:v>
                </c:pt>
                <c:pt idx="69">
                  <c:v>0.503584026853096</c:v>
                </c:pt>
                <c:pt idx="70">
                  <c:v>0.50192035304025129</c:v>
                </c:pt>
                <c:pt idx="71">
                  <c:v>0.50026652699212848</c:v>
                </c:pt>
                <c:pt idx="72">
                  <c:v>0.49862207644285583</c:v>
                </c:pt>
                <c:pt idx="73">
                  <c:v>0.49698654498554284</c:v>
                </c:pt>
                <c:pt idx="74">
                  <c:v>0.49535949163051585</c:v>
                </c:pt>
                <c:pt idx="75">
                  <c:v>0.49374049038461537</c:v>
                </c:pt>
                <c:pt idx="76">
                  <c:v>0.49212912985050328</c:v>
                </c:pt>
                <c:pt idx="77">
                  <c:v>0.49052501284498734</c:v>
                </c:pt>
                <c:pt idx="78">
                  <c:v>0.48892775603543037</c:v>
                </c:pt>
                <c:pt idx="79">
                  <c:v>0.48733698959335714</c:v>
                </c:pt>
                <c:pt idx="80">
                  <c:v>0.48575235686442753</c:v>
                </c:pt>
                <c:pt idx="81">
                  <c:v>0.48417351405398479</c:v>
                </c:pt>
                <c:pt idx="82">
                  <c:v>0.48260012992743673</c:v>
                </c:pt>
                <c:pt idx="83">
                  <c:v>0.48103188552476117</c:v>
                </c:pt>
                <c:pt idx="84">
                  <c:v>0.47946847388847336</c:v>
                </c:pt>
                <c:pt idx="85">
                  <c:v>0.47790959980441849</c:v>
                </c:pt>
                <c:pt idx="86">
                  <c:v>0.476354979554798</c:v>
                </c:pt>
                <c:pt idx="87">
                  <c:v>0.47480434068285882</c:v>
                </c:pt>
                <c:pt idx="88">
                  <c:v>0.47325742176871238</c:v>
                </c:pt>
                <c:pt idx="89">
                  <c:v>0.47171397221577327</c:v>
                </c:pt>
                <c:pt idx="90">
                  <c:v>0.47017375204733725</c:v>
                </c:pt>
                <c:pt idx="91">
                  <c:v>0.46863653171284048</c:v>
                </c:pt>
                <c:pt idx="92">
                  <c:v>0.4671020919033666</c:v>
                </c:pt>
                <c:pt idx="93">
                  <c:v>0.46557022337599041</c:v>
                </c:pt>
                <c:pt idx="94">
                  <c:v>0.46404072678656738</c:v>
                </c:pt>
                <c:pt idx="95">
                  <c:v>0.46251341253059686</c:v>
                </c:pt>
                <c:pt idx="96">
                  <c:v>0.46098810059180773</c:v>
                </c:pt>
                <c:pt idx="97">
                  <c:v>0.45946462039813069</c:v>
                </c:pt>
                <c:pt idx="98">
                  <c:v>0.45794281068473847</c:v>
                </c:pt>
                <c:pt idx="99">
                  <c:v>0.45642251936385081</c:v>
                </c:pt>
                <c:pt idx="100">
                  <c:v>0.45490360340101704</c:v>
                </c:pt>
                <c:pt idx="101">
                  <c:v>0.45338592869760019</c:v>
                </c:pt>
                <c:pt idx="102">
                  <c:v>0.45186936997920357</c:v>
                </c:pt>
                <c:pt idx="103">
                  <c:v>0.45035381068978908</c:v>
                </c:pt>
                <c:pt idx="104">
                  <c:v>0.44883914289125204</c:v>
                </c:pt>
                <c:pt idx="105">
                  <c:v>0.44732526716822707</c:v>
                </c:pt>
                <c:pt idx="106">
                  <c:v>0.44581209253790777</c:v>
                </c:pt>
                <c:pt idx="107">
                  <c:v>0.44429953636467812</c:v>
                </c:pt>
                <c:pt idx="108">
                  <c:v>0.44278752427935864</c:v>
                </c:pt>
                <c:pt idx="109">
                  <c:v>0.44127599010288066</c:v>
                </c:pt>
                <c:pt idx="110">
                  <c:v>0.43976487577421142</c:v>
                </c:pt>
                <c:pt idx="111">
                  <c:v>0.43825413128236057</c:v>
                </c:pt>
                <c:pt idx="112">
                  <c:v>0.43674371460230454</c:v>
                </c:pt>
                <c:pt idx="113">
                  <c:v>0.43523359163467634</c:v>
                </c:pt>
                <c:pt idx="114">
                  <c:v>0.43372373614907078</c:v>
                </c:pt>
                <c:pt idx="115">
                  <c:v>0.43221412973082501</c:v>
                </c:pt>
                <c:pt idx="116">
                  <c:v>0.43070476173113936</c:v>
                </c:pt>
                <c:pt idx="117">
                  <c:v>0.42919562922040994</c:v>
                </c:pt>
                <c:pt idx="118">
                  <c:v>0.42768673694464804</c:v>
                </c:pt>
                <c:pt idx="119">
                  <c:v>0.42617809728487077</c:v>
                </c:pt>
                <c:pt idx="120">
                  <c:v>0.42466973021934773</c:v>
                </c:pt>
                <c:pt idx="121">
                  <c:v>0.42316166328859828</c:v>
                </c:pt>
                <c:pt idx="122">
                  <c:v>0.42165393156303316</c:v>
                </c:pt>
                <c:pt idx="123">
                  <c:v>0.42014657761314445</c:v>
                </c:pt>
                <c:pt idx="124">
                  <c:v>0.41863965148214749</c:v>
                </c:pt>
                <c:pt idx="125">
                  <c:v>0.41713321066098386</c:v>
                </c:pt>
                <c:pt idx="126">
                  <c:v>0.41562732006559999</c:v>
                </c:pt>
                <c:pt idx="127">
                  <c:v>0.41412205201641694</c:v>
                </c:pt>
                <c:pt idx="128">
                  <c:v>0.41261748621991207</c:v>
                </c:pt>
                <c:pt idx="129">
                  <c:v>0.41111370975223543</c:v>
                </c:pt>
                <c:pt idx="130">
                  <c:v>0.40961081704478908</c:v>
                </c:pt>
                <c:pt idx="131">
                  <c:v>0.40810890987169707</c:v>
                </c:pt>
                <c:pt idx="132">
                  <c:v>0.40660809733910019</c:v>
                </c:pt>
                <c:pt idx="133">
                  <c:v>0.40510849587621001</c:v>
                </c:pt>
                <c:pt idx="134">
                  <c:v>0.40361022922806011</c:v>
                </c:pt>
                <c:pt idx="135">
                  <c:v>0.40211342844989506</c:v>
                </c:pt>
                <c:pt idx="136">
                  <c:v>0.40061823190313989</c:v>
                </c:pt>
                <c:pt idx="137">
                  <c:v>0.39912478525289541</c:v>
                </c:pt>
                <c:pt idx="138">
                  <c:v>0.39763324146690565</c:v>
                </c:pt>
                <c:pt idx="139">
                  <c:v>0.39614376081594743</c:v>
                </c:pt>
                <c:pt idx="140">
                  <c:v>0.39465651087559356</c:v>
                </c:pt>
                <c:pt idx="141">
                  <c:v>0.39317166652930235</c:v>
                </c:pt>
                <c:pt idx="142">
                  <c:v>0.39168940997278839</c:v>
                </c:pt>
                <c:pt idx="143">
                  <c:v>0.39020993071963161</c:v>
                </c:pt>
                <c:pt idx="144">
                  <c:v>0.38873342560808277</c:v>
                </c:pt>
                <c:pt idx="145">
                  <c:v>0.38726009880902579</c:v>
                </c:pt>
                <c:pt idx="146">
                  <c:v>0.38579016183505765</c:v>
                </c:pt>
                <c:pt idx="147">
                  <c:v>0.38432383355064992</c:v>
                </c:pt>
                <c:pt idx="148">
                  <c:v>0.38286134018335494</c:v>
                </c:pt>
                <c:pt idx="149">
                  <c:v>0.38140291533602338</c:v>
                </c:pt>
                <c:pt idx="150">
                  <c:v>0.37994879999999998</c:v>
                </c:pt>
              </c:numCache>
            </c:numRef>
          </c:yVal>
          <c:smooth val="1"/>
          <c:extLst>
            <c:ext xmlns:c16="http://schemas.microsoft.com/office/drawing/2014/chart" uri="{C3380CC4-5D6E-409C-BE32-E72D297353CC}">
              <c16:uniqueId val="{00000002-A9EB-4B3D-B1F8-864F59D7502D}"/>
            </c:ext>
          </c:extLst>
        </c:ser>
        <c:ser>
          <c:idx val="3"/>
          <c:order val="3"/>
          <c:tx>
            <c:v>RCS</c:v>
          </c:tx>
          <c:spPr>
            <a:ln>
              <a:solidFill>
                <a:schemeClr val="accent5">
                  <a:lumMod val="75000"/>
                </a:schemeClr>
              </a:solidFill>
              <a:prstDash val="lgDashDotDot"/>
            </a:ln>
          </c:spPr>
          <c:marker>
            <c:symbol val="none"/>
          </c:marker>
          <c:xVal>
            <c:numRef>
              <c:f>Eff_vs_VIN!$T$7:$T$157</c:f>
              <c:numCache>
                <c:formatCode>General</c:formatCode>
                <c:ptCount val="151"/>
                <c:pt idx="0">
                  <c:v>18</c:v>
                </c:pt>
                <c:pt idx="1">
                  <c:v>18.28</c:v>
                </c:pt>
                <c:pt idx="2">
                  <c:v>18.559999999999999</c:v>
                </c:pt>
                <c:pt idx="3">
                  <c:v>18.84</c:v>
                </c:pt>
                <c:pt idx="4">
                  <c:v>19.12</c:v>
                </c:pt>
                <c:pt idx="5">
                  <c:v>19.399999999999999</c:v>
                </c:pt>
                <c:pt idx="6">
                  <c:v>19.68</c:v>
                </c:pt>
                <c:pt idx="7">
                  <c:v>19.96</c:v>
                </c:pt>
                <c:pt idx="8">
                  <c:v>20.240000000000002</c:v>
                </c:pt>
                <c:pt idx="9">
                  <c:v>20.52</c:v>
                </c:pt>
                <c:pt idx="10">
                  <c:v>20.8</c:v>
                </c:pt>
                <c:pt idx="11">
                  <c:v>21.08</c:v>
                </c:pt>
                <c:pt idx="12">
                  <c:v>21.36</c:v>
                </c:pt>
                <c:pt idx="13">
                  <c:v>21.64</c:v>
                </c:pt>
                <c:pt idx="14">
                  <c:v>21.92</c:v>
                </c:pt>
                <c:pt idx="15">
                  <c:v>22.2</c:v>
                </c:pt>
                <c:pt idx="16">
                  <c:v>22.48</c:v>
                </c:pt>
                <c:pt idx="17">
                  <c:v>22.76</c:v>
                </c:pt>
                <c:pt idx="18">
                  <c:v>23.04</c:v>
                </c:pt>
                <c:pt idx="19">
                  <c:v>23.32</c:v>
                </c:pt>
                <c:pt idx="20">
                  <c:v>23.6</c:v>
                </c:pt>
                <c:pt idx="21">
                  <c:v>23.880000000000003</c:v>
                </c:pt>
                <c:pt idx="22">
                  <c:v>24.16</c:v>
                </c:pt>
                <c:pt idx="23">
                  <c:v>24.44</c:v>
                </c:pt>
                <c:pt idx="24">
                  <c:v>24.72</c:v>
                </c:pt>
                <c:pt idx="25">
                  <c:v>25</c:v>
                </c:pt>
                <c:pt idx="26">
                  <c:v>25.28</c:v>
                </c:pt>
                <c:pt idx="27">
                  <c:v>25.560000000000002</c:v>
                </c:pt>
                <c:pt idx="28">
                  <c:v>25.84</c:v>
                </c:pt>
                <c:pt idx="29">
                  <c:v>26.12</c:v>
                </c:pt>
                <c:pt idx="30">
                  <c:v>26.4</c:v>
                </c:pt>
                <c:pt idx="31">
                  <c:v>26.68</c:v>
                </c:pt>
                <c:pt idx="32">
                  <c:v>26.96</c:v>
                </c:pt>
                <c:pt idx="33">
                  <c:v>27.240000000000002</c:v>
                </c:pt>
                <c:pt idx="34">
                  <c:v>27.520000000000003</c:v>
                </c:pt>
                <c:pt idx="35">
                  <c:v>27.8</c:v>
                </c:pt>
                <c:pt idx="36">
                  <c:v>28.080000000000002</c:v>
                </c:pt>
                <c:pt idx="37">
                  <c:v>28.36</c:v>
                </c:pt>
                <c:pt idx="38">
                  <c:v>28.64</c:v>
                </c:pt>
                <c:pt idx="39">
                  <c:v>28.92</c:v>
                </c:pt>
                <c:pt idx="40">
                  <c:v>29.200000000000003</c:v>
                </c:pt>
                <c:pt idx="41">
                  <c:v>29.48</c:v>
                </c:pt>
                <c:pt idx="42">
                  <c:v>29.76</c:v>
                </c:pt>
                <c:pt idx="43">
                  <c:v>30.04</c:v>
                </c:pt>
                <c:pt idx="44">
                  <c:v>30.32</c:v>
                </c:pt>
                <c:pt idx="45">
                  <c:v>30.6</c:v>
                </c:pt>
                <c:pt idx="46">
                  <c:v>30.880000000000003</c:v>
                </c:pt>
                <c:pt idx="47">
                  <c:v>31.160000000000004</c:v>
                </c:pt>
                <c:pt idx="48">
                  <c:v>31.44</c:v>
                </c:pt>
                <c:pt idx="49">
                  <c:v>31.72</c:v>
                </c:pt>
                <c:pt idx="50">
                  <c:v>32</c:v>
                </c:pt>
                <c:pt idx="51">
                  <c:v>32.28</c:v>
                </c:pt>
                <c:pt idx="52">
                  <c:v>32.56</c:v>
                </c:pt>
                <c:pt idx="53">
                  <c:v>32.840000000000003</c:v>
                </c:pt>
                <c:pt idx="54">
                  <c:v>33.120000000000005</c:v>
                </c:pt>
                <c:pt idx="55">
                  <c:v>33.400000000000006</c:v>
                </c:pt>
                <c:pt idx="56">
                  <c:v>33.68</c:v>
                </c:pt>
                <c:pt idx="57">
                  <c:v>33.96</c:v>
                </c:pt>
                <c:pt idx="58">
                  <c:v>34.24</c:v>
                </c:pt>
                <c:pt idx="59">
                  <c:v>34.520000000000003</c:v>
                </c:pt>
                <c:pt idx="60">
                  <c:v>34.799999999999997</c:v>
                </c:pt>
                <c:pt idx="61">
                  <c:v>35.08</c:v>
                </c:pt>
                <c:pt idx="62">
                  <c:v>35.36</c:v>
                </c:pt>
                <c:pt idx="63">
                  <c:v>35.64</c:v>
                </c:pt>
                <c:pt idx="64">
                  <c:v>35.92</c:v>
                </c:pt>
                <c:pt idx="65">
                  <c:v>36.200000000000003</c:v>
                </c:pt>
                <c:pt idx="66">
                  <c:v>36.480000000000004</c:v>
                </c:pt>
                <c:pt idx="67">
                  <c:v>36.760000000000005</c:v>
                </c:pt>
                <c:pt idx="68">
                  <c:v>37.040000000000006</c:v>
                </c:pt>
                <c:pt idx="69">
                  <c:v>37.32</c:v>
                </c:pt>
                <c:pt idx="70">
                  <c:v>37.6</c:v>
                </c:pt>
                <c:pt idx="71">
                  <c:v>37.880000000000003</c:v>
                </c:pt>
                <c:pt idx="72">
                  <c:v>38.160000000000004</c:v>
                </c:pt>
                <c:pt idx="73">
                  <c:v>38.44</c:v>
                </c:pt>
                <c:pt idx="74">
                  <c:v>38.72</c:v>
                </c:pt>
                <c:pt idx="75">
                  <c:v>39</c:v>
                </c:pt>
                <c:pt idx="76">
                  <c:v>39.28</c:v>
                </c:pt>
                <c:pt idx="77">
                  <c:v>39.56</c:v>
                </c:pt>
                <c:pt idx="78">
                  <c:v>39.840000000000003</c:v>
                </c:pt>
                <c:pt idx="79">
                  <c:v>40.120000000000005</c:v>
                </c:pt>
                <c:pt idx="80">
                  <c:v>40.400000000000006</c:v>
                </c:pt>
                <c:pt idx="81">
                  <c:v>40.680000000000007</c:v>
                </c:pt>
                <c:pt idx="82">
                  <c:v>40.96</c:v>
                </c:pt>
                <c:pt idx="83">
                  <c:v>41.24</c:v>
                </c:pt>
                <c:pt idx="84">
                  <c:v>41.52</c:v>
                </c:pt>
                <c:pt idx="85">
                  <c:v>41.8</c:v>
                </c:pt>
                <c:pt idx="86">
                  <c:v>42.08</c:v>
                </c:pt>
                <c:pt idx="87">
                  <c:v>42.36</c:v>
                </c:pt>
                <c:pt idx="88">
                  <c:v>42.64</c:v>
                </c:pt>
                <c:pt idx="89">
                  <c:v>42.92</c:v>
                </c:pt>
                <c:pt idx="90">
                  <c:v>43.2</c:v>
                </c:pt>
                <c:pt idx="91">
                  <c:v>43.480000000000004</c:v>
                </c:pt>
                <c:pt idx="92">
                  <c:v>43.760000000000005</c:v>
                </c:pt>
                <c:pt idx="93">
                  <c:v>44.040000000000006</c:v>
                </c:pt>
                <c:pt idx="94">
                  <c:v>44.320000000000007</c:v>
                </c:pt>
                <c:pt idx="95">
                  <c:v>44.6</c:v>
                </c:pt>
                <c:pt idx="96">
                  <c:v>44.88</c:v>
                </c:pt>
                <c:pt idx="97">
                  <c:v>45.160000000000004</c:v>
                </c:pt>
                <c:pt idx="98">
                  <c:v>45.44</c:v>
                </c:pt>
                <c:pt idx="99">
                  <c:v>45.72</c:v>
                </c:pt>
                <c:pt idx="100">
                  <c:v>46</c:v>
                </c:pt>
                <c:pt idx="101">
                  <c:v>46.28</c:v>
                </c:pt>
                <c:pt idx="102">
                  <c:v>46.56</c:v>
                </c:pt>
                <c:pt idx="103">
                  <c:v>46.84</c:v>
                </c:pt>
                <c:pt idx="104">
                  <c:v>47.120000000000005</c:v>
                </c:pt>
                <c:pt idx="105">
                  <c:v>47.400000000000006</c:v>
                </c:pt>
                <c:pt idx="106">
                  <c:v>47.680000000000007</c:v>
                </c:pt>
                <c:pt idx="107">
                  <c:v>47.960000000000008</c:v>
                </c:pt>
                <c:pt idx="108">
                  <c:v>48.24</c:v>
                </c:pt>
                <c:pt idx="109">
                  <c:v>48.52</c:v>
                </c:pt>
                <c:pt idx="110">
                  <c:v>48.800000000000004</c:v>
                </c:pt>
                <c:pt idx="111">
                  <c:v>49.08</c:v>
                </c:pt>
                <c:pt idx="112">
                  <c:v>49.36</c:v>
                </c:pt>
                <c:pt idx="113">
                  <c:v>49.64</c:v>
                </c:pt>
                <c:pt idx="114">
                  <c:v>49.92</c:v>
                </c:pt>
                <c:pt idx="115">
                  <c:v>50.2</c:v>
                </c:pt>
                <c:pt idx="116">
                  <c:v>50.480000000000004</c:v>
                </c:pt>
                <c:pt idx="117">
                  <c:v>50.760000000000005</c:v>
                </c:pt>
                <c:pt idx="118">
                  <c:v>51.040000000000006</c:v>
                </c:pt>
                <c:pt idx="119">
                  <c:v>51.32</c:v>
                </c:pt>
                <c:pt idx="120">
                  <c:v>51.6</c:v>
                </c:pt>
                <c:pt idx="121">
                  <c:v>51.88</c:v>
                </c:pt>
                <c:pt idx="122">
                  <c:v>52.160000000000004</c:v>
                </c:pt>
                <c:pt idx="123">
                  <c:v>52.440000000000005</c:v>
                </c:pt>
                <c:pt idx="124">
                  <c:v>52.720000000000006</c:v>
                </c:pt>
                <c:pt idx="125">
                  <c:v>53</c:v>
                </c:pt>
                <c:pt idx="126">
                  <c:v>53.28</c:v>
                </c:pt>
                <c:pt idx="127">
                  <c:v>53.56</c:v>
                </c:pt>
                <c:pt idx="128">
                  <c:v>53.84</c:v>
                </c:pt>
                <c:pt idx="129">
                  <c:v>54.120000000000005</c:v>
                </c:pt>
                <c:pt idx="130">
                  <c:v>54.400000000000006</c:v>
                </c:pt>
                <c:pt idx="131">
                  <c:v>54.680000000000007</c:v>
                </c:pt>
                <c:pt idx="132">
                  <c:v>54.96</c:v>
                </c:pt>
                <c:pt idx="133">
                  <c:v>55.24</c:v>
                </c:pt>
                <c:pt idx="134">
                  <c:v>55.52</c:v>
                </c:pt>
                <c:pt idx="135">
                  <c:v>55.800000000000004</c:v>
                </c:pt>
                <c:pt idx="136">
                  <c:v>56.080000000000005</c:v>
                </c:pt>
                <c:pt idx="137">
                  <c:v>56.360000000000007</c:v>
                </c:pt>
                <c:pt idx="138">
                  <c:v>56.64</c:v>
                </c:pt>
                <c:pt idx="139">
                  <c:v>56.92</c:v>
                </c:pt>
                <c:pt idx="140">
                  <c:v>57.2</c:v>
                </c:pt>
                <c:pt idx="141">
                  <c:v>57.480000000000004</c:v>
                </c:pt>
                <c:pt idx="142">
                  <c:v>57.760000000000005</c:v>
                </c:pt>
                <c:pt idx="143">
                  <c:v>58.040000000000006</c:v>
                </c:pt>
                <c:pt idx="144">
                  <c:v>58.320000000000007</c:v>
                </c:pt>
                <c:pt idx="145">
                  <c:v>58.6</c:v>
                </c:pt>
                <c:pt idx="146">
                  <c:v>58.88</c:v>
                </c:pt>
                <c:pt idx="147">
                  <c:v>59.160000000000004</c:v>
                </c:pt>
                <c:pt idx="148">
                  <c:v>59.440000000000005</c:v>
                </c:pt>
                <c:pt idx="149">
                  <c:v>59.720000000000006</c:v>
                </c:pt>
                <c:pt idx="150">
                  <c:v>60.000000000000007</c:v>
                </c:pt>
              </c:numCache>
            </c:numRef>
          </c:xVal>
          <c:yVal>
            <c:numRef>
              <c:f>Eff_vs_VIN!$AP$7:$AP$157</c:f>
              <c:numCache>
                <c:formatCode>General</c:formatCode>
                <c:ptCount val="151"/>
                <c:pt idx="0">
                  <c:v>1.2723323602892833</c:v>
                </c:pt>
                <c:pt idx="1">
                  <c:v>1.2344057854070412</c:v>
                </c:pt>
                <c:pt idx="2">
                  <c:v>1.1981909531432393</c:v>
                </c:pt>
                <c:pt idx="3">
                  <c:v>1.1635864494529151</c:v>
                </c:pt>
                <c:pt idx="4">
                  <c:v>1.1304982231138718</c:v>
                </c:pt>
                <c:pt idx="5">
                  <c:v>1.0988389531163751</c:v>
                </c:pt>
                <c:pt idx="6">
                  <c:v>1.0685274786029311</c:v>
                </c:pt>
                <c:pt idx="7">
                  <c:v>1.0394882843884661</c:v>
                </c:pt>
                <c:pt idx="8">
                  <c:v>1.0116510359528756</c:v>
                </c:pt>
                <c:pt idx="9">
                  <c:v>0.98495015854284607</c:v>
                </c:pt>
                <c:pt idx="10">
                  <c:v>0.95932445566513247</c:v>
                </c:pt>
                <c:pt idx="11">
                  <c:v>0.9347167628136841</c:v>
                </c:pt>
                <c:pt idx="12">
                  <c:v>0.91107363276022402</c:v>
                </c:pt>
                <c:pt idx="13">
                  <c:v>0.88834504916252377</c:v>
                </c:pt>
                <c:pt idx="14">
                  <c:v>0.86648416561531683</c:v>
                </c:pt>
                <c:pt idx="15">
                  <c:v>0.84544706759306865</c:v>
                </c:pt>
                <c:pt idx="16">
                  <c:v>0.82519255501796829</c:v>
                </c:pt>
                <c:pt idx="17">
                  <c:v>0.8056819434358754</c:v>
                </c:pt>
                <c:pt idx="18">
                  <c:v>0.78687888200226153</c:v>
                </c:pt>
                <c:pt idx="19">
                  <c:v>0.76874918667327019</c:v>
                </c:pt>
                <c:pt idx="20">
                  <c:v>0.75126068716737415</c:v>
                </c:pt>
                <c:pt idx="21">
                  <c:v>0.73438308641357419</c:v>
                </c:pt>
                <c:pt idx="22">
                  <c:v>0.71808783133524401</c:v>
                </c:pt>
                <c:pt idx="23">
                  <c:v>0.70234799393669056</c:v>
                </c:pt>
                <c:pt idx="24">
                  <c:v>0.68713816176420794</c:v>
                </c:pt>
                <c:pt idx="25">
                  <c:v>0.67243433690642118</c:v>
                </c:pt>
                <c:pt idx="26">
                  <c:v>0.65821384278152117</c:v>
                </c:pt>
                <c:pt idx="27">
                  <c:v>0.64445523803274574</c:v>
                </c:pt>
                <c:pt idx="28">
                  <c:v>0.63113823691929005</c:v>
                </c:pt>
                <c:pt idx="29">
                  <c:v>0.61824363564863294</c:v>
                </c:pt>
                <c:pt idx="30">
                  <c:v>0.60575324414885812</c:v>
                </c:pt>
                <c:pt idx="31">
                  <c:v>0.59364982282666579</c:v>
                </c:pt>
                <c:pt idx="32">
                  <c:v>0.58191702389900313</c:v>
                </c:pt>
                <c:pt idx="33">
                  <c:v>0.5705393369241738</c:v>
                </c:pt>
                <c:pt idx="34">
                  <c:v>0.55950203819236455</c:v>
                </c:pt>
                <c:pt idx="35">
                  <c:v>0.54879114366619386</c:v>
                </c:pt>
                <c:pt idx="36">
                  <c:v>0.53839336518952141</c:v>
                </c:pt>
                <c:pt idx="37">
                  <c:v>0.52829606970766041</c:v>
                </c:pt>
                <c:pt idx="38">
                  <c:v>0.51848724126462764</c:v>
                </c:pt>
                <c:pt idx="39">
                  <c:v>0.50895544556338967</c:v>
                </c:pt>
                <c:pt idx="40">
                  <c:v>0.49968979689344062</c:v>
                </c:pt>
                <c:pt idx="41">
                  <c:v>0.49067992724669746</c:v>
                </c:pt>
                <c:pt idx="42">
                  <c:v>0.48191595745778226</c:v>
                </c:pt>
                <c:pt idx="43">
                  <c:v>0.47338847021845115</c:v>
                </c:pt>
                <c:pt idx="44">
                  <c:v>0.46508848482835163</c:v>
                </c:pt>
                <c:pt idx="45">
                  <c:v>0.45700743355559642</c:v>
                </c:pt>
                <c:pt idx="46">
                  <c:v>0.44913713949090972</c:v>
                </c:pt>
                <c:pt idx="47">
                  <c:v>0.44146979578846746</c:v>
                </c:pt>
                <c:pt idx="48">
                  <c:v>0.43399794619507631</c:v>
                </c:pt>
                <c:pt idx="49">
                  <c:v>0.42671446677711689</c:v>
                </c:pt>
                <c:pt idx="50">
                  <c:v>0.41961254876177945</c:v>
                </c:pt>
                <c:pt idx="51">
                  <c:v>0.4126856824156041</c:v>
                </c:pt>
                <c:pt idx="52">
                  <c:v>0.40592764188927466</c:v>
                </c:pt>
                <c:pt idx="53">
                  <c:v>0.39933247096304031</c:v>
                </c:pt>
                <c:pt idx="54">
                  <c:v>0.39289446963211505</c:v>
                </c:pt>
                <c:pt idx="55">
                  <c:v>0.38660818147595638</c:v>
                </c:pt>
                <c:pt idx="56">
                  <c:v>0.38046838175950931</c:v>
                </c:pt>
                <c:pt idx="57">
                  <c:v>0.37447006621833578</c:v>
                </c:pt>
                <c:pt idx="58">
                  <c:v>0.36860844048307301</c:v>
                </c:pt>
                <c:pt idx="59">
                  <c:v>0.36287891010190548</c:v>
                </c:pt>
                <c:pt idx="60">
                  <c:v>0.35727707112271251</c:v>
                </c:pt>
                <c:pt idx="61">
                  <c:v>0.35179870119929912</c:v>
                </c:pt>
                <c:pt idx="62">
                  <c:v>0.34643975118864251</c:v>
                </c:pt>
                <c:pt idx="63">
                  <c:v>0.34119633720841425</c:v>
                </c:pt>
                <c:pt idx="64">
                  <c:v>0.3360647331261899</c:v>
                </c:pt>
                <c:pt idx="65">
                  <c:v>0.33104136345373669</c:v>
                </c:pt>
                <c:pt idx="66">
                  <c:v>0.32612279662160248</c:v>
                </c:pt>
                <c:pt idx="67">
                  <c:v>0.32130573861092238</c:v>
                </c:pt>
                <c:pt idx="68">
                  <c:v>0.31658702692091845</c:v>
                </c:pt>
                <c:pt idx="69">
                  <c:v>0.31196362485202606</c:v>
                </c:pt>
                <c:pt idx="70">
                  <c:v>0.30743261608590844</c:v>
                </c:pt>
                <c:pt idx="71">
                  <c:v>0.30299119954487175</c:v>
                </c:pt>
                <c:pt idx="72">
                  <c:v>0.29863668451434039</c:v>
                </c:pt>
                <c:pt idx="73">
                  <c:v>0.29436648601311716</c:v>
                </c:pt>
                <c:pt idx="74">
                  <c:v>0.29017812039714874</c:v>
                </c:pt>
                <c:pt idx="75">
                  <c:v>0.28606920118343193</c:v>
                </c:pt>
                <c:pt idx="76">
                  <c:v>0.28203743508155182</c:v>
                </c:pt>
                <c:pt idx="77">
                  <c:v>0.2780806182211375</c:v>
                </c:pt>
                <c:pt idx="78">
                  <c:v>0.27419663256425886</c:v>
                </c:pt>
                <c:pt idx="79">
                  <c:v>0.27038344249247459</c:v>
                </c:pt>
                <c:pt idx="80">
                  <c:v>0.26663909155888177</c:v>
                </c:pt>
                <c:pt idx="81">
                  <c:v>0.26296169939611425</c:v>
                </c:pt>
                <c:pt idx="82">
                  <c:v>0.25934945877178694</c:v>
                </c:pt>
                <c:pt idx="83">
                  <c:v>0.25580063278341003</c:v>
                </c:pt>
                <c:pt idx="84">
                  <c:v>0.2523135521852698</c:v>
                </c:pt>
                <c:pt idx="85">
                  <c:v>0.24888661284022973</c:v>
                </c:pt>
                <c:pt idx="86">
                  <c:v>0.24551827328982487</c:v>
                </c:pt>
                <c:pt idx="87">
                  <c:v>0.24220705243641438</c:v>
                </c:pt>
                <c:pt idx="88">
                  <c:v>0.23895152733152472</c:v>
                </c:pt>
                <c:pt idx="89">
                  <c:v>0.23575033106485996</c:v>
                </c:pt>
                <c:pt idx="90">
                  <c:v>0.23260215074877633</c:v>
                </c:pt>
                <c:pt idx="91">
                  <c:v>0.22950572559331944</c:v>
                </c:pt>
                <c:pt idx="92">
                  <c:v>0.22645984506720152</c:v>
                </c:pt>
                <c:pt idx="93">
                  <c:v>0.22346334714036409</c:v>
                </c:pt>
                <c:pt idx="94">
                  <c:v>0.22051511660401388</c:v>
                </c:pt>
                <c:pt idx="95">
                  <c:v>0.21761408346425354</c:v>
                </c:pt>
                <c:pt idx="96">
                  <c:v>0.21475922140564571</c:v>
                </c:pt>
                <c:pt idx="97">
                  <c:v>0.2119495463212534</c:v>
                </c:pt>
                <c:pt idx="98">
                  <c:v>0.20918411490588784</c:v>
                </c:pt>
                <c:pt idx="99">
                  <c:v>0.2064620233094781</c:v>
                </c:pt>
                <c:pt idx="100">
                  <c:v>0.20378240584764359</c:v>
                </c:pt>
                <c:pt idx="101">
                  <c:v>0.20114443376670829</c:v>
                </c:pt>
                <c:pt idx="102">
                  <c:v>0.19854731406054699</c:v>
                </c:pt>
                <c:pt idx="103">
                  <c:v>0.19599028833679039</c:v>
                </c:pt>
                <c:pt idx="104">
                  <c:v>0.19347263173005155</c:v>
                </c:pt>
                <c:pt idx="105">
                  <c:v>0.1909936518599564</c:v>
                </c:pt>
                <c:pt idx="106">
                  <c:v>0.18855268783188123</c:v>
                </c:pt>
                <c:pt idx="107">
                  <c:v>0.18614910927840697</c:v>
                </c:pt>
                <c:pt idx="108">
                  <c:v>0.18378231543960658</c:v>
                </c:pt>
                <c:pt idx="109">
                  <c:v>0.18145173428037611</c:v>
                </c:pt>
                <c:pt idx="110">
                  <c:v>0.17915682164311592</c:v>
                </c:pt>
                <c:pt idx="111">
                  <c:v>0.17689706043415235</c:v>
                </c:pt>
                <c:pt idx="112">
                  <c:v>0.17467195984237208</c:v>
                </c:pt>
                <c:pt idx="113">
                  <c:v>0.17248105458862226</c:v>
                </c:pt>
                <c:pt idx="114">
                  <c:v>0.170323904204497</c:v>
                </c:pt>
                <c:pt idx="115">
                  <c:v>0.16820009233920477</c:v>
                </c:pt>
                <c:pt idx="116">
                  <c:v>0.16610922609327231</c:v>
                </c:pt>
                <c:pt idx="117">
                  <c:v>0.1640509353779063</c:v>
                </c:pt>
                <c:pt idx="118">
                  <c:v>0.16202487229888704</c:v>
                </c:pt>
                <c:pt idx="119">
                  <c:v>0.16003071056392901</c:v>
                </c:pt>
                <c:pt idx="120">
                  <c:v>0.15806814491249063</c:v>
                </c:pt>
                <c:pt idx="121">
                  <c:v>0.15613689056706734</c:v>
                </c:pt>
                <c:pt idx="122">
                  <c:v>0.15423668270504717</c:v>
                </c:pt>
                <c:pt idx="123">
                  <c:v>0.15236727595025443</c:v>
                </c:pt>
                <c:pt idx="124">
                  <c:v>0.15052844388334466</c:v>
                </c:pt>
                <c:pt idx="125">
                  <c:v>0.1487199785702589</c:v>
                </c:pt>
                <c:pt idx="126">
                  <c:v>0.14694169010797811</c:v>
                </c:pt>
                <c:pt idx="127">
                  <c:v>0.14519340618685753</c:v>
                </c:pt>
                <c:pt idx="128">
                  <c:v>0.14347497166885137</c:v>
                </c:pt>
                <c:pt idx="129">
                  <c:v>0.14178624818097343</c:v>
                </c:pt>
                <c:pt idx="130">
                  <c:v>0.14012711372336681</c:v>
                </c:pt>
                <c:pt idx="131">
                  <c:v>0.13849746229138696</c:v>
                </c:pt>
                <c:pt idx="132">
                  <c:v>0.13689720351112628</c:v>
                </c:pt>
                <c:pt idx="133">
                  <c:v>0.13532626228783942</c:v>
                </c:pt>
                <c:pt idx="134">
                  <c:v>0.13378457846674788</c:v>
                </c:pt>
                <c:pt idx="135">
                  <c:v>0.13227210650572868</c:v>
                </c:pt>
                <c:pt idx="136">
                  <c:v>0.13078881515941487</c:v>
                </c:pt>
                <c:pt idx="137">
                  <c:v>0.12933468717425348</c:v>
                </c:pt>
                <c:pt idx="138">
                  <c:v>0.12790971899409059</c:v>
                </c:pt>
                <c:pt idx="139">
                  <c:v>0.12651392047586826</c:v>
                </c:pt>
                <c:pt idx="140">
                  <c:v>0.12514731461504047</c:v>
                </c:pt>
                <c:pt idx="141">
                  <c:v>0.12380993728032842</c:v>
                </c:pt>
                <c:pt idx="142">
                  <c:v>0.1225018369574548</c:v>
                </c:pt>
                <c:pt idx="143">
                  <c:v>0.12122307450151136</c:v>
                </c:pt>
                <c:pt idx="144">
                  <c:v>0.11997372289762839</c:v>
                </c:pt>
                <c:pt idx="145">
                  <c:v>0.11875386702963037</c:v>
                </c:pt>
                <c:pt idx="146">
                  <c:v>0.11756360345637348</c:v>
                </c:pt>
                <c:pt idx="147">
                  <c:v>0.11640304019547676</c:v>
                </c:pt>
                <c:pt idx="148">
                  <c:v>0.11527229651416644</c:v>
                </c:pt>
                <c:pt idx="149">
                  <c:v>0.11417150272696949</c:v>
                </c:pt>
                <c:pt idx="150">
                  <c:v>0.11310079999999996</c:v>
                </c:pt>
              </c:numCache>
            </c:numRef>
          </c:yVal>
          <c:smooth val="1"/>
          <c:extLst>
            <c:ext xmlns:c16="http://schemas.microsoft.com/office/drawing/2014/chart" uri="{C3380CC4-5D6E-409C-BE32-E72D297353CC}">
              <c16:uniqueId val="{00000003-A9EB-4B3D-B1F8-864F59D7502D}"/>
            </c:ext>
          </c:extLst>
        </c:ser>
        <c:dLbls>
          <c:showLegendKey val="0"/>
          <c:showVal val="0"/>
          <c:showCatName val="0"/>
          <c:showSerName val="0"/>
          <c:showPercent val="0"/>
          <c:showBubbleSize val="0"/>
        </c:dLbls>
        <c:axId val="361467264"/>
        <c:axId val="361465344"/>
      </c:scatterChart>
      <c:valAx>
        <c:axId val="361445248"/>
        <c:scaling>
          <c:orientation val="minMax"/>
        </c:scaling>
        <c:delete val="0"/>
        <c:axPos val="b"/>
        <c:majorGridlines/>
        <c:numFmt formatCode="General" sourceLinked="1"/>
        <c:majorTickMark val="out"/>
        <c:minorTickMark val="none"/>
        <c:tickLblPos val="nextTo"/>
        <c:crossAx val="361446784"/>
        <c:crosses val="autoZero"/>
        <c:crossBetween val="midCat"/>
      </c:valAx>
      <c:valAx>
        <c:axId val="361446784"/>
        <c:scaling>
          <c:orientation val="minMax"/>
          <c:max val="100"/>
          <c:min val="60"/>
        </c:scaling>
        <c:delete val="0"/>
        <c:axPos val="l"/>
        <c:majorGridlines/>
        <c:title>
          <c:tx>
            <c:rich>
              <a:bodyPr rot="-5400000" vert="horz"/>
              <a:lstStyle/>
              <a:p>
                <a:pPr>
                  <a:defRPr sz="1400"/>
                </a:pPr>
                <a:r>
                  <a:rPr lang="en-US" sz="1400"/>
                  <a:t>Efficiency</a:t>
                </a:r>
                <a:r>
                  <a:rPr lang="en-US" sz="1400" baseline="0"/>
                  <a:t> (%)</a:t>
                </a:r>
                <a:endParaRPr lang="en-US" sz="1400"/>
              </a:p>
            </c:rich>
          </c:tx>
          <c:overlay val="0"/>
        </c:title>
        <c:numFmt formatCode="General" sourceLinked="1"/>
        <c:majorTickMark val="out"/>
        <c:minorTickMark val="none"/>
        <c:tickLblPos val="nextTo"/>
        <c:crossAx val="361445248"/>
        <c:crosses val="autoZero"/>
        <c:crossBetween val="midCat"/>
      </c:valAx>
      <c:valAx>
        <c:axId val="361465344"/>
        <c:scaling>
          <c:orientation val="minMax"/>
        </c:scaling>
        <c:delete val="0"/>
        <c:axPos val="r"/>
        <c:title>
          <c:tx>
            <c:rich>
              <a:bodyPr rot="-5400000" vert="horz"/>
              <a:lstStyle/>
              <a:p>
                <a:pPr>
                  <a:defRPr sz="1400"/>
                </a:pPr>
                <a:r>
                  <a:rPr lang="en-US" sz="1400"/>
                  <a:t>Losses</a:t>
                </a:r>
                <a:r>
                  <a:rPr lang="en-US" sz="1400" baseline="0"/>
                  <a:t> (W)</a:t>
                </a:r>
                <a:endParaRPr lang="en-US" sz="1400"/>
              </a:p>
            </c:rich>
          </c:tx>
          <c:overlay val="0"/>
        </c:title>
        <c:numFmt formatCode="General" sourceLinked="1"/>
        <c:majorTickMark val="out"/>
        <c:minorTickMark val="none"/>
        <c:tickLblPos val="nextTo"/>
        <c:crossAx val="361467264"/>
        <c:crosses val="max"/>
        <c:crossBetween val="midCat"/>
      </c:valAx>
      <c:valAx>
        <c:axId val="361467264"/>
        <c:scaling>
          <c:orientation val="minMax"/>
        </c:scaling>
        <c:delete val="1"/>
        <c:axPos val="b"/>
        <c:title>
          <c:tx>
            <c:rich>
              <a:bodyPr/>
              <a:lstStyle/>
              <a:p>
                <a:pPr>
                  <a:defRPr/>
                </a:pPr>
                <a:r>
                  <a:rPr lang="en-US" baseline="0"/>
                  <a:t>Input Voltage (V)</a:t>
                </a:r>
                <a:endParaRPr lang="en-US"/>
              </a:p>
            </c:rich>
          </c:tx>
          <c:overlay val="0"/>
        </c:title>
        <c:numFmt formatCode="General" sourceLinked="1"/>
        <c:majorTickMark val="out"/>
        <c:minorTickMark val="none"/>
        <c:tickLblPos val="nextTo"/>
        <c:crossAx val="361465344"/>
        <c:crosses val="autoZero"/>
        <c:crossBetween val="midCat"/>
      </c:valAx>
    </c:plotArea>
    <c:legend>
      <c:legendPos val="r"/>
      <c:layout>
        <c:manualLayout>
          <c:xMode val="edge"/>
          <c:yMode val="edge"/>
          <c:x val="0.51894403926190358"/>
          <c:y val="6.4862204724409449E-3"/>
          <c:w val="0.39609572935704079"/>
          <c:h val="0.12183653099700564"/>
        </c:manualLayout>
      </c:layout>
      <c:overlay val="1"/>
    </c:legend>
    <c:plotVisOnly val="1"/>
    <c:dispBlanksAs val="gap"/>
    <c:showDLblsOverMax val="0"/>
  </c:chart>
  <c:spPr>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2400"/>
            </a:pPr>
            <a:r>
              <a:rPr lang="el-GR" sz="2400"/>
              <a:t>η</a:t>
            </a:r>
            <a:endParaRPr lang="en-US" sz="2400"/>
          </a:p>
        </c:rich>
      </c:tx>
      <c:layout>
        <c:manualLayout>
          <c:xMode val="edge"/>
          <c:yMode val="edge"/>
          <c:x val="9.2321838295158831E-2"/>
          <c:y val="6.7069081153588199E-3"/>
        </c:manualLayout>
      </c:layout>
      <c:overlay val="1"/>
    </c:title>
    <c:autoTitleDeleted val="0"/>
    <c:plotArea>
      <c:layout>
        <c:manualLayout>
          <c:layoutTarget val="inner"/>
          <c:xMode val="edge"/>
          <c:yMode val="edge"/>
          <c:x val="9.4343575816580413E-2"/>
          <c:y val="0.12777504924560487"/>
          <c:w val="0.82170691922728745"/>
          <c:h val="0.74982770867653059"/>
        </c:manualLayout>
      </c:layout>
      <c:scatterChart>
        <c:scatterStyle val="smoothMarker"/>
        <c:varyColors val="0"/>
        <c:ser>
          <c:idx val="0"/>
          <c:order val="0"/>
          <c:tx>
            <c:v>Eff</c:v>
          </c:tx>
          <c:spPr>
            <a:ln>
              <a:solidFill>
                <a:srgbClr val="FF0000"/>
              </a:solidFill>
            </a:ln>
          </c:spPr>
          <c:marker>
            <c:symbol val="none"/>
          </c:marker>
          <c:xVal>
            <c:numRef>
              <c:f>Eff_vs_IOUT!$S$7:$S$157</c:f>
              <c:numCache>
                <c:formatCode>General</c:formatCode>
                <c:ptCount val="151"/>
                <c:pt idx="0">
                  <c:v>0</c:v>
                </c:pt>
                <c:pt idx="1">
                  <c:v>5.0133333333333328E-2</c:v>
                </c:pt>
                <c:pt idx="2">
                  <c:v>0.10026666666666666</c:v>
                </c:pt>
                <c:pt idx="3">
                  <c:v>0.15039999999999998</c:v>
                </c:pt>
                <c:pt idx="4">
                  <c:v>0.20053333333333331</c:v>
                </c:pt>
                <c:pt idx="5">
                  <c:v>0.25066666666666665</c:v>
                </c:pt>
                <c:pt idx="6">
                  <c:v>0.30079999999999996</c:v>
                </c:pt>
                <c:pt idx="7">
                  <c:v>0.35093333333333332</c:v>
                </c:pt>
                <c:pt idx="8">
                  <c:v>0.40106666666666663</c:v>
                </c:pt>
                <c:pt idx="9">
                  <c:v>0.45119999999999993</c:v>
                </c:pt>
                <c:pt idx="10">
                  <c:v>0.5013333333333333</c:v>
                </c:pt>
                <c:pt idx="11">
                  <c:v>0.55146666666666666</c:v>
                </c:pt>
                <c:pt idx="12">
                  <c:v>0.60159999999999991</c:v>
                </c:pt>
                <c:pt idx="13">
                  <c:v>0.65173333333333328</c:v>
                </c:pt>
                <c:pt idx="14">
                  <c:v>0.70186666666666664</c:v>
                </c:pt>
                <c:pt idx="15">
                  <c:v>0.75199999999999989</c:v>
                </c:pt>
                <c:pt idx="16">
                  <c:v>0.80213333333333325</c:v>
                </c:pt>
                <c:pt idx="17">
                  <c:v>0.85226666666666662</c:v>
                </c:pt>
                <c:pt idx="18">
                  <c:v>0.90239999999999987</c:v>
                </c:pt>
                <c:pt idx="19">
                  <c:v>0.95253333333333323</c:v>
                </c:pt>
                <c:pt idx="20">
                  <c:v>1.0026666666666666</c:v>
                </c:pt>
                <c:pt idx="21">
                  <c:v>1.0528</c:v>
                </c:pt>
                <c:pt idx="22">
                  <c:v>1.1029333333333333</c:v>
                </c:pt>
                <c:pt idx="23">
                  <c:v>1.1530666666666665</c:v>
                </c:pt>
                <c:pt idx="24">
                  <c:v>1.2031999999999998</c:v>
                </c:pt>
                <c:pt idx="25">
                  <c:v>1.2533333333333332</c:v>
                </c:pt>
                <c:pt idx="26">
                  <c:v>1.3034666666666666</c:v>
                </c:pt>
                <c:pt idx="27">
                  <c:v>1.3535999999999999</c:v>
                </c:pt>
                <c:pt idx="28">
                  <c:v>1.4037333333333333</c:v>
                </c:pt>
                <c:pt idx="29">
                  <c:v>1.4538666666666664</c:v>
                </c:pt>
                <c:pt idx="30">
                  <c:v>1.5039999999999998</c:v>
                </c:pt>
                <c:pt idx="31">
                  <c:v>1.5541333333333331</c:v>
                </c:pt>
                <c:pt idx="32">
                  <c:v>1.6042666666666665</c:v>
                </c:pt>
                <c:pt idx="33">
                  <c:v>1.6543999999999999</c:v>
                </c:pt>
                <c:pt idx="34">
                  <c:v>1.7045333333333332</c:v>
                </c:pt>
                <c:pt idx="35">
                  <c:v>1.7546666666666666</c:v>
                </c:pt>
                <c:pt idx="36">
                  <c:v>1.8047999999999997</c:v>
                </c:pt>
                <c:pt idx="37">
                  <c:v>1.8549333333333331</c:v>
                </c:pt>
                <c:pt idx="38">
                  <c:v>1.9050666666666665</c:v>
                </c:pt>
                <c:pt idx="39">
                  <c:v>1.9551999999999998</c:v>
                </c:pt>
                <c:pt idx="40">
                  <c:v>2.0053333333333332</c:v>
                </c:pt>
                <c:pt idx="41">
                  <c:v>2.0554666666666663</c:v>
                </c:pt>
                <c:pt idx="42">
                  <c:v>2.1055999999999999</c:v>
                </c:pt>
                <c:pt idx="43">
                  <c:v>2.1557333333333331</c:v>
                </c:pt>
                <c:pt idx="44">
                  <c:v>2.2058666666666666</c:v>
                </c:pt>
                <c:pt idx="45">
                  <c:v>2.2559999999999998</c:v>
                </c:pt>
                <c:pt idx="46">
                  <c:v>2.3061333333333329</c:v>
                </c:pt>
                <c:pt idx="47">
                  <c:v>2.3562666666666665</c:v>
                </c:pt>
                <c:pt idx="48">
                  <c:v>2.4063999999999997</c:v>
                </c:pt>
                <c:pt idx="49">
                  <c:v>2.4565333333333332</c:v>
                </c:pt>
                <c:pt idx="50">
                  <c:v>2.5066666666666664</c:v>
                </c:pt>
                <c:pt idx="51">
                  <c:v>2.5568</c:v>
                </c:pt>
                <c:pt idx="52">
                  <c:v>2.6069333333333331</c:v>
                </c:pt>
                <c:pt idx="53">
                  <c:v>2.6570666666666662</c:v>
                </c:pt>
                <c:pt idx="54">
                  <c:v>2.7071999999999998</c:v>
                </c:pt>
                <c:pt idx="55">
                  <c:v>2.757333333333333</c:v>
                </c:pt>
                <c:pt idx="56">
                  <c:v>2.8074666666666666</c:v>
                </c:pt>
                <c:pt idx="57">
                  <c:v>2.8575999999999997</c:v>
                </c:pt>
                <c:pt idx="58">
                  <c:v>2.9077333333333328</c:v>
                </c:pt>
                <c:pt idx="59">
                  <c:v>2.9578666666666664</c:v>
                </c:pt>
                <c:pt idx="60">
                  <c:v>3.0079999999999996</c:v>
                </c:pt>
                <c:pt idx="61">
                  <c:v>3.0581333333333331</c:v>
                </c:pt>
                <c:pt idx="62">
                  <c:v>3.1082666666666663</c:v>
                </c:pt>
                <c:pt idx="63">
                  <c:v>3.1583999999999999</c:v>
                </c:pt>
                <c:pt idx="64">
                  <c:v>3.208533333333333</c:v>
                </c:pt>
                <c:pt idx="65">
                  <c:v>3.2586666666666662</c:v>
                </c:pt>
                <c:pt idx="66">
                  <c:v>3.3087999999999997</c:v>
                </c:pt>
                <c:pt idx="67">
                  <c:v>3.3589333333333329</c:v>
                </c:pt>
                <c:pt idx="68">
                  <c:v>3.4090666666666665</c:v>
                </c:pt>
                <c:pt idx="69">
                  <c:v>3.4591999999999996</c:v>
                </c:pt>
                <c:pt idx="70">
                  <c:v>3.5093333333333332</c:v>
                </c:pt>
                <c:pt idx="71">
                  <c:v>3.5594666666666663</c:v>
                </c:pt>
                <c:pt idx="72">
                  <c:v>3.6095999999999995</c:v>
                </c:pt>
                <c:pt idx="73">
                  <c:v>3.6597333333333331</c:v>
                </c:pt>
                <c:pt idx="74">
                  <c:v>3.7098666666666662</c:v>
                </c:pt>
                <c:pt idx="75">
                  <c:v>3.76</c:v>
                </c:pt>
                <c:pt idx="76">
                  <c:v>3.8101333333333329</c:v>
                </c:pt>
                <c:pt idx="77">
                  <c:v>3.8602666666666661</c:v>
                </c:pt>
                <c:pt idx="78">
                  <c:v>3.9103999999999997</c:v>
                </c:pt>
                <c:pt idx="79">
                  <c:v>3.9605333333333328</c:v>
                </c:pt>
                <c:pt idx="80">
                  <c:v>4.0106666666666664</c:v>
                </c:pt>
                <c:pt idx="81">
                  <c:v>4.0607999999999995</c:v>
                </c:pt>
                <c:pt idx="82">
                  <c:v>4.1109333333333327</c:v>
                </c:pt>
                <c:pt idx="83">
                  <c:v>4.1610666666666667</c:v>
                </c:pt>
                <c:pt idx="84">
                  <c:v>4.2111999999999998</c:v>
                </c:pt>
                <c:pt idx="85">
                  <c:v>4.261333333333333</c:v>
                </c:pt>
                <c:pt idx="86">
                  <c:v>4.3114666666666661</c:v>
                </c:pt>
                <c:pt idx="87">
                  <c:v>4.3615999999999993</c:v>
                </c:pt>
                <c:pt idx="88">
                  <c:v>4.4117333333333333</c:v>
                </c:pt>
                <c:pt idx="89">
                  <c:v>4.4618666666666664</c:v>
                </c:pt>
                <c:pt idx="90">
                  <c:v>4.5119999999999996</c:v>
                </c:pt>
                <c:pt idx="91">
                  <c:v>4.5621333333333327</c:v>
                </c:pt>
                <c:pt idx="92">
                  <c:v>4.6122666666666658</c:v>
                </c:pt>
                <c:pt idx="93">
                  <c:v>4.6623999999999999</c:v>
                </c:pt>
                <c:pt idx="94">
                  <c:v>4.712533333333333</c:v>
                </c:pt>
                <c:pt idx="95">
                  <c:v>4.7626666666666662</c:v>
                </c:pt>
                <c:pt idx="96">
                  <c:v>4.8127999999999993</c:v>
                </c:pt>
                <c:pt idx="97">
                  <c:v>4.8629333333333324</c:v>
                </c:pt>
                <c:pt idx="98">
                  <c:v>4.9130666666666665</c:v>
                </c:pt>
                <c:pt idx="99">
                  <c:v>4.9631999999999996</c:v>
                </c:pt>
                <c:pt idx="100">
                  <c:v>5.0133333333333328</c:v>
                </c:pt>
                <c:pt idx="101">
                  <c:v>5.0634666666666659</c:v>
                </c:pt>
                <c:pt idx="102">
                  <c:v>5.1135999999999999</c:v>
                </c:pt>
                <c:pt idx="103">
                  <c:v>5.1637333333333331</c:v>
                </c:pt>
                <c:pt idx="104">
                  <c:v>5.2138666666666662</c:v>
                </c:pt>
                <c:pt idx="105">
                  <c:v>5.2639999999999993</c:v>
                </c:pt>
                <c:pt idx="106">
                  <c:v>5.3141333333333325</c:v>
                </c:pt>
                <c:pt idx="107">
                  <c:v>5.3642666666666665</c:v>
                </c:pt>
                <c:pt idx="108">
                  <c:v>5.4143999999999997</c:v>
                </c:pt>
                <c:pt idx="109">
                  <c:v>5.4645333333333328</c:v>
                </c:pt>
                <c:pt idx="110">
                  <c:v>5.5146666666666659</c:v>
                </c:pt>
                <c:pt idx="111">
                  <c:v>5.5647999999999991</c:v>
                </c:pt>
                <c:pt idx="112">
                  <c:v>5.6149333333333331</c:v>
                </c:pt>
                <c:pt idx="113">
                  <c:v>5.6650666666666663</c:v>
                </c:pt>
                <c:pt idx="114">
                  <c:v>5.7151999999999994</c:v>
                </c:pt>
                <c:pt idx="115">
                  <c:v>5.7653333333333325</c:v>
                </c:pt>
                <c:pt idx="116">
                  <c:v>5.8154666666666657</c:v>
                </c:pt>
                <c:pt idx="117">
                  <c:v>5.8655999999999997</c:v>
                </c:pt>
                <c:pt idx="118">
                  <c:v>5.9157333333333328</c:v>
                </c:pt>
                <c:pt idx="119">
                  <c:v>5.965866666666666</c:v>
                </c:pt>
                <c:pt idx="120">
                  <c:v>6.0159999999999991</c:v>
                </c:pt>
                <c:pt idx="121">
                  <c:v>6.0661333333333332</c:v>
                </c:pt>
                <c:pt idx="122">
                  <c:v>6.1162666666666663</c:v>
                </c:pt>
                <c:pt idx="123">
                  <c:v>6.1663999999999994</c:v>
                </c:pt>
                <c:pt idx="124">
                  <c:v>6.2165333333333326</c:v>
                </c:pt>
                <c:pt idx="125">
                  <c:v>6.2666666666666657</c:v>
                </c:pt>
                <c:pt idx="126">
                  <c:v>6.3167999999999997</c:v>
                </c:pt>
                <c:pt idx="127">
                  <c:v>6.3669333333333329</c:v>
                </c:pt>
                <c:pt idx="128">
                  <c:v>6.417066666666666</c:v>
                </c:pt>
                <c:pt idx="129">
                  <c:v>6.4671999999999992</c:v>
                </c:pt>
                <c:pt idx="130">
                  <c:v>6.5173333333333323</c:v>
                </c:pt>
                <c:pt idx="131">
                  <c:v>6.5674666666666663</c:v>
                </c:pt>
                <c:pt idx="132">
                  <c:v>6.6175999999999995</c:v>
                </c:pt>
                <c:pt idx="133">
                  <c:v>6.6677333333333326</c:v>
                </c:pt>
                <c:pt idx="134">
                  <c:v>6.7178666666666658</c:v>
                </c:pt>
                <c:pt idx="135">
                  <c:v>6.7679999999999989</c:v>
                </c:pt>
                <c:pt idx="136">
                  <c:v>6.8181333333333329</c:v>
                </c:pt>
                <c:pt idx="137">
                  <c:v>6.8682666666666661</c:v>
                </c:pt>
                <c:pt idx="138">
                  <c:v>6.9183999999999992</c:v>
                </c:pt>
                <c:pt idx="139">
                  <c:v>6.9685333333333324</c:v>
                </c:pt>
                <c:pt idx="140">
                  <c:v>7.0186666666666664</c:v>
                </c:pt>
                <c:pt idx="141">
                  <c:v>7.0687999999999995</c:v>
                </c:pt>
                <c:pt idx="142">
                  <c:v>7.1189333333333327</c:v>
                </c:pt>
                <c:pt idx="143">
                  <c:v>7.1690666666666658</c:v>
                </c:pt>
                <c:pt idx="144">
                  <c:v>7.219199999999999</c:v>
                </c:pt>
                <c:pt idx="145">
                  <c:v>7.269333333333333</c:v>
                </c:pt>
                <c:pt idx="146">
                  <c:v>7.3194666666666661</c:v>
                </c:pt>
                <c:pt idx="147">
                  <c:v>7.3695999999999993</c:v>
                </c:pt>
                <c:pt idx="148">
                  <c:v>7.4197333333333324</c:v>
                </c:pt>
                <c:pt idx="149">
                  <c:v>7.4698666666666655</c:v>
                </c:pt>
                <c:pt idx="150">
                  <c:v>7.52</c:v>
                </c:pt>
              </c:numCache>
            </c:numRef>
          </c:xVal>
          <c:yVal>
            <c:numRef>
              <c:f>Eff_vs_IOUT!$AW$7:$AW$157</c:f>
              <c:numCache>
                <c:formatCode>General</c:formatCode>
                <c:ptCount val="151"/>
                <c:pt idx="0">
                  <c:v>0</c:v>
                </c:pt>
                <c:pt idx="1">
                  <c:v>58.985727581964554</c:v>
                </c:pt>
                <c:pt idx="2">
                  <c:v>74.100742868232089</c:v>
                </c:pt>
                <c:pt idx="3">
                  <c:v>81.018938109809298</c:v>
                </c:pt>
                <c:pt idx="4">
                  <c:v>84.984250778465324</c:v>
                </c:pt>
                <c:pt idx="5">
                  <c:v>87.553749381846828</c:v>
                </c:pt>
                <c:pt idx="6">
                  <c:v>89.353424087422709</c:v>
                </c:pt>
                <c:pt idx="7">
                  <c:v>90.683623381143832</c:v>
                </c:pt>
                <c:pt idx="8">
                  <c:v>91.706434645276119</c:v>
                </c:pt>
                <c:pt idx="9">
                  <c:v>92.517031378802159</c:v>
                </c:pt>
                <c:pt idx="10">
                  <c:v>93.174972629885616</c:v>
                </c:pt>
                <c:pt idx="11">
                  <c:v>93.719436762035997</c:v>
                </c:pt>
                <c:pt idx="12">
                  <c:v>94.177252103746028</c:v>
                </c:pt>
                <c:pt idx="13">
                  <c:v>94.567407779465384</c:v>
                </c:pt>
                <c:pt idx="14">
                  <c:v>94.903722045512822</c:v>
                </c:pt>
                <c:pt idx="15">
                  <c:v>95.19649018513617</c:v>
                </c:pt>
                <c:pt idx="16">
                  <c:v>95.453539966326744</c:v>
                </c:pt>
                <c:pt idx="17">
                  <c:v>95.680929101160757</c:v>
                </c:pt>
                <c:pt idx="18">
                  <c:v>95.883418793424255</c:v>
                </c:pt>
                <c:pt idx="19">
                  <c:v>96.064802980247947</c:v>
                </c:pt>
                <c:pt idx="20">
                  <c:v>96.228142092086543</c:v>
                </c:pt>
                <c:pt idx="21">
                  <c:v>96.375932146753868</c:v>
                </c:pt>
                <c:pt idx="22">
                  <c:v>96.510229127946857</c:v>
                </c:pt>
                <c:pt idx="23">
                  <c:v>96.632741861329592</c:v>
                </c:pt>
                <c:pt idx="24">
                  <c:v>96.744902319859278</c:v>
                </c:pt>
                <c:pt idx="25">
                  <c:v>96.84791950858849</c:v>
                </c:pt>
                <c:pt idx="26">
                  <c:v>96.942821235674842</c:v>
                </c:pt>
                <c:pt idx="27">
                  <c:v>97.030486832025673</c:v>
                </c:pt>
                <c:pt idx="28">
                  <c:v>97.111673028051015</c:v>
                </c:pt>
                <c:pt idx="29">
                  <c:v>97.187034600907779</c:v>
                </c:pt>
                <c:pt idx="30">
                  <c:v>97.257140985046661</c:v>
                </c:pt>
                <c:pt idx="31">
                  <c:v>97.322489737746636</c:v>
                </c:pt>
                <c:pt idx="32">
                  <c:v>97.383517533101426</c:v>
                </c:pt>
                <c:pt idx="33">
                  <c:v>97.440609197998597</c:v>
                </c:pt>
                <c:pt idx="34">
                  <c:v>97.494105185200226</c:v>
                </c:pt>
                <c:pt idx="35">
                  <c:v>97.54430779006762</c:v>
                </c:pt>
                <c:pt idx="36">
                  <c:v>97.591486350631442</c:v>
                </c:pt>
                <c:pt idx="37">
                  <c:v>97.635881619830059</c:v>
                </c:pt>
                <c:pt idx="38">
                  <c:v>97.677709459694057</c:v>
                </c:pt>
                <c:pt idx="39">
                  <c:v>97.717163977065454</c:v>
                </c:pt>
                <c:pt idx="40">
                  <c:v>97.754420196927271</c:v>
                </c:pt>
                <c:pt idx="41">
                  <c:v>97.789636350982775</c:v>
                </c:pt>
                <c:pt idx="42">
                  <c:v>97.822955844573983</c:v>
                </c:pt>
                <c:pt idx="43">
                  <c:v>97.854508953476653</c:v>
                </c:pt>
                <c:pt idx="44">
                  <c:v>97.884414292883065</c:v>
                </c:pt>
                <c:pt idx="45">
                  <c:v>97.912780093475448</c:v>
                </c:pt>
                <c:pt idx="46">
                  <c:v>97.939705313512405</c:v>
                </c:pt>
                <c:pt idx="47">
                  <c:v>97.965280610998903</c:v>
                </c:pt>
                <c:pt idx="48">
                  <c:v>97.989589196055405</c:v>
                </c:pt>
                <c:pt idx="49">
                  <c:v>98.012707580363241</c:v>
                </c:pt>
                <c:pt idx="50">
                  <c:v>98.034706237899371</c:v>
                </c:pt>
                <c:pt idx="51">
                  <c:v>98.055650188974454</c:v>
                </c:pt>
                <c:pt idx="52">
                  <c:v>98.07559951776345</c:v>
                </c:pt>
                <c:pt idx="53">
                  <c:v>98.094609832000003</c:v>
                </c:pt>
                <c:pt idx="54">
                  <c:v>98.112732672237556</c:v>
                </c:pt>
                <c:pt idx="55">
                  <c:v>98.130015877016362</c:v>
                </c:pt>
                <c:pt idx="56">
                  <c:v>98.146503909381252</c:v>
                </c:pt>
                <c:pt idx="57">
                  <c:v>98.16223814943973</c:v>
                </c:pt>
                <c:pt idx="58">
                  <c:v>98.177257157010942</c:v>
                </c:pt>
                <c:pt idx="59">
                  <c:v>98.191596907873034</c:v>
                </c:pt>
                <c:pt idx="60">
                  <c:v>98.205291006654093</c:v>
                </c:pt>
                <c:pt idx="61">
                  <c:v>98.218370879016959</c:v>
                </c:pt>
                <c:pt idx="62">
                  <c:v>98.230865945450063</c:v>
                </c:pt>
                <c:pt idx="63">
                  <c:v>98.242803778685868</c:v>
                </c:pt>
                <c:pt idx="64">
                  <c:v>98.254210246518539</c:v>
                </c:pt>
                <c:pt idx="65">
                  <c:v>98.265109641576913</c:v>
                </c:pt>
                <c:pt idx="66">
                  <c:v>98.275524799421703</c:v>
                </c:pt>
                <c:pt idx="67">
                  <c:v>98.285477206174633</c:v>
                </c:pt>
                <c:pt idx="68">
                  <c:v>98.294987096746183</c:v>
                </c:pt>
                <c:pt idx="69">
                  <c:v>98.304073544606283</c:v>
                </c:pt>
                <c:pt idx="70">
                  <c:v>98.312754543935299</c:v>
                </c:pt>
                <c:pt idx="71">
                  <c:v>98.321047084899604</c:v>
                </c:pt>
                <c:pt idx="72">
                  <c:v>98.328967222713558</c:v>
                </c:pt>
                <c:pt idx="73">
                  <c:v>98.336530141078256</c:v>
                </c:pt>
                <c:pt idx="74">
                  <c:v>98.343750210524206</c:v>
                </c:pt>
                <c:pt idx="75">
                  <c:v>98.350641042128842</c:v>
                </c:pt>
                <c:pt idx="76">
                  <c:v>98.357215537031564</c:v>
                </c:pt>
                <c:pt idx="77">
                  <c:v>98.363485932124505</c:v>
                </c:pt>
                <c:pt idx="78">
                  <c:v>98.369463842259577</c:v>
                </c:pt>
                <c:pt idx="79">
                  <c:v>98.375160299277468</c:v>
                </c:pt>
                <c:pt idx="80">
                  <c:v>98.380585788134596</c:v>
                </c:pt>
                <c:pt idx="81">
                  <c:v>98.38575028037657</c:v>
                </c:pt>
                <c:pt idx="82">
                  <c:v>98.39066326518271</c:v>
                </c:pt>
                <c:pt idx="83">
                  <c:v>98.395333778184934</c:v>
                </c:pt>
                <c:pt idx="84">
                  <c:v>98.399770428244935</c:v>
                </c:pt>
                <c:pt idx="85">
                  <c:v>98.403981422356253</c:v>
                </c:pt>
                <c:pt idx="86">
                  <c:v>98.407974588823095</c:v>
                </c:pt>
                <c:pt idx="87">
                  <c:v>98.411757398852842</c:v>
                </c:pt>
                <c:pt idx="88">
                  <c:v>98.415336986688061</c:v>
                </c:pt>
                <c:pt idx="89">
                  <c:v>98.418720168391545</c:v>
                </c:pt>
                <c:pt idx="90">
                  <c:v>98.42191345938862</c:v>
                </c:pt>
                <c:pt idx="91">
                  <c:v>98.424923090861611</c:v>
                </c:pt>
                <c:pt idx="92">
                  <c:v>98.427755025082803</c:v>
                </c:pt>
                <c:pt idx="93">
                  <c:v>98.43041496976565</c:v>
                </c:pt>
                <c:pt idx="94">
                  <c:v>98.432908391506643</c:v>
                </c:pt>
                <c:pt idx="95">
                  <c:v>98.435240528384114</c:v>
                </c:pt>
                <c:pt idx="96">
                  <c:v>98.437416401775579</c:v>
                </c:pt>
                <c:pt idx="97">
                  <c:v>98.439440827448806</c:v>
                </c:pt>
                <c:pt idx="98">
                  <c:v>98.441318425979048</c:v>
                </c:pt>
                <c:pt idx="99">
                  <c:v>98.443053632539034</c:v>
                </c:pt>
                <c:pt idx="100">
                  <c:v>98.444650706105591</c:v>
                </c:pt>
                <c:pt idx="101">
                  <c:v>98.446113738123103</c:v>
                </c:pt>
                <c:pt idx="102">
                  <c:v>98.447446660660745</c:v>
                </c:pt>
                <c:pt idx="103">
                  <c:v>98.448653254097792</c:v>
                </c:pt>
                <c:pt idx="104">
                  <c:v>98.449737154368279</c:v>
                </c:pt>
                <c:pt idx="105">
                  <c:v>98.450701859794592</c:v>
                </c:pt>
                <c:pt idx="106">
                  <c:v>98.451550737536508</c:v>
                </c:pt>
                <c:pt idx="107">
                  <c:v>98.452287029681216</c:v>
                </c:pt>
                <c:pt idx="108">
                  <c:v>98.45291385899688</c:v>
                </c:pt>
                <c:pt idx="109">
                  <c:v>98.453434234371599</c:v>
                </c:pt>
                <c:pt idx="110">
                  <c:v>98.453851055957628</c:v>
                </c:pt>
                <c:pt idx="111">
                  <c:v>98.454167120039088</c:v>
                </c:pt>
                <c:pt idx="112">
                  <c:v>98.454385123640506</c:v>
                </c:pt>
                <c:pt idx="113">
                  <c:v>98.454507668892404</c:v>
                </c:pt>
                <c:pt idx="114">
                  <c:v>98.454537267168135</c:v>
                </c:pt>
                <c:pt idx="115">
                  <c:v>98.45447634300632</c:v>
                </c:pt>
                <c:pt idx="116">
                  <c:v>98.454327237831805</c:v>
                </c:pt>
                <c:pt idx="117">
                  <c:v>98.454092213486504</c:v>
                </c:pt>
                <c:pt idx="118">
                  <c:v>98.453773455582109</c:v>
                </c:pt>
                <c:pt idx="119">
                  <c:v>98.453373076684542</c:v>
                </c:pt>
                <c:pt idx="120">
                  <c:v>98.452893119340189</c:v>
                </c:pt>
                <c:pt idx="121">
                  <c:v>98.452335558952839</c:v>
                </c:pt>
                <c:pt idx="122">
                  <c:v>98.451702306519991</c:v>
                </c:pt>
                <c:pt idx="123">
                  <c:v>98.450995211236389</c:v>
                </c:pt>
                <c:pt idx="124">
                  <c:v>98.450216062972331</c:v>
                </c:pt>
                <c:pt idx="125">
                  <c:v>98.449366594633574</c:v>
                </c:pt>
                <c:pt idx="126">
                  <c:v>98.448448484409582</c:v>
                </c:pt>
                <c:pt idx="127">
                  <c:v>98.44746335791605</c:v>
                </c:pt>
                <c:pt idx="128">
                  <c:v>98.446412790237645</c:v>
                </c:pt>
                <c:pt idx="129">
                  <c:v>98.445298307876001</c:v>
                </c:pt>
                <c:pt idx="130">
                  <c:v>98.444121390608657</c:v>
                </c:pt>
                <c:pt idx="131">
                  <c:v>98.442883473262867</c:v>
                </c:pt>
                <c:pt idx="132">
                  <c:v>98.441585947409578</c:v>
                </c:pt>
                <c:pt idx="133">
                  <c:v>98.440230162981194</c:v>
                </c:pt>
                <c:pt idx="134">
                  <c:v>98.438817429817178</c:v>
                </c:pt>
                <c:pt idx="135">
                  <c:v>98.437349019141649</c:v>
                </c:pt>
                <c:pt idx="136">
                  <c:v>98.435826164975708</c:v>
                </c:pt>
                <c:pt idx="137">
                  <c:v>98.434250065488541</c:v>
                </c:pt>
                <c:pt idx="138">
                  <c:v>98.432621884289844</c:v>
                </c:pt>
                <c:pt idx="139">
                  <c:v>98.430942751666947</c:v>
                </c:pt>
                <c:pt idx="140">
                  <c:v>98.429213765768978</c:v>
                </c:pt>
                <c:pt idx="141">
                  <c:v>98.427435993741028</c:v>
                </c:pt>
                <c:pt idx="142">
                  <c:v>98.425610472810547</c:v>
                </c:pt>
                <c:pt idx="143">
                  <c:v>98.423738211328356</c:v>
                </c:pt>
                <c:pt idx="144">
                  <c:v>98.421820189766663</c:v>
                </c:pt>
                <c:pt idx="145">
                  <c:v>98.419857361675668</c:v>
                </c:pt>
                <c:pt idx="146">
                  <c:v>98.417850654601352</c:v>
                </c:pt>
                <c:pt idx="147">
                  <c:v>98.41580097096579</c:v>
                </c:pt>
                <c:pt idx="148">
                  <c:v>98.413709188912037</c:v>
                </c:pt>
                <c:pt idx="149">
                  <c:v>98.411576163115029</c:v>
                </c:pt>
                <c:pt idx="150">
                  <c:v>98.409402725560398</c:v>
                </c:pt>
              </c:numCache>
            </c:numRef>
          </c:yVal>
          <c:smooth val="0"/>
          <c:extLst>
            <c:ext xmlns:c16="http://schemas.microsoft.com/office/drawing/2014/chart" uri="{C3380CC4-5D6E-409C-BE32-E72D297353CC}">
              <c16:uniqueId val="{00000000-6DF5-4D18-8D30-EE142E0FBE5F}"/>
            </c:ext>
          </c:extLst>
        </c:ser>
        <c:dLbls>
          <c:showLegendKey val="0"/>
          <c:showVal val="0"/>
          <c:showCatName val="0"/>
          <c:showSerName val="0"/>
          <c:showPercent val="0"/>
          <c:showBubbleSize val="0"/>
        </c:dLbls>
        <c:axId val="361445248"/>
        <c:axId val="361446784"/>
      </c:scatterChart>
      <c:scatterChart>
        <c:scatterStyle val="smoothMarker"/>
        <c:varyColors val="0"/>
        <c:ser>
          <c:idx val="1"/>
          <c:order val="1"/>
          <c:tx>
            <c:v>LS MOSFET</c:v>
          </c:tx>
          <c:spPr>
            <a:ln>
              <a:solidFill>
                <a:schemeClr val="tx2">
                  <a:lumMod val="75000"/>
                </a:schemeClr>
              </a:solidFill>
              <a:prstDash val="dashDot"/>
            </a:ln>
          </c:spPr>
          <c:marker>
            <c:symbol val="none"/>
          </c:marker>
          <c:xVal>
            <c:numRef>
              <c:f>Eff_vs_IOUT!$S$7:$S$157</c:f>
              <c:numCache>
                <c:formatCode>General</c:formatCode>
                <c:ptCount val="151"/>
                <c:pt idx="0">
                  <c:v>0</c:v>
                </c:pt>
                <c:pt idx="1">
                  <c:v>5.0133333333333328E-2</c:v>
                </c:pt>
                <c:pt idx="2">
                  <c:v>0.10026666666666666</c:v>
                </c:pt>
                <c:pt idx="3">
                  <c:v>0.15039999999999998</c:v>
                </c:pt>
                <c:pt idx="4">
                  <c:v>0.20053333333333331</c:v>
                </c:pt>
                <c:pt idx="5">
                  <c:v>0.25066666666666665</c:v>
                </c:pt>
                <c:pt idx="6">
                  <c:v>0.30079999999999996</c:v>
                </c:pt>
                <c:pt idx="7">
                  <c:v>0.35093333333333332</c:v>
                </c:pt>
                <c:pt idx="8">
                  <c:v>0.40106666666666663</c:v>
                </c:pt>
                <c:pt idx="9">
                  <c:v>0.45119999999999993</c:v>
                </c:pt>
                <c:pt idx="10">
                  <c:v>0.5013333333333333</c:v>
                </c:pt>
                <c:pt idx="11">
                  <c:v>0.55146666666666666</c:v>
                </c:pt>
                <c:pt idx="12">
                  <c:v>0.60159999999999991</c:v>
                </c:pt>
                <c:pt idx="13">
                  <c:v>0.65173333333333328</c:v>
                </c:pt>
                <c:pt idx="14">
                  <c:v>0.70186666666666664</c:v>
                </c:pt>
                <c:pt idx="15">
                  <c:v>0.75199999999999989</c:v>
                </c:pt>
                <c:pt idx="16">
                  <c:v>0.80213333333333325</c:v>
                </c:pt>
                <c:pt idx="17">
                  <c:v>0.85226666666666662</c:v>
                </c:pt>
                <c:pt idx="18">
                  <c:v>0.90239999999999987</c:v>
                </c:pt>
                <c:pt idx="19">
                  <c:v>0.95253333333333323</c:v>
                </c:pt>
                <c:pt idx="20">
                  <c:v>1.0026666666666666</c:v>
                </c:pt>
                <c:pt idx="21">
                  <c:v>1.0528</c:v>
                </c:pt>
                <c:pt idx="22">
                  <c:v>1.1029333333333333</c:v>
                </c:pt>
                <c:pt idx="23">
                  <c:v>1.1530666666666665</c:v>
                </c:pt>
                <c:pt idx="24">
                  <c:v>1.2031999999999998</c:v>
                </c:pt>
                <c:pt idx="25">
                  <c:v>1.2533333333333332</c:v>
                </c:pt>
                <c:pt idx="26">
                  <c:v>1.3034666666666666</c:v>
                </c:pt>
                <c:pt idx="27">
                  <c:v>1.3535999999999999</c:v>
                </c:pt>
                <c:pt idx="28">
                  <c:v>1.4037333333333333</c:v>
                </c:pt>
                <c:pt idx="29">
                  <c:v>1.4538666666666664</c:v>
                </c:pt>
                <c:pt idx="30">
                  <c:v>1.5039999999999998</c:v>
                </c:pt>
                <c:pt idx="31">
                  <c:v>1.5541333333333331</c:v>
                </c:pt>
                <c:pt idx="32">
                  <c:v>1.6042666666666665</c:v>
                </c:pt>
                <c:pt idx="33">
                  <c:v>1.6543999999999999</c:v>
                </c:pt>
                <c:pt idx="34">
                  <c:v>1.7045333333333332</c:v>
                </c:pt>
                <c:pt idx="35">
                  <c:v>1.7546666666666666</c:v>
                </c:pt>
                <c:pt idx="36">
                  <c:v>1.8047999999999997</c:v>
                </c:pt>
                <c:pt idx="37">
                  <c:v>1.8549333333333331</c:v>
                </c:pt>
                <c:pt idx="38">
                  <c:v>1.9050666666666665</c:v>
                </c:pt>
                <c:pt idx="39">
                  <c:v>1.9551999999999998</c:v>
                </c:pt>
                <c:pt idx="40">
                  <c:v>2.0053333333333332</c:v>
                </c:pt>
                <c:pt idx="41">
                  <c:v>2.0554666666666663</c:v>
                </c:pt>
                <c:pt idx="42">
                  <c:v>2.1055999999999999</c:v>
                </c:pt>
                <c:pt idx="43">
                  <c:v>2.1557333333333331</c:v>
                </c:pt>
                <c:pt idx="44">
                  <c:v>2.2058666666666666</c:v>
                </c:pt>
                <c:pt idx="45">
                  <c:v>2.2559999999999998</c:v>
                </c:pt>
                <c:pt idx="46">
                  <c:v>2.3061333333333329</c:v>
                </c:pt>
                <c:pt idx="47">
                  <c:v>2.3562666666666665</c:v>
                </c:pt>
                <c:pt idx="48">
                  <c:v>2.4063999999999997</c:v>
                </c:pt>
                <c:pt idx="49">
                  <c:v>2.4565333333333332</c:v>
                </c:pt>
                <c:pt idx="50">
                  <c:v>2.5066666666666664</c:v>
                </c:pt>
                <c:pt idx="51">
                  <c:v>2.5568</c:v>
                </c:pt>
                <c:pt idx="52">
                  <c:v>2.6069333333333331</c:v>
                </c:pt>
                <c:pt idx="53">
                  <c:v>2.6570666666666662</c:v>
                </c:pt>
                <c:pt idx="54">
                  <c:v>2.7071999999999998</c:v>
                </c:pt>
                <c:pt idx="55">
                  <c:v>2.757333333333333</c:v>
                </c:pt>
                <c:pt idx="56">
                  <c:v>2.8074666666666666</c:v>
                </c:pt>
                <c:pt idx="57">
                  <c:v>2.8575999999999997</c:v>
                </c:pt>
                <c:pt idx="58">
                  <c:v>2.9077333333333328</c:v>
                </c:pt>
                <c:pt idx="59">
                  <c:v>2.9578666666666664</c:v>
                </c:pt>
                <c:pt idx="60">
                  <c:v>3.0079999999999996</c:v>
                </c:pt>
                <c:pt idx="61">
                  <c:v>3.0581333333333331</c:v>
                </c:pt>
                <c:pt idx="62">
                  <c:v>3.1082666666666663</c:v>
                </c:pt>
                <c:pt idx="63">
                  <c:v>3.1583999999999999</c:v>
                </c:pt>
                <c:pt idx="64">
                  <c:v>3.208533333333333</c:v>
                </c:pt>
                <c:pt idx="65">
                  <c:v>3.2586666666666662</c:v>
                </c:pt>
                <c:pt idx="66">
                  <c:v>3.3087999999999997</c:v>
                </c:pt>
                <c:pt idx="67">
                  <c:v>3.3589333333333329</c:v>
                </c:pt>
                <c:pt idx="68">
                  <c:v>3.4090666666666665</c:v>
                </c:pt>
                <c:pt idx="69">
                  <c:v>3.4591999999999996</c:v>
                </c:pt>
                <c:pt idx="70">
                  <c:v>3.5093333333333332</c:v>
                </c:pt>
                <c:pt idx="71">
                  <c:v>3.5594666666666663</c:v>
                </c:pt>
                <c:pt idx="72">
                  <c:v>3.6095999999999995</c:v>
                </c:pt>
                <c:pt idx="73">
                  <c:v>3.6597333333333331</c:v>
                </c:pt>
                <c:pt idx="74">
                  <c:v>3.7098666666666662</c:v>
                </c:pt>
                <c:pt idx="75">
                  <c:v>3.76</c:v>
                </c:pt>
                <c:pt idx="76">
                  <c:v>3.8101333333333329</c:v>
                </c:pt>
                <c:pt idx="77">
                  <c:v>3.8602666666666661</c:v>
                </c:pt>
                <c:pt idx="78">
                  <c:v>3.9103999999999997</c:v>
                </c:pt>
                <c:pt idx="79">
                  <c:v>3.9605333333333328</c:v>
                </c:pt>
                <c:pt idx="80">
                  <c:v>4.0106666666666664</c:v>
                </c:pt>
                <c:pt idx="81">
                  <c:v>4.0607999999999995</c:v>
                </c:pt>
                <c:pt idx="82">
                  <c:v>4.1109333333333327</c:v>
                </c:pt>
                <c:pt idx="83">
                  <c:v>4.1610666666666667</c:v>
                </c:pt>
                <c:pt idx="84">
                  <c:v>4.2111999999999998</c:v>
                </c:pt>
                <c:pt idx="85">
                  <c:v>4.261333333333333</c:v>
                </c:pt>
                <c:pt idx="86">
                  <c:v>4.3114666666666661</c:v>
                </c:pt>
                <c:pt idx="87">
                  <c:v>4.3615999999999993</c:v>
                </c:pt>
                <c:pt idx="88">
                  <c:v>4.4117333333333333</c:v>
                </c:pt>
                <c:pt idx="89">
                  <c:v>4.4618666666666664</c:v>
                </c:pt>
                <c:pt idx="90">
                  <c:v>4.5119999999999996</c:v>
                </c:pt>
                <c:pt idx="91">
                  <c:v>4.5621333333333327</c:v>
                </c:pt>
                <c:pt idx="92">
                  <c:v>4.6122666666666658</c:v>
                </c:pt>
                <c:pt idx="93">
                  <c:v>4.6623999999999999</c:v>
                </c:pt>
                <c:pt idx="94">
                  <c:v>4.712533333333333</c:v>
                </c:pt>
                <c:pt idx="95">
                  <c:v>4.7626666666666662</c:v>
                </c:pt>
                <c:pt idx="96">
                  <c:v>4.8127999999999993</c:v>
                </c:pt>
                <c:pt idx="97">
                  <c:v>4.8629333333333324</c:v>
                </c:pt>
                <c:pt idx="98">
                  <c:v>4.9130666666666665</c:v>
                </c:pt>
                <c:pt idx="99">
                  <c:v>4.9631999999999996</c:v>
                </c:pt>
                <c:pt idx="100">
                  <c:v>5.0133333333333328</c:v>
                </c:pt>
                <c:pt idx="101">
                  <c:v>5.0634666666666659</c:v>
                </c:pt>
                <c:pt idx="102">
                  <c:v>5.1135999999999999</c:v>
                </c:pt>
                <c:pt idx="103">
                  <c:v>5.1637333333333331</c:v>
                </c:pt>
                <c:pt idx="104">
                  <c:v>5.2138666666666662</c:v>
                </c:pt>
                <c:pt idx="105">
                  <c:v>5.2639999999999993</c:v>
                </c:pt>
                <c:pt idx="106">
                  <c:v>5.3141333333333325</c:v>
                </c:pt>
                <c:pt idx="107">
                  <c:v>5.3642666666666665</c:v>
                </c:pt>
                <c:pt idx="108">
                  <c:v>5.4143999999999997</c:v>
                </c:pt>
                <c:pt idx="109">
                  <c:v>5.4645333333333328</c:v>
                </c:pt>
                <c:pt idx="110">
                  <c:v>5.5146666666666659</c:v>
                </c:pt>
                <c:pt idx="111">
                  <c:v>5.5647999999999991</c:v>
                </c:pt>
                <c:pt idx="112">
                  <c:v>5.6149333333333331</c:v>
                </c:pt>
                <c:pt idx="113">
                  <c:v>5.6650666666666663</c:v>
                </c:pt>
                <c:pt idx="114">
                  <c:v>5.7151999999999994</c:v>
                </c:pt>
                <c:pt idx="115">
                  <c:v>5.7653333333333325</c:v>
                </c:pt>
                <c:pt idx="116">
                  <c:v>5.8154666666666657</c:v>
                </c:pt>
                <c:pt idx="117">
                  <c:v>5.8655999999999997</c:v>
                </c:pt>
                <c:pt idx="118">
                  <c:v>5.9157333333333328</c:v>
                </c:pt>
                <c:pt idx="119">
                  <c:v>5.965866666666666</c:v>
                </c:pt>
                <c:pt idx="120">
                  <c:v>6.0159999999999991</c:v>
                </c:pt>
                <c:pt idx="121">
                  <c:v>6.0661333333333332</c:v>
                </c:pt>
                <c:pt idx="122">
                  <c:v>6.1162666666666663</c:v>
                </c:pt>
                <c:pt idx="123">
                  <c:v>6.1663999999999994</c:v>
                </c:pt>
                <c:pt idx="124">
                  <c:v>6.2165333333333326</c:v>
                </c:pt>
                <c:pt idx="125">
                  <c:v>6.2666666666666657</c:v>
                </c:pt>
                <c:pt idx="126">
                  <c:v>6.3167999999999997</c:v>
                </c:pt>
                <c:pt idx="127">
                  <c:v>6.3669333333333329</c:v>
                </c:pt>
                <c:pt idx="128">
                  <c:v>6.417066666666666</c:v>
                </c:pt>
                <c:pt idx="129">
                  <c:v>6.4671999999999992</c:v>
                </c:pt>
                <c:pt idx="130">
                  <c:v>6.5173333333333323</c:v>
                </c:pt>
                <c:pt idx="131">
                  <c:v>6.5674666666666663</c:v>
                </c:pt>
                <c:pt idx="132">
                  <c:v>6.6175999999999995</c:v>
                </c:pt>
                <c:pt idx="133">
                  <c:v>6.6677333333333326</c:v>
                </c:pt>
                <c:pt idx="134">
                  <c:v>6.7178666666666658</c:v>
                </c:pt>
                <c:pt idx="135">
                  <c:v>6.7679999999999989</c:v>
                </c:pt>
                <c:pt idx="136">
                  <c:v>6.8181333333333329</c:v>
                </c:pt>
                <c:pt idx="137">
                  <c:v>6.8682666666666661</c:v>
                </c:pt>
                <c:pt idx="138">
                  <c:v>6.9183999999999992</c:v>
                </c:pt>
                <c:pt idx="139">
                  <c:v>6.9685333333333324</c:v>
                </c:pt>
                <c:pt idx="140">
                  <c:v>7.0186666666666664</c:v>
                </c:pt>
                <c:pt idx="141">
                  <c:v>7.0687999999999995</c:v>
                </c:pt>
                <c:pt idx="142">
                  <c:v>7.1189333333333327</c:v>
                </c:pt>
                <c:pt idx="143">
                  <c:v>7.1690666666666658</c:v>
                </c:pt>
                <c:pt idx="144">
                  <c:v>7.219199999999999</c:v>
                </c:pt>
                <c:pt idx="145">
                  <c:v>7.269333333333333</c:v>
                </c:pt>
                <c:pt idx="146">
                  <c:v>7.3194666666666661</c:v>
                </c:pt>
                <c:pt idx="147">
                  <c:v>7.3695999999999993</c:v>
                </c:pt>
                <c:pt idx="148">
                  <c:v>7.4197333333333324</c:v>
                </c:pt>
                <c:pt idx="149">
                  <c:v>7.4698666666666655</c:v>
                </c:pt>
                <c:pt idx="150">
                  <c:v>7.52</c:v>
                </c:pt>
              </c:numCache>
            </c:numRef>
          </c:xVal>
          <c:yVal>
            <c:numRef>
              <c:f>Eff_vs_IOUT!$AI$7:$AI$157</c:f>
              <c:numCache>
                <c:formatCode>General</c:formatCode>
                <c:ptCount val="151"/>
                <c:pt idx="0">
                  <c:v>5.8441084082109717E-3</c:v>
                </c:pt>
                <c:pt idx="1">
                  <c:v>1.5264403550019512E-2</c:v>
                </c:pt>
                <c:pt idx="2">
                  <c:v>2.471485890516139E-2</c:v>
                </c:pt>
                <c:pt idx="3">
                  <c:v>3.4195474473636585E-2</c:v>
                </c:pt>
                <c:pt idx="4">
                  <c:v>4.3706250255445125E-2</c:v>
                </c:pt>
                <c:pt idx="5">
                  <c:v>5.3247186250587004E-2</c:v>
                </c:pt>
                <c:pt idx="6">
                  <c:v>6.2818282459062208E-2</c:v>
                </c:pt>
                <c:pt idx="7">
                  <c:v>7.2419538880870743E-2</c:v>
                </c:pt>
                <c:pt idx="8">
                  <c:v>8.2050955516012603E-2</c:v>
                </c:pt>
                <c:pt idx="9">
                  <c:v>9.17125323644878E-2</c:v>
                </c:pt>
                <c:pt idx="10">
                  <c:v>0.10140426942629636</c:v>
                </c:pt>
                <c:pt idx="11">
                  <c:v>0.11112616670143824</c:v>
                </c:pt>
                <c:pt idx="12">
                  <c:v>0.12087822418991341</c:v>
                </c:pt>
                <c:pt idx="13">
                  <c:v>0.13066044189172196</c:v>
                </c:pt>
                <c:pt idx="14">
                  <c:v>0.14047281980686385</c:v>
                </c:pt>
                <c:pt idx="15">
                  <c:v>0.15031535793533898</c:v>
                </c:pt>
                <c:pt idx="16">
                  <c:v>0.16018805627714761</c:v>
                </c:pt>
                <c:pt idx="17">
                  <c:v>0.17009091483228944</c:v>
                </c:pt>
                <c:pt idx="18">
                  <c:v>0.18002393360076466</c:v>
                </c:pt>
                <c:pt idx="19">
                  <c:v>0.18998711258257317</c:v>
                </c:pt>
                <c:pt idx="20">
                  <c:v>0.19998045177771506</c:v>
                </c:pt>
                <c:pt idx="21">
                  <c:v>0.21000395118619028</c:v>
                </c:pt>
                <c:pt idx="22">
                  <c:v>0.22005761080799885</c:v>
                </c:pt>
                <c:pt idx="23">
                  <c:v>0.23014143064314066</c:v>
                </c:pt>
                <c:pt idx="24">
                  <c:v>0.24025541069161585</c:v>
                </c:pt>
                <c:pt idx="25">
                  <c:v>0.25039955095342442</c:v>
                </c:pt>
                <c:pt idx="26">
                  <c:v>0.26057385142856626</c:v>
                </c:pt>
                <c:pt idx="27">
                  <c:v>0.27077831211704151</c:v>
                </c:pt>
                <c:pt idx="28">
                  <c:v>0.28101293301885005</c:v>
                </c:pt>
                <c:pt idx="29">
                  <c:v>0.29127771413399184</c:v>
                </c:pt>
                <c:pt idx="30">
                  <c:v>0.30157265546246698</c:v>
                </c:pt>
                <c:pt idx="31">
                  <c:v>0.31189775700427569</c:v>
                </c:pt>
                <c:pt idx="32">
                  <c:v>0.32225301875941753</c:v>
                </c:pt>
                <c:pt idx="33">
                  <c:v>0.33263844072789273</c:v>
                </c:pt>
                <c:pt idx="34">
                  <c:v>0.34305402290970122</c:v>
                </c:pt>
                <c:pt idx="35">
                  <c:v>0.35349976530484323</c:v>
                </c:pt>
                <c:pt idx="36">
                  <c:v>0.36397566791331831</c:v>
                </c:pt>
                <c:pt idx="37">
                  <c:v>0.37448173073512686</c:v>
                </c:pt>
                <c:pt idx="38">
                  <c:v>0.38501795377026871</c:v>
                </c:pt>
                <c:pt idx="39">
                  <c:v>0.3955843370187439</c:v>
                </c:pt>
                <c:pt idx="40">
                  <c:v>0.40618088048055251</c:v>
                </c:pt>
                <c:pt idx="41">
                  <c:v>0.4168075841556943</c:v>
                </c:pt>
                <c:pt idx="42">
                  <c:v>0.42746444804416961</c:v>
                </c:pt>
                <c:pt idx="43">
                  <c:v>0.43815147214597816</c:v>
                </c:pt>
                <c:pt idx="44">
                  <c:v>0.44886865646112006</c:v>
                </c:pt>
                <c:pt idx="45">
                  <c:v>0.4596160009895951</c:v>
                </c:pt>
                <c:pt idx="46">
                  <c:v>0.47039350573140365</c:v>
                </c:pt>
                <c:pt idx="47">
                  <c:v>0.48120117068654555</c:v>
                </c:pt>
                <c:pt idx="48">
                  <c:v>0.49203899585502076</c:v>
                </c:pt>
                <c:pt idx="49">
                  <c:v>0.50290698123682942</c:v>
                </c:pt>
                <c:pt idx="50">
                  <c:v>0.5138051268319711</c:v>
                </c:pt>
                <c:pt idx="51">
                  <c:v>0.52473343264044636</c:v>
                </c:pt>
                <c:pt idx="52">
                  <c:v>0.53569189866225497</c:v>
                </c:pt>
                <c:pt idx="53">
                  <c:v>0.54668052489739682</c:v>
                </c:pt>
                <c:pt idx="54">
                  <c:v>0.55769931134587203</c:v>
                </c:pt>
                <c:pt idx="55">
                  <c:v>0.56874825800768058</c:v>
                </c:pt>
                <c:pt idx="56">
                  <c:v>0.57982736488282249</c:v>
                </c:pt>
                <c:pt idx="57">
                  <c:v>0.59093663197129764</c:v>
                </c:pt>
                <c:pt idx="58">
                  <c:v>0.60207605927310603</c:v>
                </c:pt>
                <c:pt idx="59">
                  <c:v>0.613245646788248</c:v>
                </c:pt>
                <c:pt idx="60">
                  <c:v>0.62444539451672298</c:v>
                </c:pt>
                <c:pt idx="61">
                  <c:v>0.63567530245853188</c:v>
                </c:pt>
                <c:pt idx="62">
                  <c:v>0.64693537061367368</c:v>
                </c:pt>
                <c:pt idx="63">
                  <c:v>0.65822559898214883</c:v>
                </c:pt>
                <c:pt idx="64">
                  <c:v>0.66954598756395733</c:v>
                </c:pt>
                <c:pt idx="65">
                  <c:v>0.68089653635909919</c:v>
                </c:pt>
                <c:pt idx="66">
                  <c:v>0.69227724536757451</c:v>
                </c:pt>
                <c:pt idx="67">
                  <c:v>0.70368811458938307</c:v>
                </c:pt>
                <c:pt idx="68">
                  <c:v>0.71512914402452488</c:v>
                </c:pt>
                <c:pt idx="69">
                  <c:v>0.72660033367299992</c:v>
                </c:pt>
                <c:pt idx="70">
                  <c:v>0.73810168353480887</c:v>
                </c:pt>
                <c:pt idx="71">
                  <c:v>0.74963319360995051</c:v>
                </c:pt>
                <c:pt idx="72">
                  <c:v>0.7611948638984255</c:v>
                </c:pt>
                <c:pt idx="73">
                  <c:v>0.77278669440023429</c:v>
                </c:pt>
                <c:pt idx="74">
                  <c:v>0.78440868511537609</c:v>
                </c:pt>
                <c:pt idx="75">
                  <c:v>0.79606083604385136</c:v>
                </c:pt>
                <c:pt idx="76">
                  <c:v>0.80774314718565976</c:v>
                </c:pt>
                <c:pt idx="77">
                  <c:v>0.81945561854080162</c:v>
                </c:pt>
                <c:pt idx="78">
                  <c:v>0.83119825010927684</c:v>
                </c:pt>
                <c:pt idx="79">
                  <c:v>0.8429710418910854</c:v>
                </c:pt>
                <c:pt idx="80">
                  <c:v>0.85477399388622732</c:v>
                </c:pt>
                <c:pt idx="81">
                  <c:v>0.86660710609470248</c:v>
                </c:pt>
                <c:pt idx="82">
                  <c:v>0.878470378516511</c:v>
                </c:pt>
                <c:pt idx="83">
                  <c:v>0.89036381115165297</c:v>
                </c:pt>
                <c:pt idx="84">
                  <c:v>0.9022874040001283</c:v>
                </c:pt>
                <c:pt idx="85">
                  <c:v>0.91424115706193676</c:v>
                </c:pt>
                <c:pt idx="86">
                  <c:v>0.92622507033707868</c:v>
                </c:pt>
                <c:pt idx="87">
                  <c:v>0.93823914382555362</c:v>
                </c:pt>
                <c:pt idx="88">
                  <c:v>0.95028337752736247</c:v>
                </c:pt>
                <c:pt idx="89">
                  <c:v>0.96235777144250423</c:v>
                </c:pt>
                <c:pt idx="90">
                  <c:v>0.97446232557097923</c:v>
                </c:pt>
                <c:pt idx="91">
                  <c:v>0.9865970399127878</c:v>
                </c:pt>
                <c:pt idx="92">
                  <c:v>0.99876191446792972</c:v>
                </c:pt>
                <c:pt idx="93">
                  <c:v>1.0109569492364048</c:v>
                </c:pt>
                <c:pt idx="94">
                  <c:v>1.0231821442182134</c:v>
                </c:pt>
                <c:pt idx="95">
                  <c:v>1.0354374994133555</c:v>
                </c:pt>
                <c:pt idx="96">
                  <c:v>1.0477230148218304</c:v>
                </c:pt>
                <c:pt idx="97">
                  <c:v>1.0600386904436392</c:v>
                </c:pt>
                <c:pt idx="98">
                  <c:v>1.072384526278781</c:v>
                </c:pt>
                <c:pt idx="99">
                  <c:v>1.0847605223272561</c:v>
                </c:pt>
                <c:pt idx="100">
                  <c:v>1.0971666785890648</c:v>
                </c:pt>
                <c:pt idx="101">
                  <c:v>1.1096029950642063</c:v>
                </c:pt>
                <c:pt idx="102">
                  <c:v>1.1220694717526818</c:v>
                </c:pt>
                <c:pt idx="103">
                  <c:v>1.1345661086544903</c:v>
                </c:pt>
                <c:pt idx="104">
                  <c:v>1.1470929057696324</c:v>
                </c:pt>
                <c:pt idx="105">
                  <c:v>1.1596498630981074</c:v>
                </c:pt>
                <c:pt idx="106">
                  <c:v>1.172236980639916</c:v>
                </c:pt>
                <c:pt idx="107">
                  <c:v>1.1848542583950579</c:v>
                </c:pt>
                <c:pt idx="108">
                  <c:v>1.197501696363533</c:v>
                </c:pt>
                <c:pt idx="109">
                  <c:v>1.2101792945453418</c:v>
                </c:pt>
                <c:pt idx="110">
                  <c:v>1.2228870529404834</c:v>
                </c:pt>
                <c:pt idx="111">
                  <c:v>1.2356249715489582</c:v>
                </c:pt>
                <c:pt idx="112">
                  <c:v>1.2483930503707672</c:v>
                </c:pt>
                <c:pt idx="113">
                  <c:v>1.2611912894059092</c:v>
                </c:pt>
                <c:pt idx="114">
                  <c:v>1.2740196886543842</c:v>
                </c:pt>
                <c:pt idx="115">
                  <c:v>1.2868782481161929</c:v>
                </c:pt>
                <c:pt idx="116">
                  <c:v>1.2997669677913344</c:v>
                </c:pt>
                <c:pt idx="117">
                  <c:v>1.3126858476798098</c:v>
                </c:pt>
                <c:pt idx="118">
                  <c:v>1.3256348877816184</c:v>
                </c:pt>
                <c:pt idx="119">
                  <c:v>1.3386140880967601</c:v>
                </c:pt>
                <c:pt idx="120">
                  <c:v>1.351623448625235</c:v>
                </c:pt>
                <c:pt idx="121">
                  <c:v>1.3646629693670442</c:v>
                </c:pt>
                <c:pt idx="122">
                  <c:v>1.3777326503221861</c:v>
                </c:pt>
                <c:pt idx="123">
                  <c:v>1.3908324914906611</c:v>
                </c:pt>
                <c:pt idx="124">
                  <c:v>1.4039624928724699</c:v>
                </c:pt>
                <c:pt idx="125">
                  <c:v>1.4171226544676114</c:v>
                </c:pt>
                <c:pt idx="126">
                  <c:v>1.4303129762760867</c:v>
                </c:pt>
                <c:pt idx="127">
                  <c:v>1.4435334582978956</c:v>
                </c:pt>
                <c:pt idx="128">
                  <c:v>1.4567841005330373</c:v>
                </c:pt>
                <c:pt idx="129">
                  <c:v>1.470064902981512</c:v>
                </c:pt>
                <c:pt idx="130">
                  <c:v>1.4833758656433209</c:v>
                </c:pt>
                <c:pt idx="131">
                  <c:v>1.4967169885184628</c:v>
                </c:pt>
                <c:pt idx="132">
                  <c:v>1.5100882716069379</c:v>
                </c:pt>
                <c:pt idx="133">
                  <c:v>1.5234897149087465</c:v>
                </c:pt>
                <c:pt idx="134">
                  <c:v>1.5369213184238886</c:v>
                </c:pt>
                <c:pt idx="135">
                  <c:v>1.5503830821523632</c:v>
                </c:pt>
                <c:pt idx="136">
                  <c:v>1.5638750060941722</c:v>
                </c:pt>
                <c:pt idx="137">
                  <c:v>1.5773970902493137</c:v>
                </c:pt>
                <c:pt idx="138">
                  <c:v>1.5909493346177888</c:v>
                </c:pt>
                <c:pt idx="139">
                  <c:v>1.6045317391995977</c:v>
                </c:pt>
                <c:pt idx="140">
                  <c:v>1.6181443039947399</c:v>
                </c:pt>
                <c:pt idx="141">
                  <c:v>1.6317870290032148</c:v>
                </c:pt>
                <c:pt idx="142">
                  <c:v>1.6454599142250235</c:v>
                </c:pt>
                <c:pt idx="143">
                  <c:v>1.6591629596601651</c:v>
                </c:pt>
                <c:pt idx="144">
                  <c:v>1.6728961653086403</c:v>
                </c:pt>
                <c:pt idx="145">
                  <c:v>1.6866595311704491</c:v>
                </c:pt>
                <c:pt idx="146">
                  <c:v>1.7004530572455909</c:v>
                </c:pt>
                <c:pt idx="147">
                  <c:v>1.7142767435340658</c:v>
                </c:pt>
                <c:pt idx="148">
                  <c:v>1.7281305900358745</c:v>
                </c:pt>
                <c:pt idx="149">
                  <c:v>1.7420145967510163</c:v>
                </c:pt>
                <c:pt idx="150">
                  <c:v>1.7559287636794918</c:v>
                </c:pt>
              </c:numCache>
            </c:numRef>
          </c:yVal>
          <c:smooth val="1"/>
          <c:extLst>
            <c:ext xmlns:c16="http://schemas.microsoft.com/office/drawing/2014/chart" uri="{C3380CC4-5D6E-409C-BE32-E72D297353CC}">
              <c16:uniqueId val="{00000001-6DF5-4D18-8D30-EE142E0FBE5F}"/>
            </c:ext>
          </c:extLst>
        </c:ser>
        <c:ser>
          <c:idx val="2"/>
          <c:order val="2"/>
          <c:tx>
            <c:v>HS MOSFET</c:v>
          </c:tx>
          <c:spPr>
            <a:ln>
              <a:solidFill>
                <a:schemeClr val="bg2">
                  <a:lumMod val="50000"/>
                </a:schemeClr>
              </a:solidFill>
              <a:prstDash val="sysDash"/>
            </a:ln>
          </c:spPr>
          <c:marker>
            <c:symbol val="none"/>
          </c:marker>
          <c:xVal>
            <c:numRef>
              <c:f>Eff_vs_IOUT!$S$7:$S$157</c:f>
              <c:numCache>
                <c:formatCode>General</c:formatCode>
                <c:ptCount val="151"/>
                <c:pt idx="0">
                  <c:v>0</c:v>
                </c:pt>
                <c:pt idx="1">
                  <c:v>5.0133333333333328E-2</c:v>
                </c:pt>
                <c:pt idx="2">
                  <c:v>0.10026666666666666</c:v>
                </c:pt>
                <c:pt idx="3">
                  <c:v>0.15039999999999998</c:v>
                </c:pt>
                <c:pt idx="4">
                  <c:v>0.20053333333333331</c:v>
                </c:pt>
                <c:pt idx="5">
                  <c:v>0.25066666666666665</c:v>
                </c:pt>
                <c:pt idx="6">
                  <c:v>0.30079999999999996</c:v>
                </c:pt>
                <c:pt idx="7">
                  <c:v>0.35093333333333332</c:v>
                </c:pt>
                <c:pt idx="8">
                  <c:v>0.40106666666666663</c:v>
                </c:pt>
                <c:pt idx="9">
                  <c:v>0.45119999999999993</c:v>
                </c:pt>
                <c:pt idx="10">
                  <c:v>0.5013333333333333</c:v>
                </c:pt>
                <c:pt idx="11">
                  <c:v>0.55146666666666666</c:v>
                </c:pt>
                <c:pt idx="12">
                  <c:v>0.60159999999999991</c:v>
                </c:pt>
                <c:pt idx="13">
                  <c:v>0.65173333333333328</c:v>
                </c:pt>
                <c:pt idx="14">
                  <c:v>0.70186666666666664</c:v>
                </c:pt>
                <c:pt idx="15">
                  <c:v>0.75199999999999989</c:v>
                </c:pt>
                <c:pt idx="16">
                  <c:v>0.80213333333333325</c:v>
                </c:pt>
                <c:pt idx="17">
                  <c:v>0.85226666666666662</c:v>
                </c:pt>
                <c:pt idx="18">
                  <c:v>0.90239999999999987</c:v>
                </c:pt>
                <c:pt idx="19">
                  <c:v>0.95253333333333323</c:v>
                </c:pt>
                <c:pt idx="20">
                  <c:v>1.0026666666666666</c:v>
                </c:pt>
                <c:pt idx="21">
                  <c:v>1.0528</c:v>
                </c:pt>
                <c:pt idx="22">
                  <c:v>1.1029333333333333</c:v>
                </c:pt>
                <c:pt idx="23">
                  <c:v>1.1530666666666665</c:v>
                </c:pt>
                <c:pt idx="24">
                  <c:v>1.2031999999999998</c:v>
                </c:pt>
                <c:pt idx="25">
                  <c:v>1.2533333333333332</c:v>
                </c:pt>
                <c:pt idx="26">
                  <c:v>1.3034666666666666</c:v>
                </c:pt>
                <c:pt idx="27">
                  <c:v>1.3535999999999999</c:v>
                </c:pt>
                <c:pt idx="28">
                  <c:v>1.4037333333333333</c:v>
                </c:pt>
                <c:pt idx="29">
                  <c:v>1.4538666666666664</c:v>
                </c:pt>
                <c:pt idx="30">
                  <c:v>1.5039999999999998</c:v>
                </c:pt>
                <c:pt idx="31">
                  <c:v>1.5541333333333331</c:v>
                </c:pt>
                <c:pt idx="32">
                  <c:v>1.6042666666666665</c:v>
                </c:pt>
                <c:pt idx="33">
                  <c:v>1.6543999999999999</c:v>
                </c:pt>
                <c:pt idx="34">
                  <c:v>1.7045333333333332</c:v>
                </c:pt>
                <c:pt idx="35">
                  <c:v>1.7546666666666666</c:v>
                </c:pt>
                <c:pt idx="36">
                  <c:v>1.8047999999999997</c:v>
                </c:pt>
                <c:pt idx="37">
                  <c:v>1.8549333333333331</c:v>
                </c:pt>
                <c:pt idx="38">
                  <c:v>1.9050666666666665</c:v>
                </c:pt>
                <c:pt idx="39">
                  <c:v>1.9551999999999998</c:v>
                </c:pt>
                <c:pt idx="40">
                  <c:v>2.0053333333333332</c:v>
                </c:pt>
                <c:pt idx="41">
                  <c:v>2.0554666666666663</c:v>
                </c:pt>
                <c:pt idx="42">
                  <c:v>2.1055999999999999</c:v>
                </c:pt>
                <c:pt idx="43">
                  <c:v>2.1557333333333331</c:v>
                </c:pt>
                <c:pt idx="44">
                  <c:v>2.2058666666666666</c:v>
                </c:pt>
                <c:pt idx="45">
                  <c:v>2.2559999999999998</c:v>
                </c:pt>
                <c:pt idx="46">
                  <c:v>2.3061333333333329</c:v>
                </c:pt>
                <c:pt idx="47">
                  <c:v>2.3562666666666665</c:v>
                </c:pt>
                <c:pt idx="48">
                  <c:v>2.4063999999999997</c:v>
                </c:pt>
                <c:pt idx="49">
                  <c:v>2.4565333333333332</c:v>
                </c:pt>
                <c:pt idx="50">
                  <c:v>2.5066666666666664</c:v>
                </c:pt>
                <c:pt idx="51">
                  <c:v>2.5568</c:v>
                </c:pt>
                <c:pt idx="52">
                  <c:v>2.6069333333333331</c:v>
                </c:pt>
                <c:pt idx="53">
                  <c:v>2.6570666666666662</c:v>
                </c:pt>
                <c:pt idx="54">
                  <c:v>2.7071999999999998</c:v>
                </c:pt>
                <c:pt idx="55">
                  <c:v>2.757333333333333</c:v>
                </c:pt>
                <c:pt idx="56">
                  <c:v>2.8074666666666666</c:v>
                </c:pt>
                <c:pt idx="57">
                  <c:v>2.8575999999999997</c:v>
                </c:pt>
                <c:pt idx="58">
                  <c:v>2.9077333333333328</c:v>
                </c:pt>
                <c:pt idx="59">
                  <c:v>2.9578666666666664</c:v>
                </c:pt>
                <c:pt idx="60">
                  <c:v>3.0079999999999996</c:v>
                </c:pt>
                <c:pt idx="61">
                  <c:v>3.0581333333333331</c:v>
                </c:pt>
                <c:pt idx="62">
                  <c:v>3.1082666666666663</c:v>
                </c:pt>
                <c:pt idx="63">
                  <c:v>3.1583999999999999</c:v>
                </c:pt>
                <c:pt idx="64">
                  <c:v>3.208533333333333</c:v>
                </c:pt>
                <c:pt idx="65">
                  <c:v>3.2586666666666662</c:v>
                </c:pt>
                <c:pt idx="66">
                  <c:v>3.3087999999999997</c:v>
                </c:pt>
                <c:pt idx="67">
                  <c:v>3.3589333333333329</c:v>
                </c:pt>
                <c:pt idx="68">
                  <c:v>3.4090666666666665</c:v>
                </c:pt>
                <c:pt idx="69">
                  <c:v>3.4591999999999996</c:v>
                </c:pt>
                <c:pt idx="70">
                  <c:v>3.5093333333333332</c:v>
                </c:pt>
                <c:pt idx="71">
                  <c:v>3.5594666666666663</c:v>
                </c:pt>
                <c:pt idx="72">
                  <c:v>3.6095999999999995</c:v>
                </c:pt>
                <c:pt idx="73">
                  <c:v>3.6597333333333331</c:v>
                </c:pt>
                <c:pt idx="74">
                  <c:v>3.7098666666666662</c:v>
                </c:pt>
                <c:pt idx="75">
                  <c:v>3.76</c:v>
                </c:pt>
                <c:pt idx="76">
                  <c:v>3.8101333333333329</c:v>
                </c:pt>
                <c:pt idx="77">
                  <c:v>3.8602666666666661</c:v>
                </c:pt>
                <c:pt idx="78">
                  <c:v>3.9103999999999997</c:v>
                </c:pt>
                <c:pt idx="79">
                  <c:v>3.9605333333333328</c:v>
                </c:pt>
                <c:pt idx="80">
                  <c:v>4.0106666666666664</c:v>
                </c:pt>
                <c:pt idx="81">
                  <c:v>4.0607999999999995</c:v>
                </c:pt>
                <c:pt idx="82">
                  <c:v>4.1109333333333327</c:v>
                </c:pt>
                <c:pt idx="83">
                  <c:v>4.1610666666666667</c:v>
                </c:pt>
                <c:pt idx="84">
                  <c:v>4.2111999999999998</c:v>
                </c:pt>
                <c:pt idx="85">
                  <c:v>4.261333333333333</c:v>
                </c:pt>
                <c:pt idx="86">
                  <c:v>4.3114666666666661</c:v>
                </c:pt>
                <c:pt idx="87">
                  <c:v>4.3615999999999993</c:v>
                </c:pt>
                <c:pt idx="88">
                  <c:v>4.4117333333333333</c:v>
                </c:pt>
                <c:pt idx="89">
                  <c:v>4.4618666666666664</c:v>
                </c:pt>
                <c:pt idx="90">
                  <c:v>4.5119999999999996</c:v>
                </c:pt>
                <c:pt idx="91">
                  <c:v>4.5621333333333327</c:v>
                </c:pt>
                <c:pt idx="92">
                  <c:v>4.6122666666666658</c:v>
                </c:pt>
                <c:pt idx="93">
                  <c:v>4.6623999999999999</c:v>
                </c:pt>
                <c:pt idx="94">
                  <c:v>4.712533333333333</c:v>
                </c:pt>
                <c:pt idx="95">
                  <c:v>4.7626666666666662</c:v>
                </c:pt>
                <c:pt idx="96">
                  <c:v>4.8127999999999993</c:v>
                </c:pt>
                <c:pt idx="97">
                  <c:v>4.8629333333333324</c:v>
                </c:pt>
                <c:pt idx="98">
                  <c:v>4.9130666666666665</c:v>
                </c:pt>
                <c:pt idx="99">
                  <c:v>4.9631999999999996</c:v>
                </c:pt>
                <c:pt idx="100">
                  <c:v>5.0133333333333328</c:v>
                </c:pt>
                <c:pt idx="101">
                  <c:v>5.0634666666666659</c:v>
                </c:pt>
                <c:pt idx="102">
                  <c:v>5.1135999999999999</c:v>
                </c:pt>
                <c:pt idx="103">
                  <c:v>5.1637333333333331</c:v>
                </c:pt>
                <c:pt idx="104">
                  <c:v>5.2138666666666662</c:v>
                </c:pt>
                <c:pt idx="105">
                  <c:v>5.2639999999999993</c:v>
                </c:pt>
                <c:pt idx="106">
                  <c:v>5.3141333333333325</c:v>
                </c:pt>
                <c:pt idx="107">
                  <c:v>5.3642666666666665</c:v>
                </c:pt>
                <c:pt idx="108">
                  <c:v>5.4143999999999997</c:v>
                </c:pt>
                <c:pt idx="109">
                  <c:v>5.4645333333333328</c:v>
                </c:pt>
                <c:pt idx="110">
                  <c:v>5.5146666666666659</c:v>
                </c:pt>
                <c:pt idx="111">
                  <c:v>5.5647999999999991</c:v>
                </c:pt>
                <c:pt idx="112">
                  <c:v>5.6149333333333331</c:v>
                </c:pt>
                <c:pt idx="113">
                  <c:v>5.6650666666666663</c:v>
                </c:pt>
                <c:pt idx="114">
                  <c:v>5.7151999999999994</c:v>
                </c:pt>
                <c:pt idx="115">
                  <c:v>5.7653333333333325</c:v>
                </c:pt>
                <c:pt idx="116">
                  <c:v>5.8154666666666657</c:v>
                </c:pt>
                <c:pt idx="117">
                  <c:v>5.8655999999999997</c:v>
                </c:pt>
                <c:pt idx="118">
                  <c:v>5.9157333333333328</c:v>
                </c:pt>
                <c:pt idx="119">
                  <c:v>5.965866666666666</c:v>
                </c:pt>
                <c:pt idx="120">
                  <c:v>6.0159999999999991</c:v>
                </c:pt>
                <c:pt idx="121">
                  <c:v>6.0661333333333332</c:v>
                </c:pt>
                <c:pt idx="122">
                  <c:v>6.1162666666666663</c:v>
                </c:pt>
                <c:pt idx="123">
                  <c:v>6.1663999999999994</c:v>
                </c:pt>
                <c:pt idx="124">
                  <c:v>6.2165333333333326</c:v>
                </c:pt>
                <c:pt idx="125">
                  <c:v>6.2666666666666657</c:v>
                </c:pt>
                <c:pt idx="126">
                  <c:v>6.3167999999999997</c:v>
                </c:pt>
                <c:pt idx="127">
                  <c:v>6.3669333333333329</c:v>
                </c:pt>
                <c:pt idx="128">
                  <c:v>6.417066666666666</c:v>
                </c:pt>
                <c:pt idx="129">
                  <c:v>6.4671999999999992</c:v>
                </c:pt>
                <c:pt idx="130">
                  <c:v>6.5173333333333323</c:v>
                </c:pt>
                <c:pt idx="131">
                  <c:v>6.5674666666666663</c:v>
                </c:pt>
                <c:pt idx="132">
                  <c:v>6.6175999999999995</c:v>
                </c:pt>
                <c:pt idx="133">
                  <c:v>6.6677333333333326</c:v>
                </c:pt>
                <c:pt idx="134">
                  <c:v>6.7178666666666658</c:v>
                </c:pt>
                <c:pt idx="135">
                  <c:v>6.7679999999999989</c:v>
                </c:pt>
                <c:pt idx="136">
                  <c:v>6.8181333333333329</c:v>
                </c:pt>
                <c:pt idx="137">
                  <c:v>6.8682666666666661</c:v>
                </c:pt>
                <c:pt idx="138">
                  <c:v>6.9183999999999992</c:v>
                </c:pt>
                <c:pt idx="139">
                  <c:v>6.9685333333333324</c:v>
                </c:pt>
                <c:pt idx="140">
                  <c:v>7.0186666666666664</c:v>
                </c:pt>
                <c:pt idx="141">
                  <c:v>7.0687999999999995</c:v>
                </c:pt>
                <c:pt idx="142">
                  <c:v>7.1189333333333327</c:v>
                </c:pt>
                <c:pt idx="143">
                  <c:v>7.1690666666666658</c:v>
                </c:pt>
                <c:pt idx="144">
                  <c:v>7.219199999999999</c:v>
                </c:pt>
                <c:pt idx="145">
                  <c:v>7.269333333333333</c:v>
                </c:pt>
                <c:pt idx="146">
                  <c:v>7.3194666666666661</c:v>
                </c:pt>
                <c:pt idx="147">
                  <c:v>7.3695999999999993</c:v>
                </c:pt>
                <c:pt idx="148">
                  <c:v>7.4197333333333324</c:v>
                </c:pt>
                <c:pt idx="149">
                  <c:v>7.4698666666666655</c:v>
                </c:pt>
                <c:pt idx="150">
                  <c:v>7.52</c:v>
                </c:pt>
              </c:numCache>
            </c:numRef>
          </c:xVal>
          <c:yVal>
            <c:numRef>
              <c:f>Eff_vs_IOUT!$AO$7:$AO$157</c:f>
              <c:numCache>
                <c:formatCode>General</c:formatCode>
                <c:ptCount val="151"/>
                <c:pt idx="0">
                  <c:v>0.30642072087077216</c:v>
                </c:pt>
                <c:pt idx="1">
                  <c:v>0.30767958892410552</c:v>
                </c:pt>
                <c:pt idx="2">
                  <c:v>0.3089535370841055</c:v>
                </c:pt>
                <c:pt idx="3">
                  <c:v>0.31024256535077216</c:v>
                </c:pt>
                <c:pt idx="4">
                  <c:v>0.31154667372410549</c:v>
                </c:pt>
                <c:pt idx="5">
                  <c:v>0.3128658622041055</c:v>
                </c:pt>
                <c:pt idx="6">
                  <c:v>0.31420013079077214</c:v>
                </c:pt>
                <c:pt idx="7">
                  <c:v>0.3155494794841055</c:v>
                </c:pt>
                <c:pt idx="8">
                  <c:v>0.31691390828410548</c:v>
                </c:pt>
                <c:pt idx="9">
                  <c:v>0.31829341719077214</c:v>
                </c:pt>
                <c:pt idx="10">
                  <c:v>0.31968800620410553</c:v>
                </c:pt>
                <c:pt idx="11">
                  <c:v>0.32109767532410555</c:v>
                </c:pt>
                <c:pt idx="12">
                  <c:v>0.32252242455077218</c:v>
                </c:pt>
                <c:pt idx="13">
                  <c:v>0.32396225388410554</c:v>
                </c:pt>
                <c:pt idx="14">
                  <c:v>0.32541716332410553</c:v>
                </c:pt>
                <c:pt idx="15">
                  <c:v>0.32688715287077219</c:v>
                </c:pt>
                <c:pt idx="16">
                  <c:v>0.32837222252410553</c:v>
                </c:pt>
                <c:pt idx="17">
                  <c:v>0.32987237228410549</c:v>
                </c:pt>
                <c:pt idx="18">
                  <c:v>0.33138760215077218</c:v>
                </c:pt>
                <c:pt idx="19">
                  <c:v>0.33291791212410549</c:v>
                </c:pt>
                <c:pt idx="20">
                  <c:v>0.33446330220410547</c:v>
                </c:pt>
                <c:pt idx="21">
                  <c:v>0.33602377239077214</c:v>
                </c:pt>
                <c:pt idx="22">
                  <c:v>0.33759932268410553</c:v>
                </c:pt>
                <c:pt idx="23">
                  <c:v>0.33918995308410549</c:v>
                </c:pt>
                <c:pt idx="24">
                  <c:v>0.34079566359077218</c:v>
                </c:pt>
                <c:pt idx="25">
                  <c:v>0.34241645420410549</c:v>
                </c:pt>
                <c:pt idx="26">
                  <c:v>0.34405232492410553</c:v>
                </c:pt>
                <c:pt idx="27">
                  <c:v>0.3457032757507722</c:v>
                </c:pt>
                <c:pt idx="28">
                  <c:v>0.34736930668410554</c:v>
                </c:pt>
                <c:pt idx="29">
                  <c:v>0.3490504177241055</c:v>
                </c:pt>
                <c:pt idx="30">
                  <c:v>0.35074660887077219</c:v>
                </c:pt>
                <c:pt idx="31">
                  <c:v>0.3524578801241055</c:v>
                </c:pt>
                <c:pt idx="32">
                  <c:v>0.35418423148410549</c:v>
                </c:pt>
                <c:pt idx="33">
                  <c:v>0.35592566295077216</c:v>
                </c:pt>
                <c:pt idx="34">
                  <c:v>0.35768217452410556</c:v>
                </c:pt>
                <c:pt idx="35">
                  <c:v>0.35945376620410552</c:v>
                </c:pt>
                <c:pt idx="36">
                  <c:v>0.36124043799077221</c:v>
                </c:pt>
                <c:pt idx="37">
                  <c:v>0.36304218988410553</c:v>
                </c:pt>
                <c:pt idx="38">
                  <c:v>0.36485902188410546</c:v>
                </c:pt>
                <c:pt idx="39">
                  <c:v>0.36669093399077218</c:v>
                </c:pt>
                <c:pt idx="40">
                  <c:v>0.36853792620410553</c:v>
                </c:pt>
                <c:pt idx="41">
                  <c:v>0.37039999852410549</c:v>
                </c:pt>
                <c:pt idx="42">
                  <c:v>0.37227715095077218</c:v>
                </c:pt>
                <c:pt idx="43">
                  <c:v>0.3741693834841055</c:v>
                </c:pt>
                <c:pt idx="44">
                  <c:v>0.37607669612410549</c:v>
                </c:pt>
                <c:pt idx="45">
                  <c:v>0.37799908887077216</c:v>
                </c:pt>
                <c:pt idx="46">
                  <c:v>0.37993656172410545</c:v>
                </c:pt>
                <c:pt idx="47">
                  <c:v>0.38188911468410547</c:v>
                </c:pt>
                <c:pt idx="48">
                  <c:v>0.38385674775077216</c:v>
                </c:pt>
                <c:pt idx="49">
                  <c:v>0.38583946092410554</c:v>
                </c:pt>
                <c:pt idx="50">
                  <c:v>0.38783725420410547</c:v>
                </c:pt>
                <c:pt idx="51">
                  <c:v>0.3898501275907722</c:v>
                </c:pt>
                <c:pt idx="52">
                  <c:v>0.39187808108410555</c:v>
                </c:pt>
                <c:pt idx="53">
                  <c:v>0.39392111468410551</c:v>
                </c:pt>
                <c:pt idx="54">
                  <c:v>0.39597922839077215</c:v>
                </c:pt>
                <c:pt idx="55">
                  <c:v>0.39805242220410553</c:v>
                </c:pt>
                <c:pt idx="56">
                  <c:v>0.40014069612410552</c:v>
                </c:pt>
                <c:pt idx="57">
                  <c:v>0.40224405015077214</c:v>
                </c:pt>
                <c:pt idx="58">
                  <c:v>0.40436248428410548</c:v>
                </c:pt>
                <c:pt idx="59">
                  <c:v>0.40649599852410551</c:v>
                </c:pt>
                <c:pt idx="60">
                  <c:v>0.40864459287077215</c:v>
                </c:pt>
                <c:pt idx="61">
                  <c:v>0.41080826732410547</c:v>
                </c:pt>
                <c:pt idx="62">
                  <c:v>0.41298702188410547</c:v>
                </c:pt>
                <c:pt idx="63">
                  <c:v>0.41518085655077219</c:v>
                </c:pt>
                <c:pt idx="64">
                  <c:v>0.41738977132410543</c:v>
                </c:pt>
                <c:pt idx="65">
                  <c:v>0.41961376620410551</c:v>
                </c:pt>
                <c:pt idx="66">
                  <c:v>0.42185284119077215</c:v>
                </c:pt>
                <c:pt idx="67">
                  <c:v>0.42410699628410542</c:v>
                </c:pt>
                <c:pt idx="68">
                  <c:v>0.42637623148410553</c:v>
                </c:pt>
                <c:pt idx="69">
                  <c:v>0.42866054679077215</c:v>
                </c:pt>
                <c:pt idx="70">
                  <c:v>0.4309599422041055</c:v>
                </c:pt>
                <c:pt idx="71">
                  <c:v>0.43327441772410552</c:v>
                </c:pt>
                <c:pt idx="72">
                  <c:v>0.43560397335077206</c:v>
                </c:pt>
                <c:pt idx="73">
                  <c:v>0.43794860908410549</c:v>
                </c:pt>
                <c:pt idx="74">
                  <c:v>0.44030832492410549</c:v>
                </c:pt>
                <c:pt idx="75">
                  <c:v>0.44268312087077222</c:v>
                </c:pt>
                <c:pt idx="76">
                  <c:v>0.44507299692410546</c:v>
                </c:pt>
                <c:pt idx="77">
                  <c:v>0.44747795308410554</c:v>
                </c:pt>
                <c:pt idx="78">
                  <c:v>0.44989798935077213</c:v>
                </c:pt>
                <c:pt idx="79">
                  <c:v>0.45233310572410546</c:v>
                </c:pt>
                <c:pt idx="80">
                  <c:v>0.45478330220410546</c:v>
                </c:pt>
                <c:pt idx="81">
                  <c:v>0.45724857879077219</c:v>
                </c:pt>
                <c:pt idx="82">
                  <c:v>0.45972893548410543</c:v>
                </c:pt>
                <c:pt idx="83">
                  <c:v>0.46222437228410551</c:v>
                </c:pt>
                <c:pt idx="84">
                  <c:v>0.46473488919077216</c:v>
                </c:pt>
                <c:pt idx="85">
                  <c:v>0.46726048620410549</c:v>
                </c:pt>
                <c:pt idx="86">
                  <c:v>0.46980116332410549</c:v>
                </c:pt>
                <c:pt idx="87">
                  <c:v>0.47235692055077216</c:v>
                </c:pt>
                <c:pt idx="88">
                  <c:v>0.47492775788410557</c:v>
                </c:pt>
                <c:pt idx="89">
                  <c:v>0.47751367532410549</c:v>
                </c:pt>
                <c:pt idx="90">
                  <c:v>0.48011467287077209</c:v>
                </c:pt>
                <c:pt idx="91">
                  <c:v>0.48273075052410552</c:v>
                </c:pt>
                <c:pt idx="92">
                  <c:v>0.48536190828410541</c:v>
                </c:pt>
                <c:pt idx="93">
                  <c:v>0.48800814615077215</c:v>
                </c:pt>
                <c:pt idx="94">
                  <c:v>0.4906694641241055</c:v>
                </c:pt>
                <c:pt idx="95">
                  <c:v>0.49334586220410548</c:v>
                </c:pt>
                <c:pt idx="96">
                  <c:v>0.49603734039077219</c:v>
                </c:pt>
                <c:pt idx="97">
                  <c:v>0.49874389868410546</c:v>
                </c:pt>
                <c:pt idx="98">
                  <c:v>0.50146553708410546</c:v>
                </c:pt>
                <c:pt idx="99">
                  <c:v>0.50420225559077214</c:v>
                </c:pt>
                <c:pt idx="100">
                  <c:v>0.50695405420410555</c:v>
                </c:pt>
                <c:pt idx="101">
                  <c:v>0.50972093292410536</c:v>
                </c:pt>
                <c:pt idx="102">
                  <c:v>0.51250289175077213</c:v>
                </c:pt>
                <c:pt idx="103">
                  <c:v>0.51529993068410551</c:v>
                </c:pt>
                <c:pt idx="104">
                  <c:v>0.51811204972410552</c:v>
                </c:pt>
                <c:pt idx="105">
                  <c:v>0.52093924887077203</c:v>
                </c:pt>
                <c:pt idx="106">
                  <c:v>0.5237815281241055</c:v>
                </c:pt>
                <c:pt idx="107">
                  <c:v>0.52663888748410548</c:v>
                </c:pt>
                <c:pt idx="108">
                  <c:v>0.52951132695077208</c:v>
                </c:pt>
                <c:pt idx="109">
                  <c:v>0.53239884652410552</c:v>
                </c:pt>
                <c:pt idx="110">
                  <c:v>0.53530144620410547</c:v>
                </c:pt>
                <c:pt idx="111">
                  <c:v>0.53821912599077204</c:v>
                </c:pt>
                <c:pt idx="112">
                  <c:v>0.54115188588410545</c:v>
                </c:pt>
                <c:pt idx="113">
                  <c:v>0.54409972588410549</c:v>
                </c:pt>
                <c:pt idx="114">
                  <c:v>0.54706264599077215</c:v>
                </c:pt>
                <c:pt idx="115">
                  <c:v>0.55004064620410542</c:v>
                </c:pt>
                <c:pt idx="116">
                  <c:v>0.55303372652410543</c:v>
                </c:pt>
                <c:pt idx="117">
                  <c:v>0.55604188695077206</c:v>
                </c:pt>
                <c:pt idx="118">
                  <c:v>0.55906512748410553</c:v>
                </c:pt>
                <c:pt idx="119">
                  <c:v>0.5621034481241054</c:v>
                </c:pt>
                <c:pt idx="120">
                  <c:v>0.56515684887077211</c:v>
                </c:pt>
                <c:pt idx="121">
                  <c:v>0.56822532972410544</c:v>
                </c:pt>
                <c:pt idx="122">
                  <c:v>0.57130889068410551</c:v>
                </c:pt>
                <c:pt idx="123">
                  <c:v>0.57440753175077208</c:v>
                </c:pt>
                <c:pt idx="124">
                  <c:v>0.5775212529241055</c:v>
                </c:pt>
                <c:pt idx="125">
                  <c:v>0.58065005420410543</c:v>
                </c:pt>
                <c:pt idx="126">
                  <c:v>0.58379393559077219</c:v>
                </c:pt>
                <c:pt idx="127">
                  <c:v>0.58695289708410547</c:v>
                </c:pt>
                <c:pt idx="128">
                  <c:v>0.59012693868410548</c:v>
                </c:pt>
                <c:pt idx="129">
                  <c:v>0.593316060390772</c:v>
                </c:pt>
                <c:pt idx="130">
                  <c:v>0.59652026220410548</c:v>
                </c:pt>
                <c:pt idx="131">
                  <c:v>0.59973954412410546</c:v>
                </c:pt>
                <c:pt idx="132">
                  <c:v>0.60297390615077207</c:v>
                </c:pt>
                <c:pt idx="133">
                  <c:v>0.6062233482841054</c:v>
                </c:pt>
                <c:pt idx="134">
                  <c:v>0.60948787052410547</c:v>
                </c:pt>
                <c:pt idx="135">
                  <c:v>0.61276747287077193</c:v>
                </c:pt>
                <c:pt idx="136">
                  <c:v>0.61606215532410546</c:v>
                </c:pt>
                <c:pt idx="137">
                  <c:v>0.61937191788410539</c:v>
                </c:pt>
                <c:pt idx="138">
                  <c:v>0.62269676055077205</c:v>
                </c:pt>
                <c:pt idx="139">
                  <c:v>0.62603668332410545</c:v>
                </c:pt>
                <c:pt idx="140">
                  <c:v>0.62939168620410546</c:v>
                </c:pt>
                <c:pt idx="141">
                  <c:v>0.63276176919077209</c:v>
                </c:pt>
                <c:pt idx="142">
                  <c:v>0.63614693228410546</c:v>
                </c:pt>
                <c:pt idx="143">
                  <c:v>0.63954717548410545</c:v>
                </c:pt>
                <c:pt idx="144">
                  <c:v>0.64296249879077205</c:v>
                </c:pt>
                <c:pt idx="145">
                  <c:v>0.6463929022041055</c:v>
                </c:pt>
                <c:pt idx="146">
                  <c:v>0.64983838572410546</c:v>
                </c:pt>
                <c:pt idx="147">
                  <c:v>0.65329894935077204</c:v>
                </c:pt>
                <c:pt idx="148">
                  <c:v>0.65677459308410546</c:v>
                </c:pt>
                <c:pt idx="149">
                  <c:v>0.66026531692410539</c:v>
                </c:pt>
                <c:pt idx="150">
                  <c:v>0.66377112087077206</c:v>
                </c:pt>
              </c:numCache>
            </c:numRef>
          </c:yVal>
          <c:smooth val="1"/>
          <c:extLst>
            <c:ext xmlns:c16="http://schemas.microsoft.com/office/drawing/2014/chart" uri="{C3380CC4-5D6E-409C-BE32-E72D297353CC}">
              <c16:uniqueId val="{00000002-6DF5-4D18-8D30-EE142E0FBE5F}"/>
            </c:ext>
          </c:extLst>
        </c:ser>
        <c:ser>
          <c:idx val="3"/>
          <c:order val="3"/>
          <c:tx>
            <c:v>RCS</c:v>
          </c:tx>
          <c:spPr>
            <a:ln>
              <a:solidFill>
                <a:schemeClr val="accent5">
                  <a:lumMod val="75000"/>
                </a:schemeClr>
              </a:solidFill>
              <a:prstDash val="lgDashDotDot"/>
            </a:ln>
          </c:spPr>
          <c:marker>
            <c:symbol val="none"/>
          </c:marker>
          <c:xVal>
            <c:numRef>
              <c:f>Eff_vs_IOUT!$S$7:$S$157</c:f>
              <c:numCache>
                <c:formatCode>General</c:formatCode>
                <c:ptCount val="151"/>
                <c:pt idx="0">
                  <c:v>0</c:v>
                </c:pt>
                <c:pt idx="1">
                  <c:v>5.0133333333333328E-2</c:v>
                </c:pt>
                <c:pt idx="2">
                  <c:v>0.10026666666666666</c:v>
                </c:pt>
                <c:pt idx="3">
                  <c:v>0.15039999999999998</c:v>
                </c:pt>
                <c:pt idx="4">
                  <c:v>0.20053333333333331</c:v>
                </c:pt>
                <c:pt idx="5">
                  <c:v>0.25066666666666665</c:v>
                </c:pt>
                <c:pt idx="6">
                  <c:v>0.30079999999999996</c:v>
                </c:pt>
                <c:pt idx="7">
                  <c:v>0.35093333333333332</c:v>
                </c:pt>
                <c:pt idx="8">
                  <c:v>0.40106666666666663</c:v>
                </c:pt>
                <c:pt idx="9">
                  <c:v>0.45119999999999993</c:v>
                </c:pt>
                <c:pt idx="10">
                  <c:v>0.5013333333333333</c:v>
                </c:pt>
                <c:pt idx="11">
                  <c:v>0.55146666666666666</c:v>
                </c:pt>
                <c:pt idx="12">
                  <c:v>0.60159999999999991</c:v>
                </c:pt>
                <c:pt idx="13">
                  <c:v>0.65173333333333328</c:v>
                </c:pt>
                <c:pt idx="14">
                  <c:v>0.70186666666666664</c:v>
                </c:pt>
                <c:pt idx="15">
                  <c:v>0.75199999999999989</c:v>
                </c:pt>
                <c:pt idx="16">
                  <c:v>0.80213333333333325</c:v>
                </c:pt>
                <c:pt idx="17">
                  <c:v>0.85226666666666662</c:v>
                </c:pt>
                <c:pt idx="18">
                  <c:v>0.90239999999999987</c:v>
                </c:pt>
                <c:pt idx="19">
                  <c:v>0.95253333333333323</c:v>
                </c:pt>
                <c:pt idx="20">
                  <c:v>1.0026666666666666</c:v>
                </c:pt>
                <c:pt idx="21">
                  <c:v>1.0528</c:v>
                </c:pt>
                <c:pt idx="22">
                  <c:v>1.1029333333333333</c:v>
                </c:pt>
                <c:pt idx="23">
                  <c:v>1.1530666666666665</c:v>
                </c:pt>
                <c:pt idx="24">
                  <c:v>1.2031999999999998</c:v>
                </c:pt>
                <c:pt idx="25">
                  <c:v>1.2533333333333332</c:v>
                </c:pt>
                <c:pt idx="26">
                  <c:v>1.3034666666666666</c:v>
                </c:pt>
                <c:pt idx="27">
                  <c:v>1.3535999999999999</c:v>
                </c:pt>
                <c:pt idx="28">
                  <c:v>1.4037333333333333</c:v>
                </c:pt>
                <c:pt idx="29">
                  <c:v>1.4538666666666664</c:v>
                </c:pt>
                <c:pt idx="30">
                  <c:v>1.5039999999999998</c:v>
                </c:pt>
                <c:pt idx="31">
                  <c:v>1.5541333333333331</c:v>
                </c:pt>
                <c:pt idx="32">
                  <c:v>1.6042666666666665</c:v>
                </c:pt>
                <c:pt idx="33">
                  <c:v>1.6543999999999999</c:v>
                </c:pt>
                <c:pt idx="34">
                  <c:v>1.7045333333333332</c:v>
                </c:pt>
                <c:pt idx="35">
                  <c:v>1.7546666666666666</c:v>
                </c:pt>
                <c:pt idx="36">
                  <c:v>1.8047999999999997</c:v>
                </c:pt>
                <c:pt idx="37">
                  <c:v>1.8549333333333331</c:v>
                </c:pt>
                <c:pt idx="38">
                  <c:v>1.9050666666666665</c:v>
                </c:pt>
                <c:pt idx="39">
                  <c:v>1.9551999999999998</c:v>
                </c:pt>
                <c:pt idx="40">
                  <c:v>2.0053333333333332</c:v>
                </c:pt>
                <c:pt idx="41">
                  <c:v>2.0554666666666663</c:v>
                </c:pt>
                <c:pt idx="42">
                  <c:v>2.1055999999999999</c:v>
                </c:pt>
                <c:pt idx="43">
                  <c:v>2.1557333333333331</c:v>
                </c:pt>
                <c:pt idx="44">
                  <c:v>2.2058666666666666</c:v>
                </c:pt>
                <c:pt idx="45">
                  <c:v>2.2559999999999998</c:v>
                </c:pt>
                <c:pt idx="46">
                  <c:v>2.3061333333333329</c:v>
                </c:pt>
                <c:pt idx="47">
                  <c:v>2.3562666666666665</c:v>
                </c:pt>
                <c:pt idx="48">
                  <c:v>2.4063999999999997</c:v>
                </c:pt>
                <c:pt idx="49">
                  <c:v>2.4565333333333332</c:v>
                </c:pt>
                <c:pt idx="50">
                  <c:v>2.5066666666666664</c:v>
                </c:pt>
                <c:pt idx="51">
                  <c:v>2.5568</c:v>
                </c:pt>
                <c:pt idx="52">
                  <c:v>2.6069333333333331</c:v>
                </c:pt>
                <c:pt idx="53">
                  <c:v>2.6570666666666662</c:v>
                </c:pt>
                <c:pt idx="54">
                  <c:v>2.7071999999999998</c:v>
                </c:pt>
                <c:pt idx="55">
                  <c:v>2.757333333333333</c:v>
                </c:pt>
                <c:pt idx="56">
                  <c:v>2.8074666666666666</c:v>
                </c:pt>
                <c:pt idx="57">
                  <c:v>2.8575999999999997</c:v>
                </c:pt>
                <c:pt idx="58">
                  <c:v>2.9077333333333328</c:v>
                </c:pt>
                <c:pt idx="59">
                  <c:v>2.9578666666666664</c:v>
                </c:pt>
                <c:pt idx="60">
                  <c:v>3.0079999999999996</c:v>
                </c:pt>
                <c:pt idx="61">
                  <c:v>3.0581333333333331</c:v>
                </c:pt>
                <c:pt idx="62">
                  <c:v>3.1082666666666663</c:v>
                </c:pt>
                <c:pt idx="63">
                  <c:v>3.1583999999999999</c:v>
                </c:pt>
                <c:pt idx="64">
                  <c:v>3.208533333333333</c:v>
                </c:pt>
                <c:pt idx="65">
                  <c:v>3.2586666666666662</c:v>
                </c:pt>
                <c:pt idx="66">
                  <c:v>3.3087999999999997</c:v>
                </c:pt>
                <c:pt idx="67">
                  <c:v>3.3589333333333329</c:v>
                </c:pt>
                <c:pt idx="68">
                  <c:v>3.4090666666666665</c:v>
                </c:pt>
                <c:pt idx="69">
                  <c:v>3.4591999999999996</c:v>
                </c:pt>
                <c:pt idx="70">
                  <c:v>3.5093333333333332</c:v>
                </c:pt>
                <c:pt idx="71">
                  <c:v>3.5594666666666663</c:v>
                </c:pt>
                <c:pt idx="72">
                  <c:v>3.6095999999999995</c:v>
                </c:pt>
                <c:pt idx="73">
                  <c:v>3.6597333333333331</c:v>
                </c:pt>
                <c:pt idx="74">
                  <c:v>3.7098666666666662</c:v>
                </c:pt>
                <c:pt idx="75">
                  <c:v>3.76</c:v>
                </c:pt>
                <c:pt idx="76">
                  <c:v>3.8101333333333329</c:v>
                </c:pt>
                <c:pt idx="77">
                  <c:v>3.8602666666666661</c:v>
                </c:pt>
                <c:pt idx="78">
                  <c:v>3.9103999999999997</c:v>
                </c:pt>
                <c:pt idx="79">
                  <c:v>3.9605333333333328</c:v>
                </c:pt>
                <c:pt idx="80">
                  <c:v>4.0106666666666664</c:v>
                </c:pt>
                <c:pt idx="81">
                  <c:v>4.0607999999999995</c:v>
                </c:pt>
                <c:pt idx="82">
                  <c:v>4.1109333333333327</c:v>
                </c:pt>
                <c:pt idx="83">
                  <c:v>4.1610666666666667</c:v>
                </c:pt>
                <c:pt idx="84">
                  <c:v>4.2111999999999998</c:v>
                </c:pt>
                <c:pt idx="85">
                  <c:v>4.261333333333333</c:v>
                </c:pt>
                <c:pt idx="86">
                  <c:v>4.3114666666666661</c:v>
                </c:pt>
                <c:pt idx="87">
                  <c:v>4.3615999999999993</c:v>
                </c:pt>
                <c:pt idx="88">
                  <c:v>4.4117333333333333</c:v>
                </c:pt>
                <c:pt idx="89">
                  <c:v>4.4618666666666664</c:v>
                </c:pt>
                <c:pt idx="90">
                  <c:v>4.5119999999999996</c:v>
                </c:pt>
                <c:pt idx="91">
                  <c:v>4.5621333333333327</c:v>
                </c:pt>
                <c:pt idx="92">
                  <c:v>4.6122666666666658</c:v>
                </c:pt>
                <c:pt idx="93">
                  <c:v>4.6623999999999999</c:v>
                </c:pt>
                <c:pt idx="94">
                  <c:v>4.712533333333333</c:v>
                </c:pt>
                <c:pt idx="95">
                  <c:v>4.7626666666666662</c:v>
                </c:pt>
                <c:pt idx="96">
                  <c:v>4.8127999999999993</c:v>
                </c:pt>
                <c:pt idx="97">
                  <c:v>4.8629333333333324</c:v>
                </c:pt>
                <c:pt idx="98">
                  <c:v>4.9130666666666665</c:v>
                </c:pt>
                <c:pt idx="99">
                  <c:v>4.9631999999999996</c:v>
                </c:pt>
                <c:pt idx="100">
                  <c:v>5.0133333333333328</c:v>
                </c:pt>
                <c:pt idx="101">
                  <c:v>5.0634666666666659</c:v>
                </c:pt>
                <c:pt idx="102">
                  <c:v>5.1135999999999999</c:v>
                </c:pt>
                <c:pt idx="103">
                  <c:v>5.1637333333333331</c:v>
                </c:pt>
                <c:pt idx="104">
                  <c:v>5.2138666666666662</c:v>
                </c:pt>
                <c:pt idx="105">
                  <c:v>5.2639999999999993</c:v>
                </c:pt>
                <c:pt idx="106">
                  <c:v>5.3141333333333325</c:v>
                </c:pt>
                <c:pt idx="107">
                  <c:v>5.3642666666666665</c:v>
                </c:pt>
                <c:pt idx="108">
                  <c:v>5.4143999999999997</c:v>
                </c:pt>
                <c:pt idx="109">
                  <c:v>5.4645333333333328</c:v>
                </c:pt>
                <c:pt idx="110">
                  <c:v>5.5146666666666659</c:v>
                </c:pt>
                <c:pt idx="111">
                  <c:v>5.5647999999999991</c:v>
                </c:pt>
                <c:pt idx="112">
                  <c:v>5.6149333333333331</c:v>
                </c:pt>
                <c:pt idx="113">
                  <c:v>5.6650666666666663</c:v>
                </c:pt>
                <c:pt idx="114">
                  <c:v>5.7151999999999994</c:v>
                </c:pt>
                <c:pt idx="115">
                  <c:v>5.7653333333333325</c:v>
                </c:pt>
                <c:pt idx="116">
                  <c:v>5.8154666666666657</c:v>
                </c:pt>
                <c:pt idx="117">
                  <c:v>5.8655999999999997</c:v>
                </c:pt>
                <c:pt idx="118">
                  <c:v>5.9157333333333328</c:v>
                </c:pt>
                <c:pt idx="119">
                  <c:v>5.965866666666666</c:v>
                </c:pt>
                <c:pt idx="120">
                  <c:v>6.0159999999999991</c:v>
                </c:pt>
                <c:pt idx="121">
                  <c:v>6.0661333333333332</c:v>
                </c:pt>
                <c:pt idx="122">
                  <c:v>6.1162666666666663</c:v>
                </c:pt>
                <c:pt idx="123">
                  <c:v>6.1663999999999994</c:v>
                </c:pt>
                <c:pt idx="124">
                  <c:v>6.2165333333333326</c:v>
                </c:pt>
                <c:pt idx="125">
                  <c:v>6.2666666666666657</c:v>
                </c:pt>
                <c:pt idx="126">
                  <c:v>6.3167999999999997</c:v>
                </c:pt>
                <c:pt idx="127">
                  <c:v>6.3669333333333329</c:v>
                </c:pt>
                <c:pt idx="128">
                  <c:v>6.417066666666666</c:v>
                </c:pt>
                <c:pt idx="129">
                  <c:v>6.4671999999999992</c:v>
                </c:pt>
                <c:pt idx="130">
                  <c:v>6.5173333333333323</c:v>
                </c:pt>
                <c:pt idx="131">
                  <c:v>6.5674666666666663</c:v>
                </c:pt>
                <c:pt idx="132">
                  <c:v>6.6175999999999995</c:v>
                </c:pt>
                <c:pt idx="133">
                  <c:v>6.6677333333333326</c:v>
                </c:pt>
                <c:pt idx="134">
                  <c:v>6.7178666666666658</c:v>
                </c:pt>
                <c:pt idx="135">
                  <c:v>6.7679999999999989</c:v>
                </c:pt>
                <c:pt idx="136">
                  <c:v>6.8181333333333329</c:v>
                </c:pt>
                <c:pt idx="137">
                  <c:v>6.8682666666666661</c:v>
                </c:pt>
                <c:pt idx="138">
                  <c:v>6.9183999999999992</c:v>
                </c:pt>
                <c:pt idx="139">
                  <c:v>6.9685333333333324</c:v>
                </c:pt>
                <c:pt idx="140">
                  <c:v>7.0186666666666664</c:v>
                </c:pt>
                <c:pt idx="141">
                  <c:v>7.0687999999999995</c:v>
                </c:pt>
                <c:pt idx="142">
                  <c:v>7.1189333333333327</c:v>
                </c:pt>
                <c:pt idx="143">
                  <c:v>7.1690666666666658</c:v>
                </c:pt>
                <c:pt idx="144">
                  <c:v>7.219199999999999</c:v>
                </c:pt>
                <c:pt idx="145">
                  <c:v>7.269333333333333</c:v>
                </c:pt>
                <c:pt idx="146">
                  <c:v>7.3194666666666661</c:v>
                </c:pt>
                <c:pt idx="147">
                  <c:v>7.3695999999999993</c:v>
                </c:pt>
                <c:pt idx="148">
                  <c:v>7.4197333333333324</c:v>
                </c:pt>
                <c:pt idx="149">
                  <c:v>7.4698666666666655</c:v>
                </c:pt>
                <c:pt idx="150">
                  <c:v>7.52</c:v>
                </c:pt>
              </c:numCache>
            </c:numRef>
          </c:xVal>
          <c:yVal>
            <c:numRef>
              <c:f>Eff_vs_IOUT!$AP$7:$AP$157</c:f>
              <c:numCache>
                <c:formatCode>General</c:formatCode>
                <c:ptCount val="151"/>
                <c:pt idx="0">
                  <c:v>1.7532325224632921E-2</c:v>
                </c:pt>
                <c:pt idx="1">
                  <c:v>1.7577565544632925E-2</c:v>
                </c:pt>
                <c:pt idx="2">
                  <c:v>1.771328650463292E-2</c:v>
                </c:pt>
                <c:pt idx="3">
                  <c:v>1.7939488104632917E-2</c:v>
                </c:pt>
                <c:pt idx="4">
                  <c:v>1.8256170344632925E-2</c:v>
                </c:pt>
                <c:pt idx="5">
                  <c:v>1.8663333224632921E-2</c:v>
                </c:pt>
                <c:pt idx="6">
                  <c:v>1.9160976744632918E-2</c:v>
                </c:pt>
                <c:pt idx="7">
                  <c:v>1.9749100904632923E-2</c:v>
                </c:pt>
                <c:pt idx="8">
                  <c:v>2.0427705704632919E-2</c:v>
                </c:pt>
                <c:pt idx="9">
                  <c:v>2.119679114463292E-2</c:v>
                </c:pt>
                <c:pt idx="10">
                  <c:v>2.2056357224632919E-2</c:v>
                </c:pt>
                <c:pt idx="11">
                  <c:v>2.3006403944632922E-2</c:v>
                </c:pt>
                <c:pt idx="12">
                  <c:v>2.404693130463292E-2</c:v>
                </c:pt>
                <c:pt idx="13">
                  <c:v>2.5177939304632923E-2</c:v>
                </c:pt>
                <c:pt idx="14">
                  <c:v>2.6399427944632917E-2</c:v>
                </c:pt>
                <c:pt idx="15">
                  <c:v>2.7711397224632919E-2</c:v>
                </c:pt>
                <c:pt idx="16">
                  <c:v>2.9113847144632918E-2</c:v>
                </c:pt>
                <c:pt idx="17">
                  <c:v>3.0606777704632916E-2</c:v>
                </c:pt>
                <c:pt idx="18">
                  <c:v>3.2190188904632919E-2</c:v>
                </c:pt>
                <c:pt idx="19">
                  <c:v>3.3864080744632923E-2</c:v>
                </c:pt>
                <c:pt idx="20">
                  <c:v>3.5628453224632928E-2</c:v>
                </c:pt>
                <c:pt idx="21">
                  <c:v>3.7483306344632913E-2</c:v>
                </c:pt>
                <c:pt idx="22">
                  <c:v>3.9428640104632914E-2</c:v>
                </c:pt>
                <c:pt idx="23">
                  <c:v>4.1464454504632917E-2</c:v>
                </c:pt>
                <c:pt idx="24">
                  <c:v>4.3590749544632913E-2</c:v>
                </c:pt>
                <c:pt idx="25">
                  <c:v>4.5807525224632904E-2</c:v>
                </c:pt>
                <c:pt idx="26">
                  <c:v>4.8114781544632924E-2</c:v>
                </c:pt>
                <c:pt idx="27">
                  <c:v>5.0512518504632925E-2</c:v>
                </c:pt>
                <c:pt idx="28">
                  <c:v>5.3000736104632913E-2</c:v>
                </c:pt>
                <c:pt idx="29">
                  <c:v>5.5579434344632909E-2</c:v>
                </c:pt>
                <c:pt idx="30">
                  <c:v>5.82486132246329E-2</c:v>
                </c:pt>
                <c:pt idx="31">
                  <c:v>6.100827274463292E-2</c:v>
                </c:pt>
                <c:pt idx="32">
                  <c:v>6.3858412904632914E-2</c:v>
                </c:pt>
                <c:pt idx="33">
                  <c:v>6.6799033704632901E-2</c:v>
                </c:pt>
                <c:pt idx="34">
                  <c:v>6.9830135144632918E-2</c:v>
                </c:pt>
                <c:pt idx="35">
                  <c:v>7.2951717224632923E-2</c:v>
                </c:pt>
                <c:pt idx="36">
                  <c:v>7.6163779944632887E-2</c:v>
                </c:pt>
                <c:pt idx="37">
                  <c:v>7.9466323304632921E-2</c:v>
                </c:pt>
                <c:pt idx="38">
                  <c:v>8.2859347304632916E-2</c:v>
                </c:pt>
                <c:pt idx="39">
                  <c:v>8.6342851944632898E-2</c:v>
                </c:pt>
                <c:pt idx="40">
                  <c:v>8.9916837224632923E-2</c:v>
                </c:pt>
                <c:pt idx="41">
                  <c:v>9.3581303144632894E-2</c:v>
                </c:pt>
                <c:pt idx="42">
                  <c:v>9.7336249704632907E-2</c:v>
                </c:pt>
                <c:pt idx="43">
                  <c:v>0.10118167690463294</c:v>
                </c:pt>
                <c:pt idx="44">
                  <c:v>0.10511758474463292</c:v>
                </c:pt>
                <c:pt idx="45">
                  <c:v>0.1091439732246329</c:v>
                </c:pt>
                <c:pt idx="46">
                  <c:v>0.11326084234463285</c:v>
                </c:pt>
                <c:pt idx="47">
                  <c:v>0.11746819210463291</c:v>
                </c:pt>
                <c:pt idx="48">
                  <c:v>0.12176602250463292</c:v>
                </c:pt>
                <c:pt idx="49">
                  <c:v>0.12615433354463293</c:v>
                </c:pt>
                <c:pt idx="50">
                  <c:v>0.13063312522463286</c:v>
                </c:pt>
                <c:pt idx="51">
                  <c:v>0.1352023975446329</c:v>
                </c:pt>
                <c:pt idx="52">
                  <c:v>0.13986215050463291</c:v>
                </c:pt>
                <c:pt idx="53">
                  <c:v>0.1446123841046329</c:v>
                </c:pt>
                <c:pt idx="54">
                  <c:v>0.14945309834463291</c:v>
                </c:pt>
                <c:pt idx="55">
                  <c:v>0.15438429322463285</c:v>
                </c:pt>
                <c:pt idx="56">
                  <c:v>0.15940596874463289</c:v>
                </c:pt>
                <c:pt idx="57">
                  <c:v>0.16451812490463286</c:v>
                </c:pt>
                <c:pt idx="58">
                  <c:v>0.16972076170463291</c:v>
                </c:pt>
                <c:pt idx="59">
                  <c:v>0.1750138791446329</c:v>
                </c:pt>
                <c:pt idx="60">
                  <c:v>0.18039747722463281</c:v>
                </c:pt>
                <c:pt idx="61">
                  <c:v>0.18587155594463292</c:v>
                </c:pt>
                <c:pt idx="62">
                  <c:v>0.19143611530463289</c:v>
                </c:pt>
                <c:pt idx="63">
                  <c:v>0.19709115530463292</c:v>
                </c:pt>
                <c:pt idx="64">
                  <c:v>0.20283667594463287</c:v>
                </c:pt>
                <c:pt idx="65">
                  <c:v>0.20867267722463287</c:v>
                </c:pt>
                <c:pt idx="66">
                  <c:v>0.2145991591446329</c:v>
                </c:pt>
                <c:pt idx="67">
                  <c:v>0.22061612170463291</c:v>
                </c:pt>
                <c:pt idx="68">
                  <c:v>0.22672356490463294</c:v>
                </c:pt>
                <c:pt idx="69">
                  <c:v>0.23292148874463284</c:v>
                </c:pt>
                <c:pt idx="70">
                  <c:v>0.23920989322463293</c:v>
                </c:pt>
                <c:pt idx="71">
                  <c:v>0.24558877834463291</c:v>
                </c:pt>
                <c:pt idx="72">
                  <c:v>0.25205814410463284</c:v>
                </c:pt>
                <c:pt idx="73">
                  <c:v>0.25861799050463286</c:v>
                </c:pt>
                <c:pt idx="74">
                  <c:v>0.26526831754463287</c:v>
                </c:pt>
                <c:pt idx="75">
                  <c:v>0.27200912522463289</c:v>
                </c:pt>
                <c:pt idx="76">
                  <c:v>0.2788404135446329</c:v>
                </c:pt>
                <c:pt idx="77">
                  <c:v>0.28576218250463287</c:v>
                </c:pt>
                <c:pt idx="78">
                  <c:v>0.29277443210463283</c:v>
                </c:pt>
                <c:pt idx="79">
                  <c:v>0.29987716234463296</c:v>
                </c:pt>
                <c:pt idx="80">
                  <c:v>0.30707037322463293</c:v>
                </c:pt>
                <c:pt idx="81">
                  <c:v>0.31435406474463279</c:v>
                </c:pt>
                <c:pt idx="82">
                  <c:v>0.32172823690463281</c:v>
                </c:pt>
                <c:pt idx="83">
                  <c:v>0.32919288970463301</c:v>
                </c:pt>
                <c:pt idx="84">
                  <c:v>0.33674802314463287</c:v>
                </c:pt>
                <c:pt idx="85">
                  <c:v>0.34439363722463295</c:v>
                </c:pt>
                <c:pt idx="86">
                  <c:v>0.35212973194463293</c:v>
                </c:pt>
                <c:pt idx="87">
                  <c:v>0.35995630730463279</c:v>
                </c:pt>
                <c:pt idx="88">
                  <c:v>0.36787336330463288</c:v>
                </c:pt>
                <c:pt idx="89">
                  <c:v>0.37588089994463292</c:v>
                </c:pt>
                <c:pt idx="90">
                  <c:v>0.3839789172246329</c:v>
                </c:pt>
                <c:pt idx="91">
                  <c:v>0.39216741514463282</c:v>
                </c:pt>
                <c:pt idx="92">
                  <c:v>0.40044639370463275</c:v>
                </c:pt>
                <c:pt idx="93">
                  <c:v>0.4088158529046329</c:v>
                </c:pt>
                <c:pt idx="94">
                  <c:v>0.41727579274463278</c:v>
                </c:pt>
                <c:pt idx="95">
                  <c:v>0.42582621322463304</c:v>
                </c:pt>
                <c:pt idx="96">
                  <c:v>0.43446711434463281</c:v>
                </c:pt>
                <c:pt idx="97">
                  <c:v>0.44319849610463286</c:v>
                </c:pt>
                <c:pt idx="98">
                  <c:v>0.45202035850463296</c:v>
                </c:pt>
                <c:pt idx="99">
                  <c:v>0.46093270154463278</c:v>
                </c:pt>
                <c:pt idx="100">
                  <c:v>0.46993552522463278</c:v>
                </c:pt>
                <c:pt idx="101">
                  <c:v>0.47902882954463272</c:v>
                </c:pt>
                <c:pt idx="102">
                  <c:v>0.48821261450463277</c:v>
                </c:pt>
                <c:pt idx="103">
                  <c:v>0.49748688010463277</c:v>
                </c:pt>
                <c:pt idx="104">
                  <c:v>0.50685162634463299</c:v>
                </c:pt>
                <c:pt idx="105">
                  <c:v>0.51630685322463277</c:v>
                </c:pt>
                <c:pt idx="106">
                  <c:v>0.5258525607446326</c:v>
                </c:pt>
                <c:pt idx="107">
                  <c:v>0.53548874890463316</c:v>
                </c:pt>
                <c:pt idx="108">
                  <c:v>0.545215417704633</c:v>
                </c:pt>
                <c:pt idx="109">
                  <c:v>0.55503256714463289</c:v>
                </c:pt>
                <c:pt idx="110">
                  <c:v>0.56494019722463273</c:v>
                </c:pt>
                <c:pt idx="111">
                  <c:v>0.57493830794463263</c:v>
                </c:pt>
                <c:pt idx="112">
                  <c:v>0.58502689930463292</c:v>
                </c:pt>
                <c:pt idx="113">
                  <c:v>0.59520597130463293</c:v>
                </c:pt>
                <c:pt idx="114">
                  <c:v>0.60547552394463278</c:v>
                </c:pt>
                <c:pt idx="115">
                  <c:v>0.6158355572246329</c:v>
                </c:pt>
                <c:pt idx="116">
                  <c:v>0.62628607114463264</c:v>
                </c:pt>
                <c:pt idx="117">
                  <c:v>0.63682706570463266</c:v>
                </c:pt>
                <c:pt idx="118">
                  <c:v>0.64745854090463295</c:v>
                </c:pt>
                <c:pt idx="119">
                  <c:v>0.65818049674463286</c:v>
                </c:pt>
                <c:pt idx="120">
                  <c:v>0.6689929332246326</c:v>
                </c:pt>
                <c:pt idx="121">
                  <c:v>0.67989585034463307</c:v>
                </c:pt>
                <c:pt idx="122">
                  <c:v>0.69088924810463304</c:v>
                </c:pt>
                <c:pt idx="123">
                  <c:v>0.70197312650463284</c:v>
                </c:pt>
                <c:pt idx="124">
                  <c:v>0.71314748554463281</c:v>
                </c:pt>
                <c:pt idx="125">
                  <c:v>0.72441232522463272</c:v>
                </c:pt>
                <c:pt idx="126">
                  <c:v>0.7357676455446327</c:v>
                </c:pt>
                <c:pt idx="127">
                  <c:v>0.74721344650463306</c:v>
                </c:pt>
                <c:pt idx="128">
                  <c:v>0.7587497281046327</c:v>
                </c:pt>
                <c:pt idx="129">
                  <c:v>0.77037649034463263</c:v>
                </c:pt>
                <c:pt idx="130">
                  <c:v>0.78209373322463294</c:v>
                </c:pt>
                <c:pt idx="131">
                  <c:v>0.79390145674463308</c:v>
                </c:pt>
                <c:pt idx="132">
                  <c:v>0.80579966090463273</c:v>
                </c:pt>
                <c:pt idx="133">
                  <c:v>0.81778834570463288</c:v>
                </c:pt>
                <c:pt idx="134">
                  <c:v>0.82986751114463253</c:v>
                </c:pt>
                <c:pt idx="135">
                  <c:v>0.84203715722463268</c:v>
                </c:pt>
                <c:pt idx="136">
                  <c:v>0.854297283944633</c:v>
                </c:pt>
                <c:pt idx="137">
                  <c:v>0.86664789130463271</c:v>
                </c:pt>
                <c:pt idx="138">
                  <c:v>0.87908897930463237</c:v>
                </c:pt>
                <c:pt idx="139">
                  <c:v>0.89162054794463297</c:v>
                </c:pt>
                <c:pt idx="140">
                  <c:v>0.90424259722463296</c:v>
                </c:pt>
                <c:pt idx="141">
                  <c:v>0.9169551271446329</c:v>
                </c:pt>
                <c:pt idx="142">
                  <c:v>0.92975813770463278</c:v>
                </c:pt>
                <c:pt idx="143">
                  <c:v>0.94265162890463272</c:v>
                </c:pt>
                <c:pt idx="144">
                  <c:v>0.95563560074463261</c:v>
                </c:pt>
                <c:pt idx="145">
                  <c:v>0.96871005322463299</c:v>
                </c:pt>
                <c:pt idx="146">
                  <c:v>0.98187498634463266</c:v>
                </c:pt>
                <c:pt idx="147">
                  <c:v>0.99513040010463238</c:v>
                </c:pt>
                <c:pt idx="148">
                  <c:v>1.0084762945046328</c:v>
                </c:pt>
                <c:pt idx="149">
                  <c:v>1.0219126695446328</c:v>
                </c:pt>
                <c:pt idx="150">
                  <c:v>1.0354395252246327</c:v>
                </c:pt>
              </c:numCache>
            </c:numRef>
          </c:yVal>
          <c:smooth val="1"/>
          <c:extLst>
            <c:ext xmlns:c16="http://schemas.microsoft.com/office/drawing/2014/chart" uri="{C3380CC4-5D6E-409C-BE32-E72D297353CC}">
              <c16:uniqueId val="{00000003-6DF5-4D18-8D30-EE142E0FBE5F}"/>
            </c:ext>
          </c:extLst>
        </c:ser>
        <c:dLbls>
          <c:showLegendKey val="0"/>
          <c:showVal val="0"/>
          <c:showCatName val="0"/>
          <c:showSerName val="0"/>
          <c:showPercent val="0"/>
          <c:showBubbleSize val="0"/>
        </c:dLbls>
        <c:axId val="361467264"/>
        <c:axId val="361465344"/>
      </c:scatterChart>
      <c:valAx>
        <c:axId val="361445248"/>
        <c:scaling>
          <c:orientation val="minMax"/>
        </c:scaling>
        <c:delete val="0"/>
        <c:axPos val="b"/>
        <c:majorGridlines/>
        <c:numFmt formatCode="General" sourceLinked="1"/>
        <c:majorTickMark val="out"/>
        <c:minorTickMark val="none"/>
        <c:tickLblPos val="nextTo"/>
        <c:crossAx val="361446784"/>
        <c:crosses val="autoZero"/>
        <c:crossBetween val="midCat"/>
      </c:valAx>
      <c:valAx>
        <c:axId val="361446784"/>
        <c:scaling>
          <c:orientation val="minMax"/>
          <c:max val="100"/>
          <c:min val="60"/>
        </c:scaling>
        <c:delete val="0"/>
        <c:axPos val="l"/>
        <c:majorGridlines/>
        <c:title>
          <c:tx>
            <c:rich>
              <a:bodyPr rot="-5400000" vert="horz"/>
              <a:lstStyle/>
              <a:p>
                <a:pPr>
                  <a:defRPr sz="1400"/>
                </a:pPr>
                <a:r>
                  <a:rPr lang="en-US" sz="1400"/>
                  <a:t>Efficiency</a:t>
                </a:r>
                <a:r>
                  <a:rPr lang="en-US" sz="1400" baseline="0"/>
                  <a:t> (%)</a:t>
                </a:r>
                <a:endParaRPr lang="en-US" sz="1400"/>
              </a:p>
            </c:rich>
          </c:tx>
          <c:overlay val="0"/>
        </c:title>
        <c:numFmt formatCode="General" sourceLinked="1"/>
        <c:majorTickMark val="out"/>
        <c:minorTickMark val="none"/>
        <c:tickLblPos val="nextTo"/>
        <c:crossAx val="361445248"/>
        <c:crosses val="autoZero"/>
        <c:crossBetween val="midCat"/>
      </c:valAx>
      <c:valAx>
        <c:axId val="361465344"/>
        <c:scaling>
          <c:orientation val="minMax"/>
        </c:scaling>
        <c:delete val="0"/>
        <c:axPos val="r"/>
        <c:title>
          <c:tx>
            <c:rich>
              <a:bodyPr rot="-5400000" vert="horz"/>
              <a:lstStyle/>
              <a:p>
                <a:pPr>
                  <a:defRPr sz="1400"/>
                </a:pPr>
                <a:r>
                  <a:rPr lang="en-US" sz="1400"/>
                  <a:t>Losses</a:t>
                </a:r>
                <a:r>
                  <a:rPr lang="en-US" sz="1400" baseline="0"/>
                  <a:t> (W)</a:t>
                </a:r>
                <a:endParaRPr lang="en-US" sz="1400"/>
              </a:p>
            </c:rich>
          </c:tx>
          <c:overlay val="0"/>
        </c:title>
        <c:numFmt formatCode="General" sourceLinked="1"/>
        <c:majorTickMark val="out"/>
        <c:minorTickMark val="none"/>
        <c:tickLblPos val="nextTo"/>
        <c:crossAx val="361467264"/>
        <c:crosses val="max"/>
        <c:crossBetween val="midCat"/>
      </c:valAx>
      <c:valAx>
        <c:axId val="361467264"/>
        <c:scaling>
          <c:orientation val="minMax"/>
        </c:scaling>
        <c:delete val="1"/>
        <c:axPos val="b"/>
        <c:title>
          <c:tx>
            <c:rich>
              <a:bodyPr/>
              <a:lstStyle/>
              <a:p>
                <a:pPr>
                  <a:defRPr/>
                </a:pPr>
                <a:r>
                  <a:rPr lang="en-US"/>
                  <a:t>Load</a:t>
                </a:r>
                <a:r>
                  <a:rPr lang="en-US" baseline="0"/>
                  <a:t> Current (A)</a:t>
                </a:r>
                <a:endParaRPr lang="en-US"/>
              </a:p>
            </c:rich>
          </c:tx>
          <c:overlay val="0"/>
        </c:title>
        <c:numFmt formatCode="General" sourceLinked="1"/>
        <c:majorTickMark val="out"/>
        <c:minorTickMark val="none"/>
        <c:tickLblPos val="nextTo"/>
        <c:crossAx val="361465344"/>
        <c:crosses val="autoZero"/>
        <c:crossBetween val="midCat"/>
      </c:valAx>
    </c:plotArea>
    <c:legend>
      <c:legendPos val="r"/>
      <c:layout>
        <c:manualLayout>
          <c:xMode val="edge"/>
          <c:yMode val="edge"/>
          <c:x val="0.51894403926190358"/>
          <c:y val="6.4862204724409449E-3"/>
          <c:w val="0.39609572935704079"/>
          <c:h val="0.12183653099700564"/>
        </c:manualLayout>
      </c:layout>
      <c:overlay val="1"/>
    </c:legend>
    <c:plotVisOnly val="1"/>
    <c:dispBlanksAs val="gap"/>
    <c:showDLblsOverMax val="0"/>
  </c:chart>
  <c:spPr>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2400"/>
            </a:pPr>
            <a:r>
              <a:rPr lang="el-GR" sz="2400"/>
              <a:t>η</a:t>
            </a:r>
            <a:endParaRPr lang="en-US" sz="2400"/>
          </a:p>
        </c:rich>
      </c:tx>
      <c:layout>
        <c:manualLayout>
          <c:xMode val="edge"/>
          <c:yMode val="edge"/>
          <c:x val="9.2321838295158831E-2"/>
          <c:y val="6.7069081153588199E-3"/>
        </c:manualLayout>
      </c:layout>
      <c:overlay val="1"/>
    </c:title>
    <c:autoTitleDeleted val="0"/>
    <c:plotArea>
      <c:layout>
        <c:manualLayout>
          <c:layoutTarget val="inner"/>
          <c:xMode val="edge"/>
          <c:yMode val="edge"/>
          <c:x val="9.4343575816580413E-2"/>
          <c:y val="0.12777504924560487"/>
          <c:w val="0.82170691922728745"/>
          <c:h val="0.74982770867653059"/>
        </c:manualLayout>
      </c:layout>
      <c:scatterChart>
        <c:scatterStyle val="smoothMarker"/>
        <c:varyColors val="0"/>
        <c:ser>
          <c:idx val="0"/>
          <c:order val="0"/>
          <c:tx>
            <c:v>Eff</c:v>
          </c:tx>
          <c:spPr>
            <a:ln>
              <a:solidFill>
                <a:srgbClr val="FF0000"/>
              </a:solidFill>
            </a:ln>
          </c:spPr>
          <c:marker>
            <c:symbol val="none"/>
          </c:marker>
          <c:xVal>
            <c:numRef>
              <c:f>Eff_vs_VIN!$T$7:$T$157</c:f>
              <c:numCache>
                <c:formatCode>General</c:formatCode>
                <c:ptCount val="151"/>
                <c:pt idx="0">
                  <c:v>18</c:v>
                </c:pt>
                <c:pt idx="1">
                  <c:v>18.28</c:v>
                </c:pt>
                <c:pt idx="2">
                  <c:v>18.559999999999999</c:v>
                </c:pt>
                <c:pt idx="3">
                  <c:v>18.84</c:v>
                </c:pt>
                <c:pt idx="4">
                  <c:v>19.12</c:v>
                </c:pt>
                <c:pt idx="5">
                  <c:v>19.399999999999999</c:v>
                </c:pt>
                <c:pt idx="6">
                  <c:v>19.68</c:v>
                </c:pt>
                <c:pt idx="7">
                  <c:v>19.96</c:v>
                </c:pt>
                <c:pt idx="8">
                  <c:v>20.240000000000002</c:v>
                </c:pt>
                <c:pt idx="9">
                  <c:v>20.52</c:v>
                </c:pt>
                <c:pt idx="10">
                  <c:v>20.8</c:v>
                </c:pt>
                <c:pt idx="11">
                  <c:v>21.08</c:v>
                </c:pt>
                <c:pt idx="12">
                  <c:v>21.36</c:v>
                </c:pt>
                <c:pt idx="13">
                  <c:v>21.64</c:v>
                </c:pt>
                <c:pt idx="14">
                  <c:v>21.92</c:v>
                </c:pt>
                <c:pt idx="15">
                  <c:v>22.2</c:v>
                </c:pt>
                <c:pt idx="16">
                  <c:v>22.48</c:v>
                </c:pt>
                <c:pt idx="17">
                  <c:v>22.76</c:v>
                </c:pt>
                <c:pt idx="18">
                  <c:v>23.04</c:v>
                </c:pt>
                <c:pt idx="19">
                  <c:v>23.32</c:v>
                </c:pt>
                <c:pt idx="20">
                  <c:v>23.6</c:v>
                </c:pt>
                <c:pt idx="21">
                  <c:v>23.880000000000003</c:v>
                </c:pt>
                <c:pt idx="22">
                  <c:v>24.16</c:v>
                </c:pt>
                <c:pt idx="23">
                  <c:v>24.44</c:v>
                </c:pt>
                <c:pt idx="24">
                  <c:v>24.72</c:v>
                </c:pt>
                <c:pt idx="25">
                  <c:v>25</c:v>
                </c:pt>
                <c:pt idx="26">
                  <c:v>25.28</c:v>
                </c:pt>
                <c:pt idx="27">
                  <c:v>25.560000000000002</c:v>
                </c:pt>
                <c:pt idx="28">
                  <c:v>25.84</c:v>
                </c:pt>
                <c:pt idx="29">
                  <c:v>26.12</c:v>
                </c:pt>
                <c:pt idx="30">
                  <c:v>26.4</c:v>
                </c:pt>
                <c:pt idx="31">
                  <c:v>26.68</c:v>
                </c:pt>
                <c:pt idx="32">
                  <c:v>26.96</c:v>
                </c:pt>
                <c:pt idx="33">
                  <c:v>27.240000000000002</c:v>
                </c:pt>
                <c:pt idx="34">
                  <c:v>27.520000000000003</c:v>
                </c:pt>
                <c:pt idx="35">
                  <c:v>27.8</c:v>
                </c:pt>
                <c:pt idx="36">
                  <c:v>28.080000000000002</c:v>
                </c:pt>
                <c:pt idx="37">
                  <c:v>28.36</c:v>
                </c:pt>
                <c:pt idx="38">
                  <c:v>28.64</c:v>
                </c:pt>
                <c:pt idx="39">
                  <c:v>28.92</c:v>
                </c:pt>
                <c:pt idx="40">
                  <c:v>29.200000000000003</c:v>
                </c:pt>
                <c:pt idx="41">
                  <c:v>29.48</c:v>
                </c:pt>
                <c:pt idx="42">
                  <c:v>29.76</c:v>
                </c:pt>
                <c:pt idx="43">
                  <c:v>30.04</c:v>
                </c:pt>
                <c:pt idx="44">
                  <c:v>30.32</c:v>
                </c:pt>
                <c:pt idx="45">
                  <c:v>30.6</c:v>
                </c:pt>
                <c:pt idx="46">
                  <c:v>30.880000000000003</c:v>
                </c:pt>
                <c:pt idx="47">
                  <c:v>31.160000000000004</c:v>
                </c:pt>
                <c:pt idx="48">
                  <c:v>31.44</c:v>
                </c:pt>
                <c:pt idx="49">
                  <c:v>31.72</c:v>
                </c:pt>
                <c:pt idx="50">
                  <c:v>32</c:v>
                </c:pt>
                <c:pt idx="51">
                  <c:v>32.28</c:v>
                </c:pt>
                <c:pt idx="52">
                  <c:v>32.56</c:v>
                </c:pt>
                <c:pt idx="53">
                  <c:v>32.840000000000003</c:v>
                </c:pt>
                <c:pt idx="54">
                  <c:v>33.120000000000005</c:v>
                </c:pt>
                <c:pt idx="55">
                  <c:v>33.400000000000006</c:v>
                </c:pt>
                <c:pt idx="56">
                  <c:v>33.68</c:v>
                </c:pt>
                <c:pt idx="57">
                  <c:v>33.96</c:v>
                </c:pt>
                <c:pt idx="58">
                  <c:v>34.24</c:v>
                </c:pt>
                <c:pt idx="59">
                  <c:v>34.520000000000003</c:v>
                </c:pt>
                <c:pt idx="60">
                  <c:v>34.799999999999997</c:v>
                </c:pt>
                <c:pt idx="61">
                  <c:v>35.08</c:v>
                </c:pt>
                <c:pt idx="62">
                  <c:v>35.36</c:v>
                </c:pt>
                <c:pt idx="63">
                  <c:v>35.64</c:v>
                </c:pt>
                <c:pt idx="64">
                  <c:v>35.92</c:v>
                </c:pt>
                <c:pt idx="65">
                  <c:v>36.200000000000003</c:v>
                </c:pt>
                <c:pt idx="66">
                  <c:v>36.480000000000004</c:v>
                </c:pt>
                <c:pt idx="67">
                  <c:v>36.760000000000005</c:v>
                </c:pt>
                <c:pt idx="68">
                  <c:v>37.040000000000006</c:v>
                </c:pt>
                <c:pt idx="69">
                  <c:v>37.32</c:v>
                </c:pt>
                <c:pt idx="70">
                  <c:v>37.6</c:v>
                </c:pt>
                <c:pt idx="71">
                  <c:v>37.880000000000003</c:v>
                </c:pt>
                <c:pt idx="72">
                  <c:v>38.160000000000004</c:v>
                </c:pt>
                <c:pt idx="73">
                  <c:v>38.44</c:v>
                </c:pt>
                <c:pt idx="74">
                  <c:v>38.72</c:v>
                </c:pt>
                <c:pt idx="75">
                  <c:v>39</c:v>
                </c:pt>
                <c:pt idx="76">
                  <c:v>39.28</c:v>
                </c:pt>
                <c:pt idx="77">
                  <c:v>39.56</c:v>
                </c:pt>
                <c:pt idx="78">
                  <c:v>39.840000000000003</c:v>
                </c:pt>
                <c:pt idx="79">
                  <c:v>40.120000000000005</c:v>
                </c:pt>
                <c:pt idx="80">
                  <c:v>40.400000000000006</c:v>
                </c:pt>
                <c:pt idx="81">
                  <c:v>40.680000000000007</c:v>
                </c:pt>
                <c:pt idx="82">
                  <c:v>40.96</c:v>
                </c:pt>
                <c:pt idx="83">
                  <c:v>41.24</c:v>
                </c:pt>
                <c:pt idx="84">
                  <c:v>41.52</c:v>
                </c:pt>
                <c:pt idx="85">
                  <c:v>41.8</c:v>
                </c:pt>
                <c:pt idx="86">
                  <c:v>42.08</c:v>
                </c:pt>
                <c:pt idx="87">
                  <c:v>42.36</c:v>
                </c:pt>
                <c:pt idx="88">
                  <c:v>42.64</c:v>
                </c:pt>
                <c:pt idx="89">
                  <c:v>42.92</c:v>
                </c:pt>
                <c:pt idx="90">
                  <c:v>43.2</c:v>
                </c:pt>
                <c:pt idx="91">
                  <c:v>43.480000000000004</c:v>
                </c:pt>
                <c:pt idx="92">
                  <c:v>43.760000000000005</c:v>
                </c:pt>
                <c:pt idx="93">
                  <c:v>44.040000000000006</c:v>
                </c:pt>
                <c:pt idx="94">
                  <c:v>44.320000000000007</c:v>
                </c:pt>
                <c:pt idx="95">
                  <c:v>44.6</c:v>
                </c:pt>
                <c:pt idx="96">
                  <c:v>44.88</c:v>
                </c:pt>
                <c:pt idx="97">
                  <c:v>45.160000000000004</c:v>
                </c:pt>
                <c:pt idx="98">
                  <c:v>45.44</c:v>
                </c:pt>
                <c:pt idx="99">
                  <c:v>45.72</c:v>
                </c:pt>
                <c:pt idx="100">
                  <c:v>46</c:v>
                </c:pt>
                <c:pt idx="101">
                  <c:v>46.28</c:v>
                </c:pt>
                <c:pt idx="102">
                  <c:v>46.56</c:v>
                </c:pt>
                <c:pt idx="103">
                  <c:v>46.84</c:v>
                </c:pt>
                <c:pt idx="104">
                  <c:v>47.120000000000005</c:v>
                </c:pt>
                <c:pt idx="105">
                  <c:v>47.400000000000006</c:v>
                </c:pt>
                <c:pt idx="106">
                  <c:v>47.680000000000007</c:v>
                </c:pt>
                <c:pt idx="107">
                  <c:v>47.960000000000008</c:v>
                </c:pt>
                <c:pt idx="108">
                  <c:v>48.24</c:v>
                </c:pt>
                <c:pt idx="109">
                  <c:v>48.52</c:v>
                </c:pt>
                <c:pt idx="110">
                  <c:v>48.800000000000004</c:v>
                </c:pt>
                <c:pt idx="111">
                  <c:v>49.08</c:v>
                </c:pt>
                <c:pt idx="112">
                  <c:v>49.36</c:v>
                </c:pt>
                <c:pt idx="113">
                  <c:v>49.64</c:v>
                </c:pt>
                <c:pt idx="114">
                  <c:v>49.92</c:v>
                </c:pt>
                <c:pt idx="115">
                  <c:v>50.2</c:v>
                </c:pt>
                <c:pt idx="116">
                  <c:v>50.480000000000004</c:v>
                </c:pt>
                <c:pt idx="117">
                  <c:v>50.760000000000005</c:v>
                </c:pt>
                <c:pt idx="118">
                  <c:v>51.040000000000006</c:v>
                </c:pt>
                <c:pt idx="119">
                  <c:v>51.32</c:v>
                </c:pt>
                <c:pt idx="120">
                  <c:v>51.6</c:v>
                </c:pt>
                <c:pt idx="121">
                  <c:v>51.88</c:v>
                </c:pt>
                <c:pt idx="122">
                  <c:v>52.160000000000004</c:v>
                </c:pt>
                <c:pt idx="123">
                  <c:v>52.440000000000005</c:v>
                </c:pt>
                <c:pt idx="124">
                  <c:v>52.720000000000006</c:v>
                </c:pt>
                <c:pt idx="125">
                  <c:v>53</c:v>
                </c:pt>
                <c:pt idx="126">
                  <c:v>53.28</c:v>
                </c:pt>
                <c:pt idx="127">
                  <c:v>53.56</c:v>
                </c:pt>
                <c:pt idx="128">
                  <c:v>53.84</c:v>
                </c:pt>
                <c:pt idx="129">
                  <c:v>54.120000000000005</c:v>
                </c:pt>
                <c:pt idx="130">
                  <c:v>54.400000000000006</c:v>
                </c:pt>
                <c:pt idx="131">
                  <c:v>54.680000000000007</c:v>
                </c:pt>
                <c:pt idx="132">
                  <c:v>54.96</c:v>
                </c:pt>
                <c:pt idx="133">
                  <c:v>55.24</c:v>
                </c:pt>
                <c:pt idx="134">
                  <c:v>55.52</c:v>
                </c:pt>
                <c:pt idx="135">
                  <c:v>55.800000000000004</c:v>
                </c:pt>
                <c:pt idx="136">
                  <c:v>56.080000000000005</c:v>
                </c:pt>
                <c:pt idx="137">
                  <c:v>56.360000000000007</c:v>
                </c:pt>
                <c:pt idx="138">
                  <c:v>56.64</c:v>
                </c:pt>
                <c:pt idx="139">
                  <c:v>56.92</c:v>
                </c:pt>
                <c:pt idx="140">
                  <c:v>57.2</c:v>
                </c:pt>
                <c:pt idx="141">
                  <c:v>57.480000000000004</c:v>
                </c:pt>
                <c:pt idx="142">
                  <c:v>57.760000000000005</c:v>
                </c:pt>
                <c:pt idx="143">
                  <c:v>58.040000000000006</c:v>
                </c:pt>
                <c:pt idx="144">
                  <c:v>58.320000000000007</c:v>
                </c:pt>
                <c:pt idx="145">
                  <c:v>58.6</c:v>
                </c:pt>
                <c:pt idx="146">
                  <c:v>58.88</c:v>
                </c:pt>
                <c:pt idx="147">
                  <c:v>59.160000000000004</c:v>
                </c:pt>
                <c:pt idx="148">
                  <c:v>59.440000000000005</c:v>
                </c:pt>
                <c:pt idx="149">
                  <c:v>59.720000000000006</c:v>
                </c:pt>
                <c:pt idx="150">
                  <c:v>60.000000000000007</c:v>
                </c:pt>
              </c:numCache>
            </c:numRef>
          </c:xVal>
          <c:yVal>
            <c:numRef>
              <c:f>Eff_vs_VIN!$AW$7:$AW$157</c:f>
              <c:numCache>
                <c:formatCode>General</c:formatCode>
                <c:ptCount val="151"/>
                <c:pt idx="0">
                  <c:v>98.235671876908697</c:v>
                </c:pt>
                <c:pt idx="1">
                  <c:v>98.263806568894481</c:v>
                </c:pt>
                <c:pt idx="2">
                  <c:v>98.290560067316235</c:v>
                </c:pt>
                <c:pt idx="3">
                  <c:v>98.316019785866558</c:v>
                </c:pt>
                <c:pt idx="4">
                  <c:v>98.340267275170362</c:v>
                </c:pt>
                <c:pt idx="5">
                  <c:v>98.363378699037014</c:v>
                </c:pt>
                <c:pt idx="6">
                  <c:v>98.385425265165978</c:v>
                </c:pt>
                <c:pt idx="7">
                  <c:v>98.406473615208895</c:v>
                </c:pt>
                <c:pt idx="8">
                  <c:v>98.426586178506412</c:v>
                </c:pt>
                <c:pt idx="9">
                  <c:v>98.445821493309197</c:v>
                </c:pt>
                <c:pt idx="10">
                  <c:v>98.464234498850914</c:v>
                </c:pt>
                <c:pt idx="11">
                  <c:v>98.481876801253236</c:v>
                </c:pt>
                <c:pt idx="12">
                  <c:v>98.498796915906127</c:v>
                </c:pt>
                <c:pt idx="13">
                  <c:v>98.515040488669726</c:v>
                </c:pt>
                <c:pt idx="14">
                  <c:v>98.530650497985562</c:v>
                </c:pt>
                <c:pt idx="15">
                  <c:v>98.545667439755761</c:v>
                </c:pt>
                <c:pt idx="16">
                  <c:v>98.560129496648599</c:v>
                </c:pt>
                <c:pt idx="17">
                  <c:v>98.574072693311649</c:v>
                </c:pt>
                <c:pt idx="18">
                  <c:v>98.587531038817318</c:v>
                </c:pt>
                <c:pt idx="19">
                  <c:v>98.600536657527556</c:v>
                </c:pt>
                <c:pt idx="20">
                  <c:v>98.613119909441764</c:v>
                </c:pt>
                <c:pt idx="21">
                  <c:v>98.625309500984102</c:v>
                </c:pt>
                <c:pt idx="22">
                  <c:v>98.637132587088772</c:v>
                </c:pt>
                <c:pt idx="23">
                  <c:v>98.648614865357757</c:v>
                </c:pt>
                <c:pt idx="24">
                  <c:v>98.659780662987544</c:v>
                </c:pt>
                <c:pt idx="25">
                  <c:v>98.670653017094509</c:v>
                </c:pt>
                <c:pt idx="26">
                  <c:v>98.681253749007169</c:v>
                </c:pt>
                <c:pt idx="27">
                  <c:v>98.691603533039483</c:v>
                </c:pt>
                <c:pt idx="28">
                  <c:v>98.70172196021079</c:v>
                </c:pt>
                <c:pt idx="29">
                  <c:v>98.711627597334243</c:v>
                </c:pt>
                <c:pt idx="30">
                  <c:v>98.72133804185664</c:v>
                </c:pt>
                <c:pt idx="31">
                  <c:v>98.730869972797535</c:v>
                </c:pt>
                <c:pt idx="32">
                  <c:v>98.740239198103595</c:v>
                </c:pt>
                <c:pt idx="33">
                  <c:v>98.749460698706386</c:v>
                </c:pt>
                <c:pt idx="34">
                  <c:v>98.75854866954549</c:v>
                </c:pt>
                <c:pt idx="35">
                  <c:v>98.767516557796199</c:v>
                </c:pt>
                <c:pt idx="36">
                  <c:v>98.776377098520243</c:v>
                </c:pt>
                <c:pt idx="37">
                  <c:v>98.785142347938674</c:v>
                </c:pt>
                <c:pt idx="38">
                  <c:v>98.793823714509514</c:v>
                </c:pt>
                <c:pt idx="39">
                  <c:v>98.802431987977172</c:v>
                </c:pt>
                <c:pt idx="40">
                  <c:v>98.810977366546325</c:v>
                </c:pt>
                <c:pt idx="41">
                  <c:v>98.819469482320869</c:v>
                </c:pt>
                <c:pt idx="42">
                  <c:v>98.827917425136278</c:v>
                </c:pt>
                <c:pt idx="43">
                  <c:v>98.836329764904079</c:v>
                </c:pt>
                <c:pt idx="44">
                  <c:v>98.844714572576635</c:v>
                </c:pt>
                <c:pt idx="45">
                  <c:v>98.85307943983274</c:v>
                </c:pt>
                <c:pt idx="46">
                  <c:v>98.861431497575751</c:v>
                </c:pt>
                <c:pt idx="47">
                  <c:v>98.869777433329403</c:v>
                </c:pt>
                <c:pt idx="48">
                  <c:v>98.878123507609644</c:v>
                </c:pt>
                <c:pt idx="49">
                  <c:v>98.886475569344483</c:v>
                </c:pt>
                <c:pt idx="50">
                  <c:v>98.894839070408992</c:v>
                </c:pt>
                <c:pt idx="51">
                  <c:v>98.903219079337134</c:v>
                </c:pt>
                <c:pt idx="52">
                  <c:v>98.911620294267507</c:v>
                </c:pt>
                <c:pt idx="53">
                  <c:v>98.920047055176042</c:v>
                </c:pt>
                <c:pt idx="54">
                  <c:v>98.928503355444661</c:v>
                </c:pt>
                <c:pt idx="55">
                  <c:v>98.936992852811642</c:v>
                </c:pt>
                <c:pt idx="56">
                  <c:v>98.945518879745734</c:v>
                </c:pt>
                <c:pt idx="57">
                  <c:v>98.954084453283585</c:v>
                </c:pt>
                <c:pt idx="58">
                  <c:v>98.962692284366767</c:v>
                </c:pt>
                <c:pt idx="59">
                  <c:v>98.97134478671282</c:v>
                </c:pt>
                <c:pt idx="60">
                  <c:v>98.980044085251691</c:v>
                </c:pt>
                <c:pt idx="61">
                  <c:v>98.988792024157419</c:v>
                </c:pt>
                <c:pt idx="62">
                  <c:v>98.997590174502534</c:v>
                </c:pt>
                <c:pt idx="63">
                  <c:v>99.00643984156126</c:v>
                </c:pt>
                <c:pt idx="64">
                  <c:v>99.015342071785312</c:v>
                </c:pt>
                <c:pt idx="65">
                  <c:v>99.024297659475351</c:v>
                </c:pt>
                <c:pt idx="66">
                  <c:v>99.033307153169005</c:v>
                </c:pt>
                <c:pt idx="67">
                  <c:v>99.042370861765491</c:v>
                </c:pt>
                <c:pt idx="68">
                  <c:v>99.051488860405797</c:v>
                </c:pt>
                <c:pt idx="69">
                  <c:v>99.060660996125605</c:v>
                </c:pt>
                <c:pt idx="70">
                  <c:v>99.069886893298019</c:v>
                </c:pt>
                <c:pt idx="71">
                  <c:v>99.079165958881504</c:v>
                </c:pt>
                <c:pt idx="72">
                  <c:v>99.088497387487948</c:v>
                </c:pt>
                <c:pt idx="73">
                  <c:v>99.097880166285108</c:v>
                </c:pt>
                <c:pt idx="74">
                  <c:v>99.107313079746106</c:v>
                </c:pt>
                <c:pt idx="75">
                  <c:v>99.116794714259569</c:v>
                </c:pt>
                <c:pt idx="76">
                  <c:v>99.126323462611566</c:v>
                </c:pt>
                <c:pt idx="77">
                  <c:v>99.135897528351364</c:v>
                </c:pt>
                <c:pt idx="78">
                  <c:v>99.145514930051803</c:v>
                </c:pt>
                <c:pt idx="79">
                  <c:v>99.155173505474806</c:v>
                </c:pt>
                <c:pt idx="80">
                  <c:v>99.164870915652131</c:v>
                </c:pt>
                <c:pt idx="81">
                  <c:v>99.174604648891147</c:v>
                </c:pt>
                <c:pt idx="82">
                  <c:v>99.184372024714861</c:v>
                </c:pt>
                <c:pt idx="83">
                  <c:v>99.194170197745549</c:v>
                </c:pt>
                <c:pt idx="84">
                  <c:v>99.203996161540559</c:v>
                </c:pt>
                <c:pt idx="85">
                  <c:v>99.213846752389074</c:v>
                </c:pt>
                <c:pt idx="86">
                  <c:v>99.223718653078024</c:v>
                </c:pt>
                <c:pt idx="87">
                  <c:v>99.233608396635873</c:v>
                </c:pt>
                <c:pt idx="88">
                  <c:v>99.243512370061623</c:v>
                </c:pt>
                <c:pt idx="89">
                  <c:v>99.253426818048013</c:v>
                </c:pt>
                <c:pt idx="90">
                  <c:v>99.263347846706012</c:v>
                </c:pt>
                <c:pt idx="91">
                  <c:v>99.27327142729915</c:v>
                </c:pt>
                <c:pt idx="92">
                  <c:v>99.283193399995469</c:v>
                </c:pt>
                <c:pt idx="93">
                  <c:v>99.29310947764489</c:v>
                </c:pt>
                <c:pt idx="94">
                  <c:v>99.303015249590473</c:v>
                </c:pt>
                <c:pt idx="95">
                  <c:v>99.312906185521328</c:v>
                </c:pt>
                <c:pt idx="96">
                  <c:v>99.322777639375886</c:v>
                </c:pt>
                <c:pt idx="97">
                  <c:v>99.332624853303841</c:v>
                </c:pt>
                <c:pt idx="98">
                  <c:v>99.342442961695724</c:v>
                </c:pt>
                <c:pt idx="99">
                  <c:v>99.352226995289101</c:v>
                </c:pt>
                <c:pt idx="100">
                  <c:v>99.361971885360802</c:v>
                </c:pt>
                <c:pt idx="101">
                  <c:v>99.371672468015177</c:v>
                </c:pt>
                <c:pt idx="102">
                  <c:v>99.381323488578502</c:v>
                </c:pt>
                <c:pt idx="103">
                  <c:v>99.3909196061106</c:v>
                </c:pt>
                <c:pt idx="104">
                  <c:v>99.40045539804494</c:v>
                </c:pt>
                <c:pt idx="105">
                  <c:v>99.409925364969624</c:v>
                </c:pt>
                <c:pt idx="106">
                  <c:v>99.419323935562119</c:v>
                </c:pt>
                <c:pt idx="107">
                  <c:v>99.428645471691823</c:v>
                </c:pt>
                <c:pt idx="108">
                  <c:v>99.437884273705308</c:v>
                </c:pt>
                <c:pt idx="109">
                  <c:v>99.447034585910615</c:v>
                </c:pt>
                <c:pt idx="110">
                  <c:v>99.456090602278209</c:v>
                </c:pt>
                <c:pt idx="111">
                  <c:v>99.465046472377466</c:v>
                </c:pt>
                <c:pt idx="112">
                  <c:v>99.473896307570371</c:v>
                </c:pt>
                <c:pt idx="113">
                  <c:v>99.482634187484607</c:v>
                </c:pt>
                <c:pt idx="114">
                  <c:v>99.491254166792373</c:v>
                </c:pt>
                <c:pt idx="115">
                  <c:v>99.499750282322594</c:v>
                </c:pt>
                <c:pt idx="116">
                  <c:v>99.50811656053807</c:v>
                </c:pt>
                <c:pt idx="117">
                  <c:v>99.516347025412912</c:v>
                </c:pt>
                <c:pt idx="118">
                  <c:v>99.524435706749358</c:v>
                </c:pt>
                <c:pt idx="119">
                  <c:v>99.532376648978769</c:v>
                </c:pt>
                <c:pt idx="120">
                  <c:v>99.540163920496965</c:v>
                </c:pt>
                <c:pt idx="121">
                  <c:v>99.547791623591451</c:v>
                </c:pt>
                <c:pt idx="122">
                  <c:v>99.555253905026234</c:v>
                </c:pt>
                <c:pt idx="123">
                  <c:v>99.562544967359784</c:v>
                </c:pt>
                <c:pt idx="124">
                  <c:v>99.569659081083444</c:v>
                </c:pt>
                <c:pt idx="125">
                  <c:v>99.57659059768244</c:v>
                </c:pt>
                <c:pt idx="126">
                  <c:v>99.583333963738227</c:v>
                </c:pt>
                <c:pt idx="127">
                  <c:v>99.589883736212798</c:v>
                </c:pt>
                <c:pt idx="128">
                  <c:v>99.596234599081697</c:v>
                </c:pt>
                <c:pt idx="129">
                  <c:v>99.602381381514903</c:v>
                </c:pt>
                <c:pt idx="130">
                  <c:v>99.608319077846019</c:v>
                </c:pt>
                <c:pt idx="131">
                  <c:v>99.61404286962204</c:v>
                </c:pt>
                <c:pt idx="132">
                  <c:v>99.619548150092371</c:v>
                </c:pt>
                <c:pt idx="133">
                  <c:v>99.624830551582875</c:v>
                </c:pt>
                <c:pt idx="134">
                  <c:v>99.62988597631346</c:v>
                </c:pt>
                <c:pt idx="135">
                  <c:v>99.634710631370311</c:v>
                </c:pt>
                <c:pt idx="136">
                  <c:v>99.639301068748892</c:v>
                </c:pt>
                <c:pt idx="137">
                  <c:v>99.643654231668449</c:v>
                </c:pt>
                <c:pt idx="138">
                  <c:v>99.647767508759173</c:v>
                </c:pt>
                <c:pt idx="139">
                  <c:v>99.651638798302073</c:v>
                </c:pt>
                <c:pt idx="140">
                  <c:v>99.655266585559573</c:v>
                </c:pt>
                <c:pt idx="141">
                  <c:v>99.658650037547957</c:v>
                </c:pt>
                <c:pt idx="142">
                  <c:v>99.661789121687576</c:v>
                </c:pt>
                <c:pt idx="143">
                  <c:v>99.66468475822343</c:v>
                </c:pt>
                <c:pt idx="144">
                  <c:v>99.667339022356003</c:v>
                </c:pt>
                <c:pt idx="145">
                  <c:v>99.669755423321931</c:v>
                </c:pt>
                <c:pt idx="146">
                  <c:v>99.671939310658388</c:v>
                </c:pt>
                <c:pt idx="147">
                  <c:v>99.673898510341189</c:v>
                </c:pt>
                <c:pt idx="148">
                  <c:v>99.675644434544523</c:v>
                </c:pt>
                <c:pt idx="149">
                  <c:v>99.677194404385062</c:v>
                </c:pt>
                <c:pt idx="150">
                  <c:v>0</c:v>
                </c:pt>
              </c:numCache>
            </c:numRef>
          </c:yVal>
          <c:smooth val="0"/>
          <c:extLst>
            <c:ext xmlns:c16="http://schemas.microsoft.com/office/drawing/2014/chart" uri="{C3380CC4-5D6E-409C-BE32-E72D297353CC}">
              <c16:uniqueId val="{00000000-0B1C-42A1-BAB5-10FCC4361A6B}"/>
            </c:ext>
          </c:extLst>
        </c:ser>
        <c:dLbls>
          <c:showLegendKey val="0"/>
          <c:showVal val="0"/>
          <c:showCatName val="0"/>
          <c:showSerName val="0"/>
          <c:showPercent val="0"/>
          <c:showBubbleSize val="0"/>
        </c:dLbls>
        <c:axId val="361445248"/>
        <c:axId val="361446784"/>
      </c:scatterChart>
      <c:scatterChart>
        <c:scatterStyle val="smoothMarker"/>
        <c:varyColors val="0"/>
        <c:ser>
          <c:idx val="1"/>
          <c:order val="1"/>
          <c:tx>
            <c:v>LS MOSFET</c:v>
          </c:tx>
          <c:spPr>
            <a:ln>
              <a:solidFill>
                <a:schemeClr val="tx2">
                  <a:lumMod val="75000"/>
                </a:schemeClr>
              </a:solidFill>
              <a:prstDash val="dashDot"/>
            </a:ln>
          </c:spPr>
          <c:marker>
            <c:symbol val="none"/>
          </c:marker>
          <c:xVal>
            <c:numRef>
              <c:f>Eff_vs_VIN!$T$7:$T$157</c:f>
              <c:numCache>
                <c:formatCode>General</c:formatCode>
                <c:ptCount val="151"/>
                <c:pt idx="0">
                  <c:v>18</c:v>
                </c:pt>
                <c:pt idx="1">
                  <c:v>18.28</c:v>
                </c:pt>
                <c:pt idx="2">
                  <c:v>18.559999999999999</c:v>
                </c:pt>
                <c:pt idx="3">
                  <c:v>18.84</c:v>
                </c:pt>
                <c:pt idx="4">
                  <c:v>19.12</c:v>
                </c:pt>
                <c:pt idx="5">
                  <c:v>19.399999999999999</c:v>
                </c:pt>
                <c:pt idx="6">
                  <c:v>19.68</c:v>
                </c:pt>
                <c:pt idx="7">
                  <c:v>19.96</c:v>
                </c:pt>
                <c:pt idx="8">
                  <c:v>20.240000000000002</c:v>
                </c:pt>
                <c:pt idx="9">
                  <c:v>20.52</c:v>
                </c:pt>
                <c:pt idx="10">
                  <c:v>20.8</c:v>
                </c:pt>
                <c:pt idx="11">
                  <c:v>21.08</c:v>
                </c:pt>
                <c:pt idx="12">
                  <c:v>21.36</c:v>
                </c:pt>
                <c:pt idx="13">
                  <c:v>21.64</c:v>
                </c:pt>
                <c:pt idx="14">
                  <c:v>21.92</c:v>
                </c:pt>
                <c:pt idx="15">
                  <c:v>22.2</c:v>
                </c:pt>
                <c:pt idx="16">
                  <c:v>22.48</c:v>
                </c:pt>
                <c:pt idx="17">
                  <c:v>22.76</c:v>
                </c:pt>
                <c:pt idx="18">
                  <c:v>23.04</c:v>
                </c:pt>
                <c:pt idx="19">
                  <c:v>23.32</c:v>
                </c:pt>
                <c:pt idx="20">
                  <c:v>23.6</c:v>
                </c:pt>
                <c:pt idx="21">
                  <c:v>23.880000000000003</c:v>
                </c:pt>
                <c:pt idx="22">
                  <c:v>24.16</c:v>
                </c:pt>
                <c:pt idx="23">
                  <c:v>24.44</c:v>
                </c:pt>
                <c:pt idx="24">
                  <c:v>24.72</c:v>
                </c:pt>
                <c:pt idx="25">
                  <c:v>25</c:v>
                </c:pt>
                <c:pt idx="26">
                  <c:v>25.28</c:v>
                </c:pt>
                <c:pt idx="27">
                  <c:v>25.560000000000002</c:v>
                </c:pt>
                <c:pt idx="28">
                  <c:v>25.84</c:v>
                </c:pt>
                <c:pt idx="29">
                  <c:v>26.12</c:v>
                </c:pt>
                <c:pt idx="30">
                  <c:v>26.4</c:v>
                </c:pt>
                <c:pt idx="31">
                  <c:v>26.68</c:v>
                </c:pt>
                <c:pt idx="32">
                  <c:v>26.96</c:v>
                </c:pt>
                <c:pt idx="33">
                  <c:v>27.240000000000002</c:v>
                </c:pt>
                <c:pt idx="34">
                  <c:v>27.520000000000003</c:v>
                </c:pt>
                <c:pt idx="35">
                  <c:v>27.8</c:v>
                </c:pt>
                <c:pt idx="36">
                  <c:v>28.080000000000002</c:v>
                </c:pt>
                <c:pt idx="37">
                  <c:v>28.36</c:v>
                </c:pt>
                <c:pt idx="38">
                  <c:v>28.64</c:v>
                </c:pt>
                <c:pt idx="39">
                  <c:v>28.92</c:v>
                </c:pt>
                <c:pt idx="40">
                  <c:v>29.200000000000003</c:v>
                </c:pt>
                <c:pt idx="41">
                  <c:v>29.48</c:v>
                </c:pt>
                <c:pt idx="42">
                  <c:v>29.76</c:v>
                </c:pt>
                <c:pt idx="43">
                  <c:v>30.04</c:v>
                </c:pt>
                <c:pt idx="44">
                  <c:v>30.32</c:v>
                </c:pt>
                <c:pt idx="45">
                  <c:v>30.6</c:v>
                </c:pt>
                <c:pt idx="46">
                  <c:v>30.880000000000003</c:v>
                </c:pt>
                <c:pt idx="47">
                  <c:v>31.160000000000004</c:v>
                </c:pt>
                <c:pt idx="48">
                  <c:v>31.44</c:v>
                </c:pt>
                <c:pt idx="49">
                  <c:v>31.72</c:v>
                </c:pt>
                <c:pt idx="50">
                  <c:v>32</c:v>
                </c:pt>
                <c:pt idx="51">
                  <c:v>32.28</c:v>
                </c:pt>
                <c:pt idx="52">
                  <c:v>32.56</c:v>
                </c:pt>
                <c:pt idx="53">
                  <c:v>32.840000000000003</c:v>
                </c:pt>
                <c:pt idx="54">
                  <c:v>33.120000000000005</c:v>
                </c:pt>
                <c:pt idx="55">
                  <c:v>33.400000000000006</c:v>
                </c:pt>
                <c:pt idx="56">
                  <c:v>33.68</c:v>
                </c:pt>
                <c:pt idx="57">
                  <c:v>33.96</c:v>
                </c:pt>
                <c:pt idx="58">
                  <c:v>34.24</c:v>
                </c:pt>
                <c:pt idx="59">
                  <c:v>34.520000000000003</c:v>
                </c:pt>
                <c:pt idx="60">
                  <c:v>34.799999999999997</c:v>
                </c:pt>
                <c:pt idx="61">
                  <c:v>35.08</c:v>
                </c:pt>
                <c:pt idx="62">
                  <c:v>35.36</c:v>
                </c:pt>
                <c:pt idx="63">
                  <c:v>35.64</c:v>
                </c:pt>
                <c:pt idx="64">
                  <c:v>35.92</c:v>
                </c:pt>
                <c:pt idx="65">
                  <c:v>36.200000000000003</c:v>
                </c:pt>
                <c:pt idx="66">
                  <c:v>36.480000000000004</c:v>
                </c:pt>
                <c:pt idx="67">
                  <c:v>36.760000000000005</c:v>
                </c:pt>
                <c:pt idx="68">
                  <c:v>37.040000000000006</c:v>
                </c:pt>
                <c:pt idx="69">
                  <c:v>37.32</c:v>
                </c:pt>
                <c:pt idx="70">
                  <c:v>37.6</c:v>
                </c:pt>
                <c:pt idx="71">
                  <c:v>37.880000000000003</c:v>
                </c:pt>
                <c:pt idx="72">
                  <c:v>38.160000000000004</c:v>
                </c:pt>
                <c:pt idx="73">
                  <c:v>38.44</c:v>
                </c:pt>
                <c:pt idx="74">
                  <c:v>38.72</c:v>
                </c:pt>
                <c:pt idx="75">
                  <c:v>39</c:v>
                </c:pt>
                <c:pt idx="76">
                  <c:v>39.28</c:v>
                </c:pt>
                <c:pt idx="77">
                  <c:v>39.56</c:v>
                </c:pt>
                <c:pt idx="78">
                  <c:v>39.840000000000003</c:v>
                </c:pt>
                <c:pt idx="79">
                  <c:v>40.120000000000005</c:v>
                </c:pt>
                <c:pt idx="80">
                  <c:v>40.400000000000006</c:v>
                </c:pt>
                <c:pt idx="81">
                  <c:v>40.680000000000007</c:v>
                </c:pt>
                <c:pt idx="82">
                  <c:v>40.96</c:v>
                </c:pt>
                <c:pt idx="83">
                  <c:v>41.24</c:v>
                </c:pt>
                <c:pt idx="84">
                  <c:v>41.52</c:v>
                </c:pt>
                <c:pt idx="85">
                  <c:v>41.8</c:v>
                </c:pt>
                <c:pt idx="86">
                  <c:v>42.08</c:v>
                </c:pt>
                <c:pt idx="87">
                  <c:v>42.36</c:v>
                </c:pt>
                <c:pt idx="88">
                  <c:v>42.64</c:v>
                </c:pt>
                <c:pt idx="89">
                  <c:v>42.92</c:v>
                </c:pt>
                <c:pt idx="90">
                  <c:v>43.2</c:v>
                </c:pt>
                <c:pt idx="91">
                  <c:v>43.480000000000004</c:v>
                </c:pt>
                <c:pt idx="92">
                  <c:v>43.760000000000005</c:v>
                </c:pt>
                <c:pt idx="93">
                  <c:v>44.040000000000006</c:v>
                </c:pt>
                <c:pt idx="94">
                  <c:v>44.320000000000007</c:v>
                </c:pt>
                <c:pt idx="95">
                  <c:v>44.6</c:v>
                </c:pt>
                <c:pt idx="96">
                  <c:v>44.88</c:v>
                </c:pt>
                <c:pt idx="97">
                  <c:v>45.160000000000004</c:v>
                </c:pt>
                <c:pt idx="98">
                  <c:v>45.44</c:v>
                </c:pt>
                <c:pt idx="99">
                  <c:v>45.72</c:v>
                </c:pt>
                <c:pt idx="100">
                  <c:v>46</c:v>
                </c:pt>
                <c:pt idx="101">
                  <c:v>46.28</c:v>
                </c:pt>
                <c:pt idx="102">
                  <c:v>46.56</c:v>
                </c:pt>
                <c:pt idx="103">
                  <c:v>46.84</c:v>
                </c:pt>
                <c:pt idx="104">
                  <c:v>47.120000000000005</c:v>
                </c:pt>
                <c:pt idx="105">
                  <c:v>47.400000000000006</c:v>
                </c:pt>
                <c:pt idx="106">
                  <c:v>47.680000000000007</c:v>
                </c:pt>
                <c:pt idx="107">
                  <c:v>47.960000000000008</c:v>
                </c:pt>
                <c:pt idx="108">
                  <c:v>48.24</c:v>
                </c:pt>
                <c:pt idx="109">
                  <c:v>48.52</c:v>
                </c:pt>
                <c:pt idx="110">
                  <c:v>48.800000000000004</c:v>
                </c:pt>
                <c:pt idx="111">
                  <c:v>49.08</c:v>
                </c:pt>
                <c:pt idx="112">
                  <c:v>49.36</c:v>
                </c:pt>
                <c:pt idx="113">
                  <c:v>49.64</c:v>
                </c:pt>
                <c:pt idx="114">
                  <c:v>49.92</c:v>
                </c:pt>
                <c:pt idx="115">
                  <c:v>50.2</c:v>
                </c:pt>
                <c:pt idx="116">
                  <c:v>50.480000000000004</c:v>
                </c:pt>
                <c:pt idx="117">
                  <c:v>50.760000000000005</c:v>
                </c:pt>
                <c:pt idx="118">
                  <c:v>51.040000000000006</c:v>
                </c:pt>
                <c:pt idx="119">
                  <c:v>51.32</c:v>
                </c:pt>
                <c:pt idx="120">
                  <c:v>51.6</c:v>
                </c:pt>
                <c:pt idx="121">
                  <c:v>51.88</c:v>
                </c:pt>
                <c:pt idx="122">
                  <c:v>52.160000000000004</c:v>
                </c:pt>
                <c:pt idx="123">
                  <c:v>52.440000000000005</c:v>
                </c:pt>
                <c:pt idx="124">
                  <c:v>52.720000000000006</c:v>
                </c:pt>
                <c:pt idx="125">
                  <c:v>53</c:v>
                </c:pt>
                <c:pt idx="126">
                  <c:v>53.28</c:v>
                </c:pt>
                <c:pt idx="127">
                  <c:v>53.56</c:v>
                </c:pt>
                <c:pt idx="128">
                  <c:v>53.84</c:v>
                </c:pt>
                <c:pt idx="129">
                  <c:v>54.120000000000005</c:v>
                </c:pt>
                <c:pt idx="130">
                  <c:v>54.400000000000006</c:v>
                </c:pt>
                <c:pt idx="131">
                  <c:v>54.680000000000007</c:v>
                </c:pt>
                <c:pt idx="132">
                  <c:v>54.96</c:v>
                </c:pt>
                <c:pt idx="133">
                  <c:v>55.24</c:v>
                </c:pt>
                <c:pt idx="134">
                  <c:v>55.52</c:v>
                </c:pt>
                <c:pt idx="135">
                  <c:v>55.800000000000004</c:v>
                </c:pt>
                <c:pt idx="136">
                  <c:v>56.080000000000005</c:v>
                </c:pt>
                <c:pt idx="137">
                  <c:v>56.360000000000007</c:v>
                </c:pt>
                <c:pt idx="138">
                  <c:v>56.64</c:v>
                </c:pt>
                <c:pt idx="139">
                  <c:v>56.92</c:v>
                </c:pt>
                <c:pt idx="140">
                  <c:v>57.2</c:v>
                </c:pt>
                <c:pt idx="141">
                  <c:v>57.480000000000004</c:v>
                </c:pt>
                <c:pt idx="142">
                  <c:v>57.760000000000005</c:v>
                </c:pt>
                <c:pt idx="143">
                  <c:v>58.040000000000006</c:v>
                </c:pt>
                <c:pt idx="144">
                  <c:v>58.320000000000007</c:v>
                </c:pt>
                <c:pt idx="145">
                  <c:v>58.6</c:v>
                </c:pt>
                <c:pt idx="146">
                  <c:v>58.88</c:v>
                </c:pt>
                <c:pt idx="147">
                  <c:v>59.160000000000004</c:v>
                </c:pt>
                <c:pt idx="148">
                  <c:v>59.440000000000005</c:v>
                </c:pt>
                <c:pt idx="149">
                  <c:v>59.720000000000006</c:v>
                </c:pt>
                <c:pt idx="150">
                  <c:v>60.000000000000007</c:v>
                </c:pt>
              </c:numCache>
            </c:numRef>
          </c:xVal>
          <c:yVal>
            <c:numRef>
              <c:f>Eff_vs_VIN!$AI$7:$AI$157</c:f>
              <c:numCache>
                <c:formatCode>General</c:formatCode>
                <c:ptCount val="151"/>
                <c:pt idx="0">
                  <c:v>2.012852165291561</c:v>
                </c:pt>
                <c:pt idx="1">
                  <c:v>1.9726871881305414</c:v>
                </c:pt>
                <c:pt idx="2">
                  <c:v>1.934014775033541</c:v>
                </c:pt>
                <c:pt idx="3">
                  <c:v>1.8967558583951318</c:v>
                </c:pt>
                <c:pt idx="4">
                  <c:v>1.8608367174822993</c:v>
                </c:pt>
                <c:pt idx="5">
                  <c:v>1.8261885419603336</c:v>
                </c:pt>
                <c:pt idx="6">
                  <c:v>1.7927470369480654</c:v>
                </c:pt>
                <c:pt idx="7">
                  <c:v>1.7604520651106719</c:v>
                </c:pt>
                <c:pt idx="8">
                  <c:v>1.7292473218405289</c:v>
                </c:pt>
                <c:pt idx="9">
                  <c:v>1.6990800400468349</c:v>
                </c:pt>
                <c:pt idx="10">
                  <c:v>1.6699007214832517</c:v>
                </c:pt>
                <c:pt idx="11">
                  <c:v>1.6416628918985814</c:v>
                </c:pt>
                <c:pt idx="12">
                  <c:v>1.6143228776057965</c:v>
                </c:pt>
                <c:pt idx="13">
                  <c:v>1.5878396013360272</c:v>
                </c:pt>
                <c:pt idx="14">
                  <c:v>1.5621743954816112</c:v>
                </c:pt>
                <c:pt idx="15">
                  <c:v>1.5372908310407181</c:v>
                </c:pt>
                <c:pt idx="16">
                  <c:v>1.5131545607591774</c:v>
                </c:pt>
                <c:pt idx="17">
                  <c:v>1.4897331751263607</c:v>
                </c:pt>
                <c:pt idx="18">
                  <c:v>1.4669960700241278</c:v>
                </c:pt>
                <c:pt idx="19">
                  <c:v>1.4449143249534044</c:v>
                </c:pt>
                <c:pt idx="20">
                  <c:v>1.423460590874059</c:v>
                </c:pt>
                <c:pt idx="21">
                  <c:v>1.4026089867921279</c:v>
                </c:pt>
                <c:pt idx="22">
                  <c:v>1.3823350043158131</c:v>
                </c:pt>
                <c:pt idx="23">
                  <c:v>1.3626154194792464</c:v>
                </c:pt>
                <c:pt idx="24">
                  <c:v>1.3434282112021081</c:v>
                </c:pt>
                <c:pt idx="25">
                  <c:v>1.3247524858147304</c:v>
                </c:pt>
                <c:pt idx="26">
                  <c:v>1.3065684071332473</c:v>
                </c:pt>
                <c:pt idx="27">
                  <c:v>1.2888571316184345</c:v>
                </c:pt>
                <c:pt idx="28">
                  <c:v>1.2716007481958218</c:v>
                </c:pt>
                <c:pt idx="29">
                  <c:v>1.254782222353986</c:v>
                </c:pt>
                <c:pt idx="30">
                  <c:v>1.2383853441732569</c:v>
                </c:pt>
                <c:pt idx="31">
                  <c:v>1.2223946799687497</c:v>
                </c:pt>
                <c:pt idx="32">
                  <c:v>1.2067955272601729</c:v>
                </c:pt>
                <c:pt idx="33">
                  <c:v>1.1915738728064966</c:v>
                </c:pt>
                <c:pt idx="34">
                  <c:v>1.1767163534667222</c:v>
                </c:pt>
                <c:pt idx="35">
                  <c:v>1.162210219668856</c:v>
                </c:pt>
                <c:pt idx="36">
                  <c:v>1.1480433012880487</c:v>
                </c:pt>
                <c:pt idx="37">
                  <c:v>1.1342039757519047</c:v>
                </c:pt>
                <c:pt idx="38">
                  <c:v>1.1206811382064117</c:v>
                </c:pt>
                <c:pt idx="39">
                  <c:v>1.1074641735899087</c:v>
                </c:pt>
                <c:pt idx="40">
                  <c:v>1.0945429304752163</c:v>
                </c:pt>
                <c:pt idx="41">
                  <c:v>1.0819076965515531</c:v>
                </c:pt>
                <c:pt idx="42">
                  <c:v>1.0695491756283402</c:v>
                </c:pt>
                <c:pt idx="43">
                  <c:v>1.057458466052521</c:v>
                </c:pt>
                <c:pt idx="44">
                  <c:v>1.0456270404396832</c:v>
                </c:pt>
                <c:pt idx="45">
                  <c:v>1.0340467266271869</c:v>
                </c:pt>
                <c:pt idx="46">
                  <c:v>1.0227096897646994</c:v>
                </c:pt>
                <c:pt idx="47">
                  <c:v>1.0116084154641316</c:v>
                </c:pt>
                <c:pt idx="48">
                  <c:v>1.0007356939369731</c:v>
                </c:pt>
                <c:pt idx="49">
                  <c:v>0.99008460505253393</c:v>
                </c:pt>
                <c:pt idx="50">
                  <c:v>0.97964850425563232</c:v>
                </c:pt>
                <c:pt idx="51">
                  <c:v>0.96942100928687736</c:v>
                </c:pt>
                <c:pt idx="52">
                  <c:v>0.95939598765293166</c:v>
                </c:pt>
                <c:pt idx="53">
                  <c:v>0.9495675447980132</c:v>
                </c:pt>
                <c:pt idx="54">
                  <c:v>0.93993001293145884</c:v>
                </c:pt>
                <c:pt idx="55">
                  <c:v>0.93047794046945409</c:v>
                </c:pt>
                <c:pt idx="56">
                  <c:v>0.9212060820520318</c:v>
                </c:pt>
                <c:pt idx="57">
                  <c:v>0.91210938909922601</c:v>
                </c:pt>
                <c:pt idx="58">
                  <c:v>0.90318300087281222</c:v>
                </c:pt>
                <c:pt idx="59">
                  <c:v>0.89442223601241844</c:v>
                </c:pt>
                <c:pt idx="60">
                  <c:v>0.88582258451696549</c:v>
                </c:pt>
                <c:pt idx="61">
                  <c:v>0.87737970014438749</c:v>
                </c:pt>
                <c:pt idx="62">
                  <c:v>0.86908939320444534</c:v>
                </c:pt>
                <c:pt idx="63">
                  <c:v>0.86094762372114242</c:v>
                </c:pt>
                <c:pt idx="64">
                  <c:v>0.85295049494283837</c:v>
                </c:pt>
                <c:pt idx="65">
                  <c:v>0.84509424717962123</c:v>
                </c:pt>
                <c:pt idx="66">
                  <c:v>0.8373752519488431</c:v>
                </c:pt>
                <c:pt idx="67">
                  <c:v>0.82979000641098943</c:v>
                </c:pt>
                <c:pt idx="68">
                  <c:v>0.82233512807920639</c:v>
                </c:pt>
                <c:pt idx="69">
                  <c:v>0.81500734978689404</c:v>
                </c:pt>
                <c:pt idx="70">
                  <c:v>0.80780351489877411</c:v>
                </c:pt>
                <c:pt idx="71">
                  <c:v>0.80072057275176856</c:v>
                </c:pt>
                <c:pt idx="72">
                  <c:v>0.79375557431288901</c:v>
                </c:pt>
                <c:pt idx="73">
                  <c:v>0.78690566804214679</c:v>
                </c:pt>
                <c:pt idx="74">
                  <c:v>0.78016809594922987</c:v>
                </c:pt>
                <c:pt idx="75">
                  <c:v>0.77354018983339845</c:v>
                </c:pt>
                <c:pt idx="76">
                  <c:v>0.76701936769669521</c:v>
                </c:pt>
                <c:pt idx="77">
                  <c:v>0.76060313032116655</c:v>
                </c:pt>
                <c:pt idx="78">
                  <c:v>0.75428905800135815</c:v>
                </c:pt>
                <c:pt idx="79">
                  <c:v>0.74807480742387389</c:v>
                </c:pt>
                <c:pt idx="80">
                  <c:v>0.74195810868627432</c:v>
                </c:pt>
                <c:pt idx="81">
                  <c:v>0.73593676244804507</c:v>
                </c:pt>
                <c:pt idx="82">
                  <c:v>0.73000863720680353</c:v>
                </c:pt>
                <c:pt idx="83">
                  <c:v>0.72417166669330046</c:v>
                </c:pt>
                <c:pt idx="84">
                  <c:v>0.71842384737915232</c:v>
                </c:pt>
                <c:pt idx="85">
                  <c:v>0.71276323609158843</c:v>
                </c:pt>
                <c:pt idx="86">
                  <c:v>0.70718794772982319</c:v>
                </c:pt>
                <c:pt idx="87">
                  <c:v>0.70169615307797384</c:v>
                </c:pt>
                <c:pt idx="88">
                  <c:v>0.69628607670972076</c:v>
                </c:pt>
                <c:pt idx="89">
                  <c:v>0.69095599498019233</c:v>
                </c:pt>
                <c:pt idx="90">
                  <c:v>0.68570423410079173</c:v>
                </c:pt>
                <c:pt idx="91">
                  <c:v>0.6805291682929332</c:v>
                </c:pt>
                <c:pt idx="92">
                  <c:v>0.6754292180168644</c:v>
                </c:pt>
                <c:pt idx="93">
                  <c:v>0.67040284827197572</c:v>
                </c:pt>
                <c:pt idx="94">
                  <c:v>0.66544856696517496</c:v>
                </c:pt>
                <c:pt idx="95">
                  <c:v>0.6605649233441071</c:v>
                </c:pt>
                <c:pt idx="96">
                  <c:v>0.65575050649215616</c:v>
                </c:pt>
                <c:pt idx="97">
                  <c:v>0.65100394388234262</c:v>
                </c:pt>
                <c:pt idx="98">
                  <c:v>0.64632389998737239</c:v>
                </c:pt>
                <c:pt idx="99">
                  <c:v>0.64170907494324192</c:v>
                </c:pt>
                <c:pt idx="100">
                  <c:v>0.63715820326394135</c:v>
                </c:pt>
                <c:pt idx="101">
                  <c:v>0.63267005260491871</c:v>
                </c:pt>
                <c:pt idx="102">
                  <c:v>0.62824342257309762</c:v>
                </c:pt>
                <c:pt idx="103">
                  <c:v>0.62387714358134483</c:v>
                </c:pt>
                <c:pt idx="104">
                  <c:v>0.61957007574539813</c:v>
                </c:pt>
                <c:pt idx="105">
                  <c:v>0.61532110782136318</c:v>
                </c:pt>
                <c:pt idx="106">
                  <c:v>0.6111291561819816</c:v>
                </c:pt>
                <c:pt idx="107">
                  <c:v>0.60699316382996626</c:v>
                </c:pt>
                <c:pt idx="108">
                  <c:v>0.60291209944677981</c:v>
                </c:pt>
                <c:pt idx="109">
                  <c:v>0.59888495647531814</c:v>
                </c:pt>
                <c:pt idx="110">
                  <c:v>0.59491075223502998</c:v>
                </c:pt>
                <c:pt idx="111">
                  <c:v>0.59098852706808203</c:v>
                </c:pt>
                <c:pt idx="112">
                  <c:v>0.58711734351524059</c:v>
                </c:pt>
                <c:pt idx="113">
                  <c:v>0.58329628552020985</c:v>
                </c:pt>
                <c:pt idx="114">
                  <c:v>0.57952445766122296</c:v>
                </c:pt>
                <c:pt idx="115">
                  <c:v>0.57580098440874306</c:v>
                </c:pt>
                <c:pt idx="116">
                  <c:v>0.57212500940818589</c:v>
                </c:pt>
                <c:pt idx="117">
                  <c:v>0.56849569478662076</c:v>
                </c:pt>
                <c:pt idx="118">
                  <c:v>0.56491222048246548</c:v>
                </c:pt>
                <c:pt idx="119">
                  <c:v>0.56137378359722934</c:v>
                </c:pt>
                <c:pt idx="120">
                  <c:v>0.55787959776840157</c:v>
                </c:pt>
                <c:pt idx="121">
                  <c:v>0.55442889256263561</c:v>
                </c:pt>
                <c:pt idx="122">
                  <c:v>0.55102091288839661</c:v>
                </c:pt>
                <c:pt idx="123">
                  <c:v>0.54765491842730718</c:v>
                </c:pt>
                <c:pt idx="124">
                  <c:v>0.54433018308342995</c:v>
                </c:pt>
                <c:pt idx="125">
                  <c:v>0.54104599444978607</c:v>
                </c:pt>
                <c:pt idx="126">
                  <c:v>0.53780165329142238</c:v>
                </c:pt>
                <c:pt idx="127">
                  <c:v>0.53459647304438074</c:v>
                </c:pt>
                <c:pt idx="128">
                  <c:v>0.53142977932994717</c:v>
                </c:pt>
                <c:pt idx="129">
                  <c:v>0.52830090948358777</c:v>
                </c:pt>
                <c:pt idx="130">
                  <c:v>0.52520921209800242</c:v>
                </c:pt>
                <c:pt idx="131">
                  <c:v>0.52215404657975617</c:v>
                </c:pt>
                <c:pt idx="132">
                  <c:v>0.51913478271896696</c:v>
                </c:pt>
                <c:pt idx="133">
                  <c:v>0.51615080027155247</c:v>
                </c:pt>
                <c:pt idx="134">
                  <c:v>0.51320148855356562</c:v>
                </c:pt>
                <c:pt idx="135">
                  <c:v>0.51028624604715589</c:v>
                </c:pt>
                <c:pt idx="136">
                  <c:v>0.50740448001772798</c:v>
                </c:pt>
                <c:pt idx="137">
                  <c:v>0.50455560614187744</c:v>
                </c:pt>
                <c:pt idx="138">
                  <c:v>0.50173904814570491</c:v>
                </c:pt>
                <c:pt idx="139">
                  <c:v>0.49895423745312306</c:v>
                </c:pt>
                <c:pt idx="140">
                  <c:v>0.49620061284379635</c:v>
                </c:pt>
                <c:pt idx="141">
                  <c:v>0.49347762012035412</c:v>
                </c:pt>
                <c:pt idx="142">
                  <c:v>0.49078471178454491</c:v>
                </c:pt>
                <c:pt idx="143">
                  <c:v>0.48812134672200863</c:v>
                </c:pt>
                <c:pt idx="144">
                  <c:v>0.48548698989535433</c:v>
                </c:pt>
                <c:pt idx="145">
                  <c:v>0.48288111204524808</c:v>
                </c:pt>
                <c:pt idx="146">
                  <c:v>0.48030318939922523</c:v>
                </c:pt>
                <c:pt idx="147">
                  <c:v>0.47775270338795411</c:v>
                </c:pt>
                <c:pt idx="148">
                  <c:v>0.47522914036868585</c:v>
                </c:pt>
                <c:pt idx="149">
                  <c:v>0.47273199135564192</c:v>
                </c:pt>
                <c:pt idx="150">
                  <c:v>0</c:v>
                </c:pt>
              </c:numCache>
            </c:numRef>
          </c:yVal>
          <c:smooth val="1"/>
          <c:extLst>
            <c:ext xmlns:c16="http://schemas.microsoft.com/office/drawing/2014/chart" uri="{C3380CC4-5D6E-409C-BE32-E72D297353CC}">
              <c16:uniqueId val="{00000001-0B1C-42A1-BAB5-10FCC4361A6B}"/>
            </c:ext>
          </c:extLst>
        </c:ser>
        <c:ser>
          <c:idx val="2"/>
          <c:order val="2"/>
          <c:tx>
            <c:v>HS MOSFET</c:v>
          </c:tx>
          <c:spPr>
            <a:ln>
              <a:solidFill>
                <a:schemeClr val="bg2">
                  <a:lumMod val="50000"/>
                </a:schemeClr>
              </a:solidFill>
              <a:prstDash val="sysDash"/>
            </a:ln>
          </c:spPr>
          <c:marker>
            <c:symbol val="none"/>
          </c:marker>
          <c:xVal>
            <c:numRef>
              <c:f>Eff_vs_VIN!$T$7:$T$157</c:f>
              <c:numCache>
                <c:formatCode>General</c:formatCode>
                <c:ptCount val="151"/>
                <c:pt idx="0">
                  <c:v>18</c:v>
                </c:pt>
                <c:pt idx="1">
                  <c:v>18.28</c:v>
                </c:pt>
                <c:pt idx="2">
                  <c:v>18.559999999999999</c:v>
                </c:pt>
                <c:pt idx="3">
                  <c:v>18.84</c:v>
                </c:pt>
                <c:pt idx="4">
                  <c:v>19.12</c:v>
                </c:pt>
                <c:pt idx="5">
                  <c:v>19.399999999999999</c:v>
                </c:pt>
                <c:pt idx="6">
                  <c:v>19.68</c:v>
                </c:pt>
                <c:pt idx="7">
                  <c:v>19.96</c:v>
                </c:pt>
                <c:pt idx="8">
                  <c:v>20.240000000000002</c:v>
                </c:pt>
                <c:pt idx="9">
                  <c:v>20.52</c:v>
                </c:pt>
                <c:pt idx="10">
                  <c:v>20.8</c:v>
                </c:pt>
                <c:pt idx="11">
                  <c:v>21.08</c:v>
                </c:pt>
                <c:pt idx="12">
                  <c:v>21.36</c:v>
                </c:pt>
                <c:pt idx="13">
                  <c:v>21.64</c:v>
                </c:pt>
                <c:pt idx="14">
                  <c:v>21.92</c:v>
                </c:pt>
                <c:pt idx="15">
                  <c:v>22.2</c:v>
                </c:pt>
                <c:pt idx="16">
                  <c:v>22.48</c:v>
                </c:pt>
                <c:pt idx="17">
                  <c:v>22.76</c:v>
                </c:pt>
                <c:pt idx="18">
                  <c:v>23.04</c:v>
                </c:pt>
                <c:pt idx="19">
                  <c:v>23.32</c:v>
                </c:pt>
                <c:pt idx="20">
                  <c:v>23.6</c:v>
                </c:pt>
                <c:pt idx="21">
                  <c:v>23.880000000000003</c:v>
                </c:pt>
                <c:pt idx="22">
                  <c:v>24.16</c:v>
                </c:pt>
                <c:pt idx="23">
                  <c:v>24.44</c:v>
                </c:pt>
                <c:pt idx="24">
                  <c:v>24.72</c:v>
                </c:pt>
                <c:pt idx="25">
                  <c:v>25</c:v>
                </c:pt>
                <c:pt idx="26">
                  <c:v>25.28</c:v>
                </c:pt>
                <c:pt idx="27">
                  <c:v>25.560000000000002</c:v>
                </c:pt>
                <c:pt idx="28">
                  <c:v>25.84</c:v>
                </c:pt>
                <c:pt idx="29">
                  <c:v>26.12</c:v>
                </c:pt>
                <c:pt idx="30">
                  <c:v>26.4</c:v>
                </c:pt>
                <c:pt idx="31">
                  <c:v>26.68</c:v>
                </c:pt>
                <c:pt idx="32">
                  <c:v>26.96</c:v>
                </c:pt>
                <c:pt idx="33">
                  <c:v>27.240000000000002</c:v>
                </c:pt>
                <c:pt idx="34">
                  <c:v>27.520000000000003</c:v>
                </c:pt>
                <c:pt idx="35">
                  <c:v>27.8</c:v>
                </c:pt>
                <c:pt idx="36">
                  <c:v>28.080000000000002</c:v>
                </c:pt>
                <c:pt idx="37">
                  <c:v>28.36</c:v>
                </c:pt>
                <c:pt idx="38">
                  <c:v>28.64</c:v>
                </c:pt>
                <c:pt idx="39">
                  <c:v>28.92</c:v>
                </c:pt>
                <c:pt idx="40">
                  <c:v>29.200000000000003</c:v>
                </c:pt>
                <c:pt idx="41">
                  <c:v>29.48</c:v>
                </c:pt>
                <c:pt idx="42">
                  <c:v>29.76</c:v>
                </c:pt>
                <c:pt idx="43">
                  <c:v>30.04</c:v>
                </c:pt>
                <c:pt idx="44">
                  <c:v>30.32</c:v>
                </c:pt>
                <c:pt idx="45">
                  <c:v>30.6</c:v>
                </c:pt>
                <c:pt idx="46">
                  <c:v>30.880000000000003</c:v>
                </c:pt>
                <c:pt idx="47">
                  <c:v>31.160000000000004</c:v>
                </c:pt>
                <c:pt idx="48">
                  <c:v>31.44</c:v>
                </c:pt>
                <c:pt idx="49">
                  <c:v>31.72</c:v>
                </c:pt>
                <c:pt idx="50">
                  <c:v>32</c:v>
                </c:pt>
                <c:pt idx="51">
                  <c:v>32.28</c:v>
                </c:pt>
                <c:pt idx="52">
                  <c:v>32.56</c:v>
                </c:pt>
                <c:pt idx="53">
                  <c:v>32.840000000000003</c:v>
                </c:pt>
                <c:pt idx="54">
                  <c:v>33.120000000000005</c:v>
                </c:pt>
                <c:pt idx="55">
                  <c:v>33.400000000000006</c:v>
                </c:pt>
                <c:pt idx="56">
                  <c:v>33.68</c:v>
                </c:pt>
                <c:pt idx="57">
                  <c:v>33.96</c:v>
                </c:pt>
                <c:pt idx="58">
                  <c:v>34.24</c:v>
                </c:pt>
                <c:pt idx="59">
                  <c:v>34.520000000000003</c:v>
                </c:pt>
                <c:pt idx="60">
                  <c:v>34.799999999999997</c:v>
                </c:pt>
                <c:pt idx="61">
                  <c:v>35.08</c:v>
                </c:pt>
                <c:pt idx="62">
                  <c:v>35.36</c:v>
                </c:pt>
                <c:pt idx="63">
                  <c:v>35.64</c:v>
                </c:pt>
                <c:pt idx="64">
                  <c:v>35.92</c:v>
                </c:pt>
                <c:pt idx="65">
                  <c:v>36.200000000000003</c:v>
                </c:pt>
                <c:pt idx="66">
                  <c:v>36.480000000000004</c:v>
                </c:pt>
                <c:pt idx="67">
                  <c:v>36.760000000000005</c:v>
                </c:pt>
                <c:pt idx="68">
                  <c:v>37.040000000000006</c:v>
                </c:pt>
                <c:pt idx="69">
                  <c:v>37.32</c:v>
                </c:pt>
                <c:pt idx="70">
                  <c:v>37.6</c:v>
                </c:pt>
                <c:pt idx="71">
                  <c:v>37.880000000000003</c:v>
                </c:pt>
                <c:pt idx="72">
                  <c:v>38.160000000000004</c:v>
                </c:pt>
                <c:pt idx="73">
                  <c:v>38.44</c:v>
                </c:pt>
                <c:pt idx="74">
                  <c:v>38.72</c:v>
                </c:pt>
                <c:pt idx="75">
                  <c:v>39</c:v>
                </c:pt>
                <c:pt idx="76">
                  <c:v>39.28</c:v>
                </c:pt>
                <c:pt idx="77">
                  <c:v>39.56</c:v>
                </c:pt>
                <c:pt idx="78">
                  <c:v>39.840000000000003</c:v>
                </c:pt>
                <c:pt idx="79">
                  <c:v>40.120000000000005</c:v>
                </c:pt>
                <c:pt idx="80">
                  <c:v>40.400000000000006</c:v>
                </c:pt>
                <c:pt idx="81">
                  <c:v>40.680000000000007</c:v>
                </c:pt>
                <c:pt idx="82">
                  <c:v>40.96</c:v>
                </c:pt>
                <c:pt idx="83">
                  <c:v>41.24</c:v>
                </c:pt>
                <c:pt idx="84">
                  <c:v>41.52</c:v>
                </c:pt>
                <c:pt idx="85">
                  <c:v>41.8</c:v>
                </c:pt>
                <c:pt idx="86">
                  <c:v>42.08</c:v>
                </c:pt>
                <c:pt idx="87">
                  <c:v>42.36</c:v>
                </c:pt>
                <c:pt idx="88">
                  <c:v>42.64</c:v>
                </c:pt>
                <c:pt idx="89">
                  <c:v>42.92</c:v>
                </c:pt>
                <c:pt idx="90">
                  <c:v>43.2</c:v>
                </c:pt>
                <c:pt idx="91">
                  <c:v>43.480000000000004</c:v>
                </c:pt>
                <c:pt idx="92">
                  <c:v>43.760000000000005</c:v>
                </c:pt>
                <c:pt idx="93">
                  <c:v>44.040000000000006</c:v>
                </c:pt>
                <c:pt idx="94">
                  <c:v>44.320000000000007</c:v>
                </c:pt>
                <c:pt idx="95">
                  <c:v>44.6</c:v>
                </c:pt>
                <c:pt idx="96">
                  <c:v>44.88</c:v>
                </c:pt>
                <c:pt idx="97">
                  <c:v>45.160000000000004</c:v>
                </c:pt>
                <c:pt idx="98">
                  <c:v>45.44</c:v>
                </c:pt>
                <c:pt idx="99">
                  <c:v>45.72</c:v>
                </c:pt>
                <c:pt idx="100">
                  <c:v>46</c:v>
                </c:pt>
                <c:pt idx="101">
                  <c:v>46.28</c:v>
                </c:pt>
                <c:pt idx="102">
                  <c:v>46.56</c:v>
                </c:pt>
                <c:pt idx="103">
                  <c:v>46.84</c:v>
                </c:pt>
                <c:pt idx="104">
                  <c:v>47.120000000000005</c:v>
                </c:pt>
                <c:pt idx="105">
                  <c:v>47.400000000000006</c:v>
                </c:pt>
                <c:pt idx="106">
                  <c:v>47.680000000000007</c:v>
                </c:pt>
                <c:pt idx="107">
                  <c:v>47.960000000000008</c:v>
                </c:pt>
                <c:pt idx="108">
                  <c:v>48.24</c:v>
                </c:pt>
                <c:pt idx="109">
                  <c:v>48.52</c:v>
                </c:pt>
                <c:pt idx="110">
                  <c:v>48.800000000000004</c:v>
                </c:pt>
                <c:pt idx="111">
                  <c:v>49.08</c:v>
                </c:pt>
                <c:pt idx="112">
                  <c:v>49.36</c:v>
                </c:pt>
                <c:pt idx="113">
                  <c:v>49.64</c:v>
                </c:pt>
                <c:pt idx="114">
                  <c:v>49.92</c:v>
                </c:pt>
                <c:pt idx="115">
                  <c:v>50.2</c:v>
                </c:pt>
                <c:pt idx="116">
                  <c:v>50.480000000000004</c:v>
                </c:pt>
                <c:pt idx="117">
                  <c:v>50.760000000000005</c:v>
                </c:pt>
                <c:pt idx="118">
                  <c:v>51.040000000000006</c:v>
                </c:pt>
                <c:pt idx="119">
                  <c:v>51.32</c:v>
                </c:pt>
                <c:pt idx="120">
                  <c:v>51.6</c:v>
                </c:pt>
                <c:pt idx="121">
                  <c:v>51.88</c:v>
                </c:pt>
                <c:pt idx="122">
                  <c:v>52.160000000000004</c:v>
                </c:pt>
                <c:pt idx="123">
                  <c:v>52.440000000000005</c:v>
                </c:pt>
                <c:pt idx="124">
                  <c:v>52.720000000000006</c:v>
                </c:pt>
                <c:pt idx="125">
                  <c:v>53</c:v>
                </c:pt>
                <c:pt idx="126">
                  <c:v>53.28</c:v>
                </c:pt>
                <c:pt idx="127">
                  <c:v>53.56</c:v>
                </c:pt>
                <c:pt idx="128">
                  <c:v>53.84</c:v>
                </c:pt>
                <c:pt idx="129">
                  <c:v>54.120000000000005</c:v>
                </c:pt>
                <c:pt idx="130">
                  <c:v>54.400000000000006</c:v>
                </c:pt>
                <c:pt idx="131">
                  <c:v>54.680000000000007</c:v>
                </c:pt>
                <c:pt idx="132">
                  <c:v>54.96</c:v>
                </c:pt>
                <c:pt idx="133">
                  <c:v>55.24</c:v>
                </c:pt>
                <c:pt idx="134">
                  <c:v>55.52</c:v>
                </c:pt>
                <c:pt idx="135">
                  <c:v>55.800000000000004</c:v>
                </c:pt>
                <c:pt idx="136">
                  <c:v>56.080000000000005</c:v>
                </c:pt>
                <c:pt idx="137">
                  <c:v>56.360000000000007</c:v>
                </c:pt>
                <c:pt idx="138">
                  <c:v>56.64</c:v>
                </c:pt>
                <c:pt idx="139">
                  <c:v>56.92</c:v>
                </c:pt>
                <c:pt idx="140">
                  <c:v>57.2</c:v>
                </c:pt>
                <c:pt idx="141">
                  <c:v>57.480000000000004</c:v>
                </c:pt>
                <c:pt idx="142">
                  <c:v>57.760000000000005</c:v>
                </c:pt>
                <c:pt idx="143">
                  <c:v>58.040000000000006</c:v>
                </c:pt>
                <c:pt idx="144">
                  <c:v>58.320000000000007</c:v>
                </c:pt>
                <c:pt idx="145">
                  <c:v>58.6</c:v>
                </c:pt>
                <c:pt idx="146">
                  <c:v>58.88</c:v>
                </c:pt>
                <c:pt idx="147">
                  <c:v>59.160000000000004</c:v>
                </c:pt>
                <c:pt idx="148">
                  <c:v>59.440000000000005</c:v>
                </c:pt>
                <c:pt idx="149">
                  <c:v>59.720000000000006</c:v>
                </c:pt>
                <c:pt idx="150">
                  <c:v>60.000000000000007</c:v>
                </c:pt>
              </c:numCache>
            </c:numRef>
          </c:xVal>
          <c:yVal>
            <c:numRef>
              <c:f>Eff_vs_VIN!$AO$7:$AO$157</c:f>
              <c:numCache>
                <c:formatCode>General</c:formatCode>
                <c:ptCount val="151"/>
                <c:pt idx="0">
                  <c:v>0.70055652071005925</c:v>
                </c:pt>
                <c:pt idx="1">
                  <c:v>0.6949075416983771</c:v>
                </c:pt>
                <c:pt idx="2">
                  <c:v>0.68943434438500495</c:v>
                </c:pt>
                <c:pt idx="3">
                  <c:v>0.68412869151952171</c:v>
                </c:pt>
                <c:pt idx="4">
                  <c:v>0.67898282419661782</c:v>
                </c:pt>
                <c:pt idx="5">
                  <c:v>0.67398942731738787</c:v>
                </c:pt>
                <c:pt idx="6">
                  <c:v>0.66914159800307593</c:v>
                </c:pt>
                <c:pt idx="7">
                  <c:v>0.66443281667135112</c:v>
                </c:pt>
                <c:pt idx="8">
                  <c:v>0.65985692051727962</c:v>
                </c:pt>
                <c:pt idx="9">
                  <c:v>0.65540807916930621</c:v>
                </c:pt>
                <c:pt idx="10">
                  <c:v>0.6510807723152896</c:v>
                </c:pt>
                <c:pt idx="11">
                  <c:v>0.64686976911542171</c:v>
                </c:pt>
                <c:pt idx="12">
                  <c:v>0.64277010923806144</c:v>
                </c:pt>
                <c:pt idx="13">
                  <c:v>0.63877708537149525</c:v>
                </c:pt>
                <c:pt idx="14">
                  <c:v>0.63488622707964848</c:v>
                </c:pt>
                <c:pt idx="15">
                  <c:v>0.6310932858830961</c:v>
                </c:pt>
                <c:pt idx="16">
                  <c:v>0.62739422145853818</c:v>
                </c:pt>
                <c:pt idx="17">
                  <c:v>0.62378518886042322</c:v>
                </c:pt>
                <c:pt idx="18">
                  <c:v>0.6202625266777676</c:v>
                </c:pt>
                <c:pt idx="19">
                  <c:v>0.61682274604756504</c:v>
                </c:pt>
                <c:pt idx="20">
                  <c:v>0.61346252045365146</c:v>
                </c:pt>
                <c:pt idx="21">
                  <c:v>0.61017867624655253</c:v>
                </c:pt>
                <c:pt idx="22">
                  <c:v>0.60696818382582696</c:v>
                </c:pt>
                <c:pt idx="23">
                  <c:v>0.60382814943177276</c:v>
                </c:pt>
                <c:pt idx="24">
                  <c:v>0.60075580749818414</c:v>
                </c:pt>
                <c:pt idx="25">
                  <c:v>0.59774851352217118</c:v>
                </c:pt>
                <c:pt idx="26">
                  <c:v>0.59480373741095272</c:v>
                </c:pt>
                <c:pt idx="27">
                  <c:v>0.59191905726905003</c:v>
                </c:pt>
                <c:pt idx="28">
                  <c:v>0.5890921535924718</c:v>
                </c:pt>
                <c:pt idx="29">
                  <c:v>0.5863208038393557</c:v>
                </c:pt>
                <c:pt idx="30">
                  <c:v>0.58360287734911243</c:v>
                </c:pt>
                <c:pt idx="31">
                  <c:v>0.58093633058447414</c:v>
                </c:pt>
                <c:pt idx="32">
                  <c:v>0.5783192026729691</c:v>
                </c:pt>
                <c:pt idx="33">
                  <c:v>0.57574961122628088</c:v>
                </c:pt>
                <c:pt idx="34">
                  <c:v>0.57322574841769702</c:v>
                </c:pt>
                <c:pt idx="35">
                  <c:v>0.57074587729945481</c:v>
                </c:pt>
                <c:pt idx="36">
                  <c:v>0.56830832834323686</c:v>
                </c:pt>
                <c:pt idx="37">
                  <c:v>0.56591149618839509</c:v>
                </c:pt>
                <c:pt idx="38">
                  <c:v>0.56355383658368674</c:v>
                </c:pt>
                <c:pt idx="39">
                  <c:v>0.56123386350940763</c:v>
                </c:pt>
                <c:pt idx="40">
                  <c:v>0.55895014646781482</c:v>
                </c:pt>
                <c:pt idx="41">
                  <c:v>0.55670130793064743</c:v>
                </c:pt>
                <c:pt idx="42">
                  <c:v>0.55448602093340105</c:v>
                </c:pt>
                <c:pt idx="43">
                  <c:v>0.55230300680678068</c:v>
                </c:pt>
                <c:pt idx="44">
                  <c:v>0.55015103303646307</c:v>
                </c:pt>
                <c:pt idx="45">
                  <c:v>0.54802891124295161</c:v>
                </c:pt>
                <c:pt idx="46">
                  <c:v>0.54593549527389917</c:v>
                </c:pt>
                <c:pt idx="47">
                  <c:v>0.54386967940182684</c:v>
                </c:pt>
                <c:pt idx="48">
                  <c:v>0.54183039662066723</c:v>
                </c:pt>
                <c:pt idx="49">
                  <c:v>0.53981661703502459</c:v>
                </c:pt>
                <c:pt idx="50">
                  <c:v>0.53782734633647455</c:v>
                </c:pt>
                <c:pt idx="51">
                  <c:v>0.5358616243616191</c:v>
                </c:pt>
                <c:pt idx="52">
                  <c:v>0.53391852372697213</c:v>
                </c:pt>
                <c:pt idx="53">
                  <c:v>0.5319971485360937</c:v>
                </c:pt>
                <c:pt idx="54">
                  <c:v>0.53009663315469568</c:v>
                </c:pt>
                <c:pt idx="55">
                  <c:v>0.52821614104973014</c:v>
                </c:pt>
                <c:pt idx="56">
                  <c:v>0.52635486368873674</c:v>
                </c:pt>
                <c:pt idx="57">
                  <c:v>0.5245120194959727</c:v>
                </c:pt>
                <c:pt idx="58">
                  <c:v>0.52268685286207361</c:v>
                </c:pt>
                <c:pt idx="59">
                  <c:v>0.52087863320420469</c:v>
                </c:pt>
                <c:pt idx="60">
                  <c:v>0.51908665407386256</c:v>
                </c:pt>
                <c:pt idx="61">
                  <c:v>0.51731023230966011</c:v>
                </c:pt>
                <c:pt idx="62">
                  <c:v>0.51554870723260637</c:v>
                </c:pt>
                <c:pt idx="63">
                  <c:v>0.51380143988153881</c:v>
                </c:pt>
                <c:pt idx="64">
                  <c:v>0.51206781228652265</c:v>
                </c:pt>
                <c:pt idx="65">
                  <c:v>0.51034722677815714</c:v>
                </c:pt>
                <c:pt idx="66">
                  <c:v>0.50863910533086198</c:v>
                </c:pt>
                <c:pt idx="67">
                  <c:v>0.50694288893833117</c:v>
                </c:pt>
                <c:pt idx="68">
                  <c:v>0.50525803701945349</c:v>
                </c:pt>
                <c:pt idx="69">
                  <c:v>0.503584026853096</c:v>
                </c:pt>
                <c:pt idx="70">
                  <c:v>0.50192035304025129</c:v>
                </c:pt>
                <c:pt idx="71">
                  <c:v>0.50026652699212848</c:v>
                </c:pt>
                <c:pt idx="72">
                  <c:v>0.49862207644285583</c:v>
                </c:pt>
                <c:pt idx="73">
                  <c:v>0.49698654498554284</c:v>
                </c:pt>
                <c:pt idx="74">
                  <c:v>0.49535949163051585</c:v>
                </c:pt>
                <c:pt idx="75">
                  <c:v>0.49374049038461537</c:v>
                </c:pt>
                <c:pt idx="76">
                  <c:v>0.49212912985050328</c:v>
                </c:pt>
                <c:pt idx="77">
                  <c:v>0.49052501284498734</c:v>
                </c:pt>
                <c:pt idx="78">
                  <c:v>0.48892775603543037</c:v>
                </c:pt>
                <c:pt idx="79">
                  <c:v>0.48733698959335714</c:v>
                </c:pt>
                <c:pt idx="80">
                  <c:v>0.48575235686442753</c:v>
                </c:pt>
                <c:pt idx="81">
                  <c:v>0.48417351405398479</c:v>
                </c:pt>
                <c:pt idx="82">
                  <c:v>0.48260012992743673</c:v>
                </c:pt>
                <c:pt idx="83">
                  <c:v>0.48103188552476117</c:v>
                </c:pt>
                <c:pt idx="84">
                  <c:v>0.47946847388847336</c:v>
                </c:pt>
                <c:pt idx="85">
                  <c:v>0.47790959980441849</c:v>
                </c:pt>
                <c:pt idx="86">
                  <c:v>0.476354979554798</c:v>
                </c:pt>
                <c:pt idx="87">
                  <c:v>0.47480434068285882</c:v>
                </c:pt>
                <c:pt idx="88">
                  <c:v>0.47325742176871238</c:v>
                </c:pt>
                <c:pt idx="89">
                  <c:v>0.47171397221577327</c:v>
                </c:pt>
                <c:pt idx="90">
                  <c:v>0.47017375204733725</c:v>
                </c:pt>
                <c:pt idx="91">
                  <c:v>0.46863653171284048</c:v>
                </c:pt>
                <c:pt idx="92">
                  <c:v>0.4671020919033666</c:v>
                </c:pt>
                <c:pt idx="93">
                  <c:v>0.46557022337599041</c:v>
                </c:pt>
                <c:pt idx="94">
                  <c:v>0.46404072678656738</c:v>
                </c:pt>
                <c:pt idx="95">
                  <c:v>0.46251341253059686</c:v>
                </c:pt>
                <c:pt idx="96">
                  <c:v>0.46098810059180773</c:v>
                </c:pt>
                <c:pt idx="97">
                  <c:v>0.45946462039813069</c:v>
                </c:pt>
                <c:pt idx="98">
                  <c:v>0.45794281068473847</c:v>
                </c:pt>
                <c:pt idx="99">
                  <c:v>0.45642251936385081</c:v>
                </c:pt>
                <c:pt idx="100">
                  <c:v>0.45490360340101704</c:v>
                </c:pt>
                <c:pt idx="101">
                  <c:v>0.45338592869760019</c:v>
                </c:pt>
                <c:pt idx="102">
                  <c:v>0.45186936997920357</c:v>
                </c:pt>
                <c:pt idx="103">
                  <c:v>0.45035381068978908</c:v>
                </c:pt>
                <c:pt idx="104">
                  <c:v>0.44883914289125204</c:v>
                </c:pt>
                <c:pt idx="105">
                  <c:v>0.44732526716822707</c:v>
                </c:pt>
                <c:pt idx="106">
                  <c:v>0.44581209253790777</c:v>
                </c:pt>
                <c:pt idx="107">
                  <c:v>0.44429953636467812</c:v>
                </c:pt>
                <c:pt idx="108">
                  <c:v>0.44278752427935864</c:v>
                </c:pt>
                <c:pt idx="109">
                  <c:v>0.44127599010288066</c:v>
                </c:pt>
                <c:pt idx="110">
                  <c:v>0.43976487577421142</c:v>
                </c:pt>
                <c:pt idx="111">
                  <c:v>0.43825413128236057</c:v>
                </c:pt>
                <c:pt idx="112">
                  <c:v>0.43674371460230454</c:v>
                </c:pt>
                <c:pt idx="113">
                  <c:v>0.43523359163467634</c:v>
                </c:pt>
                <c:pt idx="114">
                  <c:v>0.43372373614907078</c:v>
                </c:pt>
                <c:pt idx="115">
                  <c:v>0.43221412973082501</c:v>
                </c:pt>
                <c:pt idx="116">
                  <c:v>0.43070476173113936</c:v>
                </c:pt>
                <c:pt idx="117">
                  <c:v>0.42919562922040994</c:v>
                </c:pt>
                <c:pt idx="118">
                  <c:v>0.42768673694464804</c:v>
                </c:pt>
                <c:pt idx="119">
                  <c:v>0.42617809728487077</c:v>
                </c:pt>
                <c:pt idx="120">
                  <c:v>0.42466973021934773</c:v>
                </c:pt>
                <c:pt idx="121">
                  <c:v>0.42316166328859828</c:v>
                </c:pt>
                <c:pt idx="122">
                  <c:v>0.42165393156303316</c:v>
                </c:pt>
                <c:pt idx="123">
                  <c:v>0.42014657761314445</c:v>
                </c:pt>
                <c:pt idx="124">
                  <c:v>0.41863965148214749</c:v>
                </c:pt>
                <c:pt idx="125">
                  <c:v>0.41713321066098386</c:v>
                </c:pt>
                <c:pt idx="126">
                  <c:v>0.41562732006559999</c:v>
                </c:pt>
                <c:pt idx="127">
                  <c:v>0.41412205201641694</c:v>
                </c:pt>
                <c:pt idx="128">
                  <c:v>0.41261748621991207</c:v>
                </c:pt>
                <c:pt idx="129">
                  <c:v>0.41111370975223543</c:v>
                </c:pt>
                <c:pt idx="130">
                  <c:v>0.40961081704478908</c:v>
                </c:pt>
                <c:pt idx="131">
                  <c:v>0.40810890987169707</c:v>
                </c:pt>
                <c:pt idx="132">
                  <c:v>0.40660809733910019</c:v>
                </c:pt>
                <c:pt idx="133">
                  <c:v>0.40510849587621001</c:v>
                </c:pt>
                <c:pt idx="134">
                  <c:v>0.40361022922806011</c:v>
                </c:pt>
                <c:pt idx="135">
                  <c:v>0.40211342844989506</c:v>
                </c:pt>
                <c:pt idx="136">
                  <c:v>0.40061823190313989</c:v>
                </c:pt>
                <c:pt idx="137">
                  <c:v>0.39912478525289541</c:v>
                </c:pt>
                <c:pt idx="138">
                  <c:v>0.39763324146690565</c:v>
                </c:pt>
                <c:pt idx="139">
                  <c:v>0.39614376081594743</c:v>
                </c:pt>
                <c:pt idx="140">
                  <c:v>0.39465651087559356</c:v>
                </c:pt>
                <c:pt idx="141">
                  <c:v>0.39317166652930235</c:v>
                </c:pt>
                <c:pt idx="142">
                  <c:v>0.39168940997278839</c:v>
                </c:pt>
                <c:pt idx="143">
                  <c:v>0.39020993071963161</c:v>
                </c:pt>
                <c:pt idx="144">
                  <c:v>0.38873342560808277</c:v>
                </c:pt>
                <c:pt idx="145">
                  <c:v>0.38726009880902579</c:v>
                </c:pt>
                <c:pt idx="146">
                  <c:v>0.38579016183505765</c:v>
                </c:pt>
                <c:pt idx="147">
                  <c:v>0.38432383355064992</c:v>
                </c:pt>
                <c:pt idx="148">
                  <c:v>0.38286134018335494</c:v>
                </c:pt>
                <c:pt idx="149">
                  <c:v>0.38140291533602338</c:v>
                </c:pt>
                <c:pt idx="150">
                  <c:v>0.37994879999999998</c:v>
                </c:pt>
              </c:numCache>
            </c:numRef>
          </c:yVal>
          <c:smooth val="1"/>
          <c:extLst>
            <c:ext xmlns:c16="http://schemas.microsoft.com/office/drawing/2014/chart" uri="{C3380CC4-5D6E-409C-BE32-E72D297353CC}">
              <c16:uniqueId val="{00000002-0B1C-42A1-BAB5-10FCC4361A6B}"/>
            </c:ext>
          </c:extLst>
        </c:ser>
        <c:ser>
          <c:idx val="3"/>
          <c:order val="3"/>
          <c:tx>
            <c:v>RCS</c:v>
          </c:tx>
          <c:spPr>
            <a:ln>
              <a:solidFill>
                <a:schemeClr val="accent5">
                  <a:lumMod val="75000"/>
                </a:schemeClr>
              </a:solidFill>
              <a:prstDash val="lgDashDotDot"/>
            </a:ln>
          </c:spPr>
          <c:marker>
            <c:symbol val="none"/>
          </c:marker>
          <c:xVal>
            <c:numRef>
              <c:f>Eff_vs_VIN!$T$7:$T$157</c:f>
              <c:numCache>
                <c:formatCode>General</c:formatCode>
                <c:ptCount val="151"/>
                <c:pt idx="0">
                  <c:v>18</c:v>
                </c:pt>
                <c:pt idx="1">
                  <c:v>18.28</c:v>
                </c:pt>
                <c:pt idx="2">
                  <c:v>18.559999999999999</c:v>
                </c:pt>
                <c:pt idx="3">
                  <c:v>18.84</c:v>
                </c:pt>
                <c:pt idx="4">
                  <c:v>19.12</c:v>
                </c:pt>
                <c:pt idx="5">
                  <c:v>19.399999999999999</c:v>
                </c:pt>
                <c:pt idx="6">
                  <c:v>19.68</c:v>
                </c:pt>
                <c:pt idx="7">
                  <c:v>19.96</c:v>
                </c:pt>
                <c:pt idx="8">
                  <c:v>20.240000000000002</c:v>
                </c:pt>
                <c:pt idx="9">
                  <c:v>20.52</c:v>
                </c:pt>
                <c:pt idx="10">
                  <c:v>20.8</c:v>
                </c:pt>
                <c:pt idx="11">
                  <c:v>21.08</c:v>
                </c:pt>
                <c:pt idx="12">
                  <c:v>21.36</c:v>
                </c:pt>
                <c:pt idx="13">
                  <c:v>21.64</c:v>
                </c:pt>
                <c:pt idx="14">
                  <c:v>21.92</c:v>
                </c:pt>
                <c:pt idx="15">
                  <c:v>22.2</c:v>
                </c:pt>
                <c:pt idx="16">
                  <c:v>22.48</c:v>
                </c:pt>
                <c:pt idx="17">
                  <c:v>22.76</c:v>
                </c:pt>
                <c:pt idx="18">
                  <c:v>23.04</c:v>
                </c:pt>
                <c:pt idx="19">
                  <c:v>23.32</c:v>
                </c:pt>
                <c:pt idx="20">
                  <c:v>23.6</c:v>
                </c:pt>
                <c:pt idx="21">
                  <c:v>23.880000000000003</c:v>
                </c:pt>
                <c:pt idx="22">
                  <c:v>24.16</c:v>
                </c:pt>
                <c:pt idx="23">
                  <c:v>24.44</c:v>
                </c:pt>
                <c:pt idx="24">
                  <c:v>24.72</c:v>
                </c:pt>
                <c:pt idx="25">
                  <c:v>25</c:v>
                </c:pt>
                <c:pt idx="26">
                  <c:v>25.28</c:v>
                </c:pt>
                <c:pt idx="27">
                  <c:v>25.560000000000002</c:v>
                </c:pt>
                <c:pt idx="28">
                  <c:v>25.84</c:v>
                </c:pt>
                <c:pt idx="29">
                  <c:v>26.12</c:v>
                </c:pt>
                <c:pt idx="30">
                  <c:v>26.4</c:v>
                </c:pt>
                <c:pt idx="31">
                  <c:v>26.68</c:v>
                </c:pt>
                <c:pt idx="32">
                  <c:v>26.96</c:v>
                </c:pt>
                <c:pt idx="33">
                  <c:v>27.240000000000002</c:v>
                </c:pt>
                <c:pt idx="34">
                  <c:v>27.520000000000003</c:v>
                </c:pt>
                <c:pt idx="35">
                  <c:v>27.8</c:v>
                </c:pt>
                <c:pt idx="36">
                  <c:v>28.080000000000002</c:v>
                </c:pt>
                <c:pt idx="37">
                  <c:v>28.36</c:v>
                </c:pt>
                <c:pt idx="38">
                  <c:v>28.64</c:v>
                </c:pt>
                <c:pt idx="39">
                  <c:v>28.92</c:v>
                </c:pt>
                <c:pt idx="40">
                  <c:v>29.200000000000003</c:v>
                </c:pt>
                <c:pt idx="41">
                  <c:v>29.48</c:v>
                </c:pt>
                <c:pt idx="42">
                  <c:v>29.76</c:v>
                </c:pt>
                <c:pt idx="43">
                  <c:v>30.04</c:v>
                </c:pt>
                <c:pt idx="44">
                  <c:v>30.32</c:v>
                </c:pt>
                <c:pt idx="45">
                  <c:v>30.6</c:v>
                </c:pt>
                <c:pt idx="46">
                  <c:v>30.880000000000003</c:v>
                </c:pt>
                <c:pt idx="47">
                  <c:v>31.160000000000004</c:v>
                </c:pt>
                <c:pt idx="48">
                  <c:v>31.44</c:v>
                </c:pt>
                <c:pt idx="49">
                  <c:v>31.72</c:v>
                </c:pt>
                <c:pt idx="50">
                  <c:v>32</c:v>
                </c:pt>
                <c:pt idx="51">
                  <c:v>32.28</c:v>
                </c:pt>
                <c:pt idx="52">
                  <c:v>32.56</c:v>
                </c:pt>
                <c:pt idx="53">
                  <c:v>32.840000000000003</c:v>
                </c:pt>
                <c:pt idx="54">
                  <c:v>33.120000000000005</c:v>
                </c:pt>
                <c:pt idx="55">
                  <c:v>33.400000000000006</c:v>
                </c:pt>
                <c:pt idx="56">
                  <c:v>33.68</c:v>
                </c:pt>
                <c:pt idx="57">
                  <c:v>33.96</c:v>
                </c:pt>
                <c:pt idx="58">
                  <c:v>34.24</c:v>
                </c:pt>
                <c:pt idx="59">
                  <c:v>34.520000000000003</c:v>
                </c:pt>
                <c:pt idx="60">
                  <c:v>34.799999999999997</c:v>
                </c:pt>
                <c:pt idx="61">
                  <c:v>35.08</c:v>
                </c:pt>
                <c:pt idx="62">
                  <c:v>35.36</c:v>
                </c:pt>
                <c:pt idx="63">
                  <c:v>35.64</c:v>
                </c:pt>
                <c:pt idx="64">
                  <c:v>35.92</c:v>
                </c:pt>
                <c:pt idx="65">
                  <c:v>36.200000000000003</c:v>
                </c:pt>
                <c:pt idx="66">
                  <c:v>36.480000000000004</c:v>
                </c:pt>
                <c:pt idx="67">
                  <c:v>36.760000000000005</c:v>
                </c:pt>
                <c:pt idx="68">
                  <c:v>37.040000000000006</c:v>
                </c:pt>
                <c:pt idx="69">
                  <c:v>37.32</c:v>
                </c:pt>
                <c:pt idx="70">
                  <c:v>37.6</c:v>
                </c:pt>
                <c:pt idx="71">
                  <c:v>37.880000000000003</c:v>
                </c:pt>
                <c:pt idx="72">
                  <c:v>38.160000000000004</c:v>
                </c:pt>
                <c:pt idx="73">
                  <c:v>38.44</c:v>
                </c:pt>
                <c:pt idx="74">
                  <c:v>38.72</c:v>
                </c:pt>
                <c:pt idx="75">
                  <c:v>39</c:v>
                </c:pt>
                <c:pt idx="76">
                  <c:v>39.28</c:v>
                </c:pt>
                <c:pt idx="77">
                  <c:v>39.56</c:v>
                </c:pt>
                <c:pt idx="78">
                  <c:v>39.840000000000003</c:v>
                </c:pt>
                <c:pt idx="79">
                  <c:v>40.120000000000005</c:v>
                </c:pt>
                <c:pt idx="80">
                  <c:v>40.400000000000006</c:v>
                </c:pt>
                <c:pt idx="81">
                  <c:v>40.680000000000007</c:v>
                </c:pt>
                <c:pt idx="82">
                  <c:v>40.96</c:v>
                </c:pt>
                <c:pt idx="83">
                  <c:v>41.24</c:v>
                </c:pt>
                <c:pt idx="84">
                  <c:v>41.52</c:v>
                </c:pt>
                <c:pt idx="85">
                  <c:v>41.8</c:v>
                </c:pt>
                <c:pt idx="86">
                  <c:v>42.08</c:v>
                </c:pt>
                <c:pt idx="87">
                  <c:v>42.36</c:v>
                </c:pt>
                <c:pt idx="88">
                  <c:v>42.64</c:v>
                </c:pt>
                <c:pt idx="89">
                  <c:v>42.92</c:v>
                </c:pt>
                <c:pt idx="90">
                  <c:v>43.2</c:v>
                </c:pt>
                <c:pt idx="91">
                  <c:v>43.480000000000004</c:v>
                </c:pt>
                <c:pt idx="92">
                  <c:v>43.760000000000005</c:v>
                </c:pt>
                <c:pt idx="93">
                  <c:v>44.040000000000006</c:v>
                </c:pt>
                <c:pt idx="94">
                  <c:v>44.320000000000007</c:v>
                </c:pt>
                <c:pt idx="95">
                  <c:v>44.6</c:v>
                </c:pt>
                <c:pt idx="96">
                  <c:v>44.88</c:v>
                </c:pt>
                <c:pt idx="97">
                  <c:v>45.160000000000004</c:v>
                </c:pt>
                <c:pt idx="98">
                  <c:v>45.44</c:v>
                </c:pt>
                <c:pt idx="99">
                  <c:v>45.72</c:v>
                </c:pt>
                <c:pt idx="100">
                  <c:v>46</c:v>
                </c:pt>
                <c:pt idx="101">
                  <c:v>46.28</c:v>
                </c:pt>
                <c:pt idx="102">
                  <c:v>46.56</c:v>
                </c:pt>
                <c:pt idx="103">
                  <c:v>46.84</c:v>
                </c:pt>
                <c:pt idx="104">
                  <c:v>47.120000000000005</c:v>
                </c:pt>
                <c:pt idx="105">
                  <c:v>47.400000000000006</c:v>
                </c:pt>
                <c:pt idx="106">
                  <c:v>47.680000000000007</c:v>
                </c:pt>
                <c:pt idx="107">
                  <c:v>47.960000000000008</c:v>
                </c:pt>
                <c:pt idx="108">
                  <c:v>48.24</c:v>
                </c:pt>
                <c:pt idx="109">
                  <c:v>48.52</c:v>
                </c:pt>
                <c:pt idx="110">
                  <c:v>48.800000000000004</c:v>
                </c:pt>
                <c:pt idx="111">
                  <c:v>49.08</c:v>
                </c:pt>
                <c:pt idx="112">
                  <c:v>49.36</c:v>
                </c:pt>
                <c:pt idx="113">
                  <c:v>49.64</c:v>
                </c:pt>
                <c:pt idx="114">
                  <c:v>49.92</c:v>
                </c:pt>
                <c:pt idx="115">
                  <c:v>50.2</c:v>
                </c:pt>
                <c:pt idx="116">
                  <c:v>50.480000000000004</c:v>
                </c:pt>
                <c:pt idx="117">
                  <c:v>50.760000000000005</c:v>
                </c:pt>
                <c:pt idx="118">
                  <c:v>51.040000000000006</c:v>
                </c:pt>
                <c:pt idx="119">
                  <c:v>51.32</c:v>
                </c:pt>
                <c:pt idx="120">
                  <c:v>51.6</c:v>
                </c:pt>
                <c:pt idx="121">
                  <c:v>51.88</c:v>
                </c:pt>
                <c:pt idx="122">
                  <c:v>52.160000000000004</c:v>
                </c:pt>
                <c:pt idx="123">
                  <c:v>52.440000000000005</c:v>
                </c:pt>
                <c:pt idx="124">
                  <c:v>52.720000000000006</c:v>
                </c:pt>
                <c:pt idx="125">
                  <c:v>53</c:v>
                </c:pt>
                <c:pt idx="126">
                  <c:v>53.28</c:v>
                </c:pt>
                <c:pt idx="127">
                  <c:v>53.56</c:v>
                </c:pt>
                <c:pt idx="128">
                  <c:v>53.84</c:v>
                </c:pt>
                <c:pt idx="129">
                  <c:v>54.120000000000005</c:v>
                </c:pt>
                <c:pt idx="130">
                  <c:v>54.400000000000006</c:v>
                </c:pt>
                <c:pt idx="131">
                  <c:v>54.680000000000007</c:v>
                </c:pt>
                <c:pt idx="132">
                  <c:v>54.96</c:v>
                </c:pt>
                <c:pt idx="133">
                  <c:v>55.24</c:v>
                </c:pt>
                <c:pt idx="134">
                  <c:v>55.52</c:v>
                </c:pt>
                <c:pt idx="135">
                  <c:v>55.800000000000004</c:v>
                </c:pt>
                <c:pt idx="136">
                  <c:v>56.080000000000005</c:v>
                </c:pt>
                <c:pt idx="137">
                  <c:v>56.360000000000007</c:v>
                </c:pt>
                <c:pt idx="138">
                  <c:v>56.64</c:v>
                </c:pt>
                <c:pt idx="139">
                  <c:v>56.92</c:v>
                </c:pt>
                <c:pt idx="140">
                  <c:v>57.2</c:v>
                </c:pt>
                <c:pt idx="141">
                  <c:v>57.480000000000004</c:v>
                </c:pt>
                <c:pt idx="142">
                  <c:v>57.760000000000005</c:v>
                </c:pt>
                <c:pt idx="143">
                  <c:v>58.040000000000006</c:v>
                </c:pt>
                <c:pt idx="144">
                  <c:v>58.320000000000007</c:v>
                </c:pt>
                <c:pt idx="145">
                  <c:v>58.6</c:v>
                </c:pt>
                <c:pt idx="146">
                  <c:v>58.88</c:v>
                </c:pt>
                <c:pt idx="147">
                  <c:v>59.160000000000004</c:v>
                </c:pt>
                <c:pt idx="148">
                  <c:v>59.440000000000005</c:v>
                </c:pt>
                <c:pt idx="149">
                  <c:v>59.720000000000006</c:v>
                </c:pt>
                <c:pt idx="150">
                  <c:v>60.000000000000007</c:v>
                </c:pt>
              </c:numCache>
            </c:numRef>
          </c:xVal>
          <c:yVal>
            <c:numRef>
              <c:f>Eff_vs_VIN!$AP$7:$AP$157</c:f>
              <c:numCache>
                <c:formatCode>General</c:formatCode>
                <c:ptCount val="151"/>
                <c:pt idx="0">
                  <c:v>1.2723323602892833</c:v>
                </c:pt>
                <c:pt idx="1">
                  <c:v>1.2344057854070412</c:v>
                </c:pt>
                <c:pt idx="2">
                  <c:v>1.1981909531432393</c:v>
                </c:pt>
                <c:pt idx="3">
                  <c:v>1.1635864494529151</c:v>
                </c:pt>
                <c:pt idx="4">
                  <c:v>1.1304982231138718</c:v>
                </c:pt>
                <c:pt idx="5">
                  <c:v>1.0988389531163751</c:v>
                </c:pt>
                <c:pt idx="6">
                  <c:v>1.0685274786029311</c:v>
                </c:pt>
                <c:pt idx="7">
                  <c:v>1.0394882843884661</c:v>
                </c:pt>
                <c:pt idx="8">
                  <c:v>1.0116510359528756</c:v>
                </c:pt>
                <c:pt idx="9">
                  <c:v>0.98495015854284607</c:v>
                </c:pt>
                <c:pt idx="10">
                  <c:v>0.95932445566513247</c:v>
                </c:pt>
                <c:pt idx="11">
                  <c:v>0.9347167628136841</c:v>
                </c:pt>
                <c:pt idx="12">
                  <c:v>0.91107363276022402</c:v>
                </c:pt>
                <c:pt idx="13">
                  <c:v>0.88834504916252377</c:v>
                </c:pt>
                <c:pt idx="14">
                  <c:v>0.86648416561531683</c:v>
                </c:pt>
                <c:pt idx="15">
                  <c:v>0.84544706759306865</c:v>
                </c:pt>
                <c:pt idx="16">
                  <c:v>0.82519255501796829</c:v>
                </c:pt>
                <c:pt idx="17">
                  <c:v>0.8056819434358754</c:v>
                </c:pt>
                <c:pt idx="18">
                  <c:v>0.78687888200226153</c:v>
                </c:pt>
                <c:pt idx="19">
                  <c:v>0.76874918667327019</c:v>
                </c:pt>
                <c:pt idx="20">
                  <c:v>0.75126068716737415</c:v>
                </c:pt>
                <c:pt idx="21">
                  <c:v>0.73438308641357419</c:v>
                </c:pt>
                <c:pt idx="22">
                  <c:v>0.71808783133524401</c:v>
                </c:pt>
                <c:pt idx="23">
                  <c:v>0.70234799393669056</c:v>
                </c:pt>
                <c:pt idx="24">
                  <c:v>0.68713816176420794</c:v>
                </c:pt>
                <c:pt idx="25">
                  <c:v>0.67243433690642118</c:v>
                </c:pt>
                <c:pt idx="26">
                  <c:v>0.65821384278152117</c:v>
                </c:pt>
                <c:pt idx="27">
                  <c:v>0.64445523803274574</c:v>
                </c:pt>
                <c:pt idx="28">
                  <c:v>0.63113823691929005</c:v>
                </c:pt>
                <c:pt idx="29">
                  <c:v>0.61824363564863294</c:v>
                </c:pt>
                <c:pt idx="30">
                  <c:v>0.60575324414885812</c:v>
                </c:pt>
                <c:pt idx="31">
                  <c:v>0.59364982282666579</c:v>
                </c:pt>
                <c:pt idx="32">
                  <c:v>0.58191702389900313</c:v>
                </c:pt>
                <c:pt idx="33">
                  <c:v>0.5705393369241738</c:v>
                </c:pt>
                <c:pt idx="34">
                  <c:v>0.55950203819236455</c:v>
                </c:pt>
                <c:pt idx="35">
                  <c:v>0.54879114366619386</c:v>
                </c:pt>
                <c:pt idx="36">
                  <c:v>0.53839336518952141</c:v>
                </c:pt>
                <c:pt idx="37">
                  <c:v>0.52829606970766041</c:v>
                </c:pt>
                <c:pt idx="38">
                  <c:v>0.51848724126462764</c:v>
                </c:pt>
                <c:pt idx="39">
                  <c:v>0.50895544556338967</c:v>
                </c:pt>
                <c:pt idx="40">
                  <c:v>0.49968979689344062</c:v>
                </c:pt>
                <c:pt idx="41">
                  <c:v>0.49067992724669746</c:v>
                </c:pt>
                <c:pt idx="42">
                  <c:v>0.48191595745778226</c:v>
                </c:pt>
                <c:pt idx="43">
                  <c:v>0.47338847021845115</c:v>
                </c:pt>
                <c:pt idx="44">
                  <c:v>0.46508848482835163</c:v>
                </c:pt>
                <c:pt idx="45">
                  <c:v>0.45700743355559642</c:v>
                </c:pt>
                <c:pt idx="46">
                  <c:v>0.44913713949090972</c:v>
                </c:pt>
                <c:pt idx="47">
                  <c:v>0.44146979578846746</c:v>
                </c:pt>
                <c:pt idx="48">
                  <c:v>0.43399794619507631</c:v>
                </c:pt>
                <c:pt idx="49">
                  <c:v>0.42671446677711689</c:v>
                </c:pt>
                <c:pt idx="50">
                  <c:v>0.41961254876177945</c:v>
                </c:pt>
                <c:pt idx="51">
                  <c:v>0.4126856824156041</c:v>
                </c:pt>
                <c:pt idx="52">
                  <c:v>0.40592764188927466</c:v>
                </c:pt>
                <c:pt idx="53">
                  <c:v>0.39933247096304031</c:v>
                </c:pt>
                <c:pt idx="54">
                  <c:v>0.39289446963211505</c:v>
                </c:pt>
                <c:pt idx="55">
                  <c:v>0.38660818147595638</c:v>
                </c:pt>
                <c:pt idx="56">
                  <c:v>0.38046838175950931</c:v>
                </c:pt>
                <c:pt idx="57">
                  <c:v>0.37447006621833578</c:v>
                </c:pt>
                <c:pt idx="58">
                  <c:v>0.36860844048307301</c:v>
                </c:pt>
                <c:pt idx="59">
                  <c:v>0.36287891010190548</c:v>
                </c:pt>
                <c:pt idx="60">
                  <c:v>0.35727707112271251</c:v>
                </c:pt>
                <c:pt idx="61">
                  <c:v>0.35179870119929912</c:v>
                </c:pt>
                <c:pt idx="62">
                  <c:v>0.34643975118864251</c:v>
                </c:pt>
                <c:pt idx="63">
                  <c:v>0.34119633720841425</c:v>
                </c:pt>
                <c:pt idx="64">
                  <c:v>0.3360647331261899</c:v>
                </c:pt>
                <c:pt idx="65">
                  <c:v>0.33104136345373669</c:v>
                </c:pt>
                <c:pt idx="66">
                  <c:v>0.32612279662160248</c:v>
                </c:pt>
                <c:pt idx="67">
                  <c:v>0.32130573861092238</c:v>
                </c:pt>
                <c:pt idx="68">
                  <c:v>0.31658702692091845</c:v>
                </c:pt>
                <c:pt idx="69">
                  <c:v>0.31196362485202606</c:v>
                </c:pt>
                <c:pt idx="70">
                  <c:v>0.30743261608590844</c:v>
                </c:pt>
                <c:pt idx="71">
                  <c:v>0.30299119954487175</c:v>
                </c:pt>
                <c:pt idx="72">
                  <c:v>0.29863668451434039</c:v>
                </c:pt>
                <c:pt idx="73">
                  <c:v>0.29436648601311716</c:v>
                </c:pt>
                <c:pt idx="74">
                  <c:v>0.29017812039714874</c:v>
                </c:pt>
                <c:pt idx="75">
                  <c:v>0.28606920118343193</c:v>
                </c:pt>
                <c:pt idx="76">
                  <c:v>0.28203743508155182</c:v>
                </c:pt>
                <c:pt idx="77">
                  <c:v>0.2780806182211375</c:v>
                </c:pt>
                <c:pt idx="78">
                  <c:v>0.27419663256425886</c:v>
                </c:pt>
                <c:pt idx="79">
                  <c:v>0.27038344249247459</c:v>
                </c:pt>
                <c:pt idx="80">
                  <c:v>0.26663909155888177</c:v>
                </c:pt>
                <c:pt idx="81">
                  <c:v>0.26296169939611425</c:v>
                </c:pt>
                <c:pt idx="82">
                  <c:v>0.25934945877178694</c:v>
                </c:pt>
                <c:pt idx="83">
                  <c:v>0.25580063278341003</c:v>
                </c:pt>
                <c:pt idx="84">
                  <c:v>0.2523135521852698</c:v>
                </c:pt>
                <c:pt idx="85">
                  <c:v>0.24888661284022973</c:v>
                </c:pt>
                <c:pt idx="86">
                  <c:v>0.24551827328982487</c:v>
                </c:pt>
                <c:pt idx="87">
                  <c:v>0.24220705243641438</c:v>
                </c:pt>
                <c:pt idx="88">
                  <c:v>0.23895152733152472</c:v>
                </c:pt>
                <c:pt idx="89">
                  <c:v>0.23575033106485996</c:v>
                </c:pt>
                <c:pt idx="90">
                  <c:v>0.23260215074877633</c:v>
                </c:pt>
                <c:pt idx="91">
                  <c:v>0.22950572559331944</c:v>
                </c:pt>
                <c:pt idx="92">
                  <c:v>0.22645984506720152</c:v>
                </c:pt>
                <c:pt idx="93">
                  <c:v>0.22346334714036409</c:v>
                </c:pt>
                <c:pt idx="94">
                  <c:v>0.22051511660401388</c:v>
                </c:pt>
                <c:pt idx="95">
                  <c:v>0.21761408346425354</c:v>
                </c:pt>
                <c:pt idx="96">
                  <c:v>0.21475922140564571</c:v>
                </c:pt>
                <c:pt idx="97">
                  <c:v>0.2119495463212534</c:v>
                </c:pt>
                <c:pt idx="98">
                  <c:v>0.20918411490588784</c:v>
                </c:pt>
                <c:pt idx="99">
                  <c:v>0.2064620233094781</c:v>
                </c:pt>
                <c:pt idx="100">
                  <c:v>0.20378240584764359</c:v>
                </c:pt>
                <c:pt idx="101">
                  <c:v>0.20114443376670829</c:v>
                </c:pt>
                <c:pt idx="102">
                  <c:v>0.19854731406054699</c:v>
                </c:pt>
                <c:pt idx="103">
                  <c:v>0.19599028833679039</c:v>
                </c:pt>
                <c:pt idx="104">
                  <c:v>0.19347263173005155</c:v>
                </c:pt>
                <c:pt idx="105">
                  <c:v>0.1909936518599564</c:v>
                </c:pt>
                <c:pt idx="106">
                  <c:v>0.18855268783188123</c:v>
                </c:pt>
                <c:pt idx="107">
                  <c:v>0.18614910927840697</c:v>
                </c:pt>
                <c:pt idx="108">
                  <c:v>0.18378231543960658</c:v>
                </c:pt>
                <c:pt idx="109">
                  <c:v>0.18145173428037611</c:v>
                </c:pt>
                <c:pt idx="110">
                  <c:v>0.17915682164311592</c:v>
                </c:pt>
                <c:pt idx="111">
                  <c:v>0.17689706043415235</c:v>
                </c:pt>
                <c:pt idx="112">
                  <c:v>0.17467195984237208</c:v>
                </c:pt>
                <c:pt idx="113">
                  <c:v>0.17248105458862226</c:v>
                </c:pt>
                <c:pt idx="114">
                  <c:v>0.170323904204497</c:v>
                </c:pt>
                <c:pt idx="115">
                  <c:v>0.16820009233920477</c:v>
                </c:pt>
                <c:pt idx="116">
                  <c:v>0.16610922609327231</c:v>
                </c:pt>
                <c:pt idx="117">
                  <c:v>0.1640509353779063</c:v>
                </c:pt>
                <c:pt idx="118">
                  <c:v>0.16202487229888704</c:v>
                </c:pt>
                <c:pt idx="119">
                  <c:v>0.16003071056392901</c:v>
                </c:pt>
                <c:pt idx="120">
                  <c:v>0.15806814491249063</c:v>
                </c:pt>
                <c:pt idx="121">
                  <c:v>0.15613689056706734</c:v>
                </c:pt>
                <c:pt idx="122">
                  <c:v>0.15423668270504717</c:v>
                </c:pt>
                <c:pt idx="123">
                  <c:v>0.15236727595025443</c:v>
                </c:pt>
                <c:pt idx="124">
                  <c:v>0.15052844388334466</c:v>
                </c:pt>
                <c:pt idx="125">
                  <c:v>0.1487199785702589</c:v>
                </c:pt>
                <c:pt idx="126">
                  <c:v>0.14694169010797811</c:v>
                </c:pt>
                <c:pt idx="127">
                  <c:v>0.14519340618685753</c:v>
                </c:pt>
                <c:pt idx="128">
                  <c:v>0.14347497166885137</c:v>
                </c:pt>
                <c:pt idx="129">
                  <c:v>0.14178624818097343</c:v>
                </c:pt>
                <c:pt idx="130">
                  <c:v>0.14012711372336681</c:v>
                </c:pt>
                <c:pt idx="131">
                  <c:v>0.13849746229138696</c:v>
                </c:pt>
                <c:pt idx="132">
                  <c:v>0.13689720351112628</c:v>
                </c:pt>
                <c:pt idx="133">
                  <c:v>0.13532626228783942</c:v>
                </c:pt>
                <c:pt idx="134">
                  <c:v>0.13378457846674788</c:v>
                </c:pt>
                <c:pt idx="135">
                  <c:v>0.13227210650572868</c:v>
                </c:pt>
                <c:pt idx="136">
                  <c:v>0.13078881515941487</c:v>
                </c:pt>
                <c:pt idx="137">
                  <c:v>0.12933468717425348</c:v>
                </c:pt>
                <c:pt idx="138">
                  <c:v>0.12790971899409059</c:v>
                </c:pt>
                <c:pt idx="139">
                  <c:v>0.12651392047586826</c:v>
                </c:pt>
                <c:pt idx="140">
                  <c:v>0.12514731461504047</c:v>
                </c:pt>
                <c:pt idx="141">
                  <c:v>0.12380993728032842</c:v>
                </c:pt>
                <c:pt idx="142">
                  <c:v>0.1225018369574548</c:v>
                </c:pt>
                <c:pt idx="143">
                  <c:v>0.12122307450151136</c:v>
                </c:pt>
                <c:pt idx="144">
                  <c:v>0.11997372289762839</c:v>
                </c:pt>
                <c:pt idx="145">
                  <c:v>0.11875386702963037</c:v>
                </c:pt>
                <c:pt idx="146">
                  <c:v>0.11756360345637348</c:v>
                </c:pt>
                <c:pt idx="147">
                  <c:v>0.11640304019547676</c:v>
                </c:pt>
                <c:pt idx="148">
                  <c:v>0.11527229651416644</c:v>
                </c:pt>
                <c:pt idx="149">
                  <c:v>0.11417150272696949</c:v>
                </c:pt>
                <c:pt idx="150">
                  <c:v>0.11310079999999996</c:v>
                </c:pt>
              </c:numCache>
            </c:numRef>
          </c:yVal>
          <c:smooth val="1"/>
          <c:extLst>
            <c:ext xmlns:c16="http://schemas.microsoft.com/office/drawing/2014/chart" uri="{C3380CC4-5D6E-409C-BE32-E72D297353CC}">
              <c16:uniqueId val="{00000003-0B1C-42A1-BAB5-10FCC4361A6B}"/>
            </c:ext>
          </c:extLst>
        </c:ser>
        <c:dLbls>
          <c:showLegendKey val="0"/>
          <c:showVal val="0"/>
          <c:showCatName val="0"/>
          <c:showSerName val="0"/>
          <c:showPercent val="0"/>
          <c:showBubbleSize val="0"/>
        </c:dLbls>
        <c:axId val="361467264"/>
        <c:axId val="361465344"/>
      </c:scatterChart>
      <c:valAx>
        <c:axId val="361445248"/>
        <c:scaling>
          <c:orientation val="minMax"/>
        </c:scaling>
        <c:delete val="0"/>
        <c:axPos val="b"/>
        <c:majorGridlines/>
        <c:numFmt formatCode="General" sourceLinked="1"/>
        <c:majorTickMark val="out"/>
        <c:minorTickMark val="none"/>
        <c:tickLblPos val="nextTo"/>
        <c:crossAx val="361446784"/>
        <c:crosses val="autoZero"/>
        <c:crossBetween val="midCat"/>
      </c:valAx>
      <c:valAx>
        <c:axId val="361446784"/>
        <c:scaling>
          <c:orientation val="minMax"/>
          <c:max val="100"/>
          <c:min val="60"/>
        </c:scaling>
        <c:delete val="0"/>
        <c:axPos val="l"/>
        <c:majorGridlines/>
        <c:title>
          <c:tx>
            <c:rich>
              <a:bodyPr rot="-5400000" vert="horz"/>
              <a:lstStyle/>
              <a:p>
                <a:pPr>
                  <a:defRPr sz="1400"/>
                </a:pPr>
                <a:r>
                  <a:rPr lang="en-US" sz="1400"/>
                  <a:t>Efficiency</a:t>
                </a:r>
                <a:r>
                  <a:rPr lang="en-US" sz="1400" baseline="0"/>
                  <a:t> (%)</a:t>
                </a:r>
                <a:endParaRPr lang="en-US" sz="1400"/>
              </a:p>
            </c:rich>
          </c:tx>
          <c:overlay val="0"/>
        </c:title>
        <c:numFmt formatCode="General" sourceLinked="1"/>
        <c:majorTickMark val="out"/>
        <c:minorTickMark val="none"/>
        <c:tickLblPos val="nextTo"/>
        <c:crossAx val="361445248"/>
        <c:crosses val="autoZero"/>
        <c:crossBetween val="midCat"/>
      </c:valAx>
      <c:valAx>
        <c:axId val="361465344"/>
        <c:scaling>
          <c:orientation val="minMax"/>
        </c:scaling>
        <c:delete val="0"/>
        <c:axPos val="r"/>
        <c:title>
          <c:tx>
            <c:rich>
              <a:bodyPr rot="-5400000" vert="horz"/>
              <a:lstStyle/>
              <a:p>
                <a:pPr>
                  <a:defRPr sz="1400"/>
                </a:pPr>
                <a:r>
                  <a:rPr lang="en-US" sz="1400"/>
                  <a:t>Losses</a:t>
                </a:r>
                <a:r>
                  <a:rPr lang="en-US" sz="1400" baseline="0"/>
                  <a:t> (W)</a:t>
                </a:r>
                <a:endParaRPr lang="en-US" sz="1400"/>
              </a:p>
            </c:rich>
          </c:tx>
          <c:overlay val="0"/>
        </c:title>
        <c:numFmt formatCode="General" sourceLinked="1"/>
        <c:majorTickMark val="out"/>
        <c:minorTickMark val="none"/>
        <c:tickLblPos val="nextTo"/>
        <c:crossAx val="361467264"/>
        <c:crosses val="max"/>
        <c:crossBetween val="midCat"/>
      </c:valAx>
      <c:valAx>
        <c:axId val="361467264"/>
        <c:scaling>
          <c:orientation val="minMax"/>
        </c:scaling>
        <c:delete val="1"/>
        <c:axPos val="b"/>
        <c:title>
          <c:tx>
            <c:rich>
              <a:bodyPr/>
              <a:lstStyle/>
              <a:p>
                <a:pPr>
                  <a:defRPr/>
                </a:pPr>
                <a:r>
                  <a:rPr lang="en-US" baseline="0"/>
                  <a:t>Input Voltage (V)</a:t>
                </a:r>
                <a:endParaRPr lang="en-US"/>
              </a:p>
            </c:rich>
          </c:tx>
          <c:overlay val="0"/>
        </c:title>
        <c:numFmt formatCode="General" sourceLinked="1"/>
        <c:majorTickMark val="out"/>
        <c:minorTickMark val="none"/>
        <c:tickLblPos val="nextTo"/>
        <c:crossAx val="361465344"/>
        <c:crosses val="autoZero"/>
        <c:crossBetween val="midCat"/>
      </c:valAx>
    </c:plotArea>
    <c:legend>
      <c:legendPos val="r"/>
      <c:layout>
        <c:manualLayout>
          <c:xMode val="edge"/>
          <c:yMode val="edge"/>
          <c:x val="0.51894403926190358"/>
          <c:y val="6.4862204724409449E-3"/>
          <c:w val="0.39609572935704079"/>
          <c:h val="0.12183653099700564"/>
        </c:manualLayout>
      </c:layout>
      <c:overlay val="1"/>
    </c:legend>
    <c:plotVisOnly val="1"/>
    <c:dispBlanksAs val="gap"/>
    <c:showDLblsOverMax val="0"/>
  </c:chart>
  <c:spPr>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CCM Plant Transfer</a:t>
            </a:r>
            <a:r>
              <a:rPr lang="en-US" baseline="0"/>
              <a:t> Function</a:t>
            </a:r>
            <a:endParaRPr lang="en-US"/>
          </a:p>
        </c:rich>
      </c:tx>
      <c:overlay val="0"/>
    </c:title>
    <c:autoTitleDeleted val="0"/>
    <c:plotArea>
      <c:layout/>
      <c:scatterChart>
        <c:scatterStyle val="smoothMarker"/>
        <c:varyColors val="0"/>
        <c:ser>
          <c:idx val="0"/>
          <c:order val="0"/>
          <c:tx>
            <c:v>Gain(dB)</c:v>
          </c:tx>
          <c:marker>
            <c:symbol val="none"/>
          </c:marker>
          <c:xVal>
            <c:numRef>
              <c:f>Control_Loop_Tables!$N$19:$N$560</c:f>
              <c:numCache>
                <c:formatCode>0.00</c:formatCode>
                <c:ptCount val="542"/>
                <c:pt idx="0">
                  <c:v>10.232929922807543</c:v>
                </c:pt>
                <c:pt idx="1">
                  <c:v>10.471285480509</c:v>
                </c:pt>
                <c:pt idx="2">
                  <c:v>10.715193052376069</c:v>
                </c:pt>
                <c:pt idx="3">
                  <c:v>10.964781961431854</c:v>
                </c:pt>
                <c:pt idx="4">
                  <c:v>11.220184543019636</c:v>
                </c:pt>
                <c:pt idx="5">
                  <c:v>11.481536214968834</c:v>
                </c:pt>
                <c:pt idx="6">
                  <c:v>11.748975549395301</c:v>
                </c:pt>
                <c:pt idx="7">
                  <c:v>12.022644346174133</c:v>
                </c:pt>
                <c:pt idx="8">
                  <c:v>12.302687708123818</c:v>
                </c:pt>
                <c:pt idx="9">
                  <c:v>12.58925411794168</c:v>
                </c:pt>
                <c:pt idx="10">
                  <c:v>12.882495516931346</c:v>
                </c:pt>
                <c:pt idx="11">
                  <c:v>13.182567385564075</c:v>
                </c:pt>
                <c:pt idx="12">
                  <c:v>13.489628825916535</c:v>
                </c:pt>
                <c:pt idx="13">
                  <c:v>13.803842646028857</c:v>
                </c:pt>
                <c:pt idx="14">
                  <c:v>14.125375446227544</c:v>
                </c:pt>
                <c:pt idx="15">
                  <c:v>14.454397707459275</c:v>
                </c:pt>
                <c:pt idx="16">
                  <c:v>14.791083881682074</c:v>
                </c:pt>
                <c:pt idx="17">
                  <c:v>15.135612484362087</c:v>
                </c:pt>
                <c:pt idx="18">
                  <c:v>15.488166189124817</c:v>
                </c:pt>
                <c:pt idx="19">
                  <c:v>15.848931924611136</c:v>
                </c:pt>
                <c:pt idx="20">
                  <c:v>16.218100973589298</c:v>
                </c:pt>
                <c:pt idx="21">
                  <c:v>16.595869074375614</c:v>
                </c:pt>
                <c:pt idx="22">
                  <c:v>16.982436524617448</c:v>
                </c:pt>
                <c:pt idx="23">
                  <c:v>17.378008287493756</c:v>
                </c:pt>
                <c:pt idx="24">
                  <c:v>17.782794100389236</c:v>
                </c:pt>
                <c:pt idx="25">
                  <c:v>18.197008586099841</c:v>
                </c:pt>
                <c:pt idx="26">
                  <c:v>18.62087136662868</c:v>
                </c:pt>
                <c:pt idx="27">
                  <c:v>19.054607179632477</c:v>
                </c:pt>
                <c:pt idx="28">
                  <c:v>19.498445997580465</c:v>
                </c:pt>
                <c:pt idx="29">
                  <c:v>19.952623149688804</c:v>
                </c:pt>
                <c:pt idx="30">
                  <c:v>20.4173794466953</c:v>
                </c:pt>
                <c:pt idx="31">
                  <c:v>20.8929613085404</c:v>
                </c:pt>
                <c:pt idx="32">
                  <c:v>21.379620895022335</c:v>
                </c:pt>
                <c:pt idx="33">
                  <c:v>21.877616239495538</c:v>
                </c:pt>
                <c:pt idx="34">
                  <c:v>22.387211385683404</c:v>
                </c:pt>
                <c:pt idx="35">
                  <c:v>22.908676527677727</c:v>
                </c:pt>
                <c:pt idx="36">
                  <c:v>23.442288153199236</c:v>
                </c:pt>
                <c:pt idx="37">
                  <c:v>23.988329190194907</c:v>
                </c:pt>
                <c:pt idx="38">
                  <c:v>24.547089156850316</c:v>
                </c:pt>
                <c:pt idx="39">
                  <c:v>25.118864315095799</c:v>
                </c:pt>
                <c:pt idx="40">
                  <c:v>25.703957827688647</c:v>
                </c:pt>
                <c:pt idx="41">
                  <c:v>26.302679918953825</c:v>
                </c:pt>
                <c:pt idx="42">
                  <c:v>26.915348039269158</c:v>
                </c:pt>
                <c:pt idx="43">
                  <c:v>27.542287033381665</c:v>
                </c:pt>
                <c:pt idx="44">
                  <c:v>28.183829312644548</c:v>
                </c:pt>
                <c:pt idx="45">
                  <c:v>28.840315031266066</c:v>
                </c:pt>
                <c:pt idx="46">
                  <c:v>29.512092266663863</c:v>
                </c:pt>
                <c:pt idx="47">
                  <c:v>30.199517204020164</c:v>
                </c:pt>
                <c:pt idx="48">
                  <c:v>30.902954325135919</c:v>
                </c:pt>
                <c:pt idx="49">
                  <c:v>31.622776601683803</c:v>
                </c:pt>
                <c:pt idx="50">
                  <c:v>32.359365692962832</c:v>
                </c:pt>
                <c:pt idx="51">
                  <c:v>33.113112148259127</c:v>
                </c:pt>
                <c:pt idx="52">
                  <c:v>33.884415613920268</c:v>
                </c:pt>
                <c:pt idx="53">
                  <c:v>34.67368504525318</c:v>
                </c:pt>
                <c:pt idx="54">
                  <c:v>35.481338923357555</c:v>
                </c:pt>
                <c:pt idx="55">
                  <c:v>36.307805477010156</c:v>
                </c:pt>
                <c:pt idx="56">
                  <c:v>37.15352290971726</c:v>
                </c:pt>
                <c:pt idx="57">
                  <c:v>38.018939632056139</c:v>
                </c:pt>
                <c:pt idx="58">
                  <c:v>38.904514499428053</c:v>
                </c:pt>
                <c:pt idx="59">
                  <c:v>39.810717055349755</c:v>
                </c:pt>
                <c:pt idx="60">
                  <c:v>40.738027780411279</c:v>
                </c:pt>
                <c:pt idx="61">
                  <c:v>41.686938347033561</c:v>
                </c:pt>
                <c:pt idx="62">
                  <c:v>42.657951880159267</c:v>
                </c:pt>
                <c:pt idx="63">
                  <c:v>43.651583224016633</c:v>
                </c:pt>
                <c:pt idx="64">
                  <c:v>44.668359215096324</c:v>
                </c:pt>
                <c:pt idx="65">
                  <c:v>45.70881896148753</c:v>
                </c:pt>
                <c:pt idx="66">
                  <c:v>46.773514128719818</c:v>
                </c:pt>
                <c:pt idx="67">
                  <c:v>47.863009232263877</c:v>
                </c:pt>
                <c:pt idx="68">
                  <c:v>48.977881936844632</c:v>
                </c:pt>
                <c:pt idx="69">
                  <c:v>50.118723362727238</c:v>
                </c:pt>
                <c:pt idx="70">
                  <c:v>51.28613839913649</c:v>
                </c:pt>
                <c:pt idx="71">
                  <c:v>52.480746024977286</c:v>
                </c:pt>
                <c:pt idx="72">
                  <c:v>53.703179637025293</c:v>
                </c:pt>
                <c:pt idx="73">
                  <c:v>54.95408738576247</c:v>
                </c:pt>
                <c:pt idx="74">
                  <c:v>56.234132519034915</c:v>
                </c:pt>
                <c:pt idx="75">
                  <c:v>57.543993733715695</c:v>
                </c:pt>
                <c:pt idx="76">
                  <c:v>58.884365535558949</c:v>
                </c:pt>
                <c:pt idx="77">
                  <c:v>60.255958607435822</c:v>
                </c:pt>
                <c:pt idx="78">
                  <c:v>61.659500186148257</c:v>
                </c:pt>
                <c:pt idx="79">
                  <c:v>63.095734448019364</c:v>
                </c:pt>
                <c:pt idx="80">
                  <c:v>64.565422903465588</c:v>
                </c:pt>
                <c:pt idx="81">
                  <c:v>66.069344800759623</c:v>
                </c:pt>
                <c:pt idx="82">
                  <c:v>67.60829753919819</c:v>
                </c:pt>
                <c:pt idx="83">
                  <c:v>69.183097091893657</c:v>
                </c:pt>
                <c:pt idx="84">
                  <c:v>70.794578438413865</c:v>
                </c:pt>
                <c:pt idx="85">
                  <c:v>72.443596007499011</c:v>
                </c:pt>
                <c:pt idx="86">
                  <c:v>74.131024130091816</c:v>
                </c:pt>
                <c:pt idx="87">
                  <c:v>75.857757502918361</c:v>
                </c:pt>
                <c:pt idx="88">
                  <c:v>77.624711662869217</c:v>
                </c:pt>
                <c:pt idx="89">
                  <c:v>79.432823472428197</c:v>
                </c:pt>
                <c:pt idx="90">
                  <c:v>81.283051616409963</c:v>
                </c:pt>
                <c:pt idx="91">
                  <c:v>83.176377110267126</c:v>
                </c:pt>
                <c:pt idx="92">
                  <c:v>85.113803820237734</c:v>
                </c:pt>
                <c:pt idx="93">
                  <c:v>87.096358995608071</c:v>
                </c:pt>
                <c:pt idx="94">
                  <c:v>89.125093813374562</c:v>
                </c:pt>
                <c:pt idx="95">
                  <c:v>91.201083935590972</c:v>
                </c:pt>
                <c:pt idx="96">
                  <c:v>93.325430079699174</c:v>
                </c:pt>
                <c:pt idx="97">
                  <c:v>95.499258602143655</c:v>
                </c:pt>
                <c:pt idx="98">
                  <c:v>97.723722095581124</c:v>
                </c:pt>
                <c:pt idx="99">
                  <c:v>100</c:v>
                </c:pt>
                <c:pt idx="100">
                  <c:v>102.32929922807544</c:v>
                </c:pt>
                <c:pt idx="101">
                  <c:v>104.71285480508998</c:v>
                </c:pt>
                <c:pt idx="102">
                  <c:v>107.15193052376065</c:v>
                </c:pt>
                <c:pt idx="103">
                  <c:v>109.64781961431861</c:v>
                </c:pt>
                <c:pt idx="104">
                  <c:v>112.20184543019634</c:v>
                </c:pt>
                <c:pt idx="105">
                  <c:v>114.81536214968835</c:v>
                </c:pt>
                <c:pt idx="106">
                  <c:v>117.48975549395293</c:v>
                </c:pt>
                <c:pt idx="107">
                  <c:v>120.22644346174135</c:v>
                </c:pt>
                <c:pt idx="108">
                  <c:v>123.02687708123821</c:v>
                </c:pt>
                <c:pt idx="109">
                  <c:v>125.89254117941677</c:v>
                </c:pt>
                <c:pt idx="110">
                  <c:v>128.82495516931343</c:v>
                </c:pt>
                <c:pt idx="111">
                  <c:v>131.82567385564084</c:v>
                </c:pt>
                <c:pt idx="112">
                  <c:v>134.89628825916537</c:v>
                </c:pt>
                <c:pt idx="113">
                  <c:v>138.0384264602886</c:v>
                </c:pt>
                <c:pt idx="114">
                  <c:v>141.25375446227542</c:v>
                </c:pt>
                <c:pt idx="115">
                  <c:v>144.54397707459285</c:v>
                </c:pt>
                <c:pt idx="116">
                  <c:v>147.91083881682084</c:v>
                </c:pt>
                <c:pt idx="117">
                  <c:v>151.3561248436209</c:v>
                </c:pt>
                <c:pt idx="118">
                  <c:v>154.8816618912482</c:v>
                </c:pt>
                <c:pt idx="119">
                  <c:v>158.48931924611153</c:v>
                </c:pt>
                <c:pt idx="120">
                  <c:v>162.18100973589304</c:v>
                </c:pt>
                <c:pt idx="121">
                  <c:v>165.95869074375622</c:v>
                </c:pt>
                <c:pt idx="122">
                  <c:v>169.82436524617444</c:v>
                </c:pt>
                <c:pt idx="123">
                  <c:v>173.78008287493768</c:v>
                </c:pt>
                <c:pt idx="124">
                  <c:v>177.82794100389242</c:v>
                </c:pt>
                <c:pt idx="125">
                  <c:v>181.9700858609983</c:v>
                </c:pt>
                <c:pt idx="126">
                  <c:v>186.20871366628685</c:v>
                </c:pt>
                <c:pt idx="127">
                  <c:v>190.54607179632498</c:v>
                </c:pt>
                <c:pt idx="128">
                  <c:v>194.98445997580458</c:v>
                </c:pt>
                <c:pt idx="129">
                  <c:v>199.52623149688802</c:v>
                </c:pt>
                <c:pt idx="130">
                  <c:v>204.17379446695315</c:v>
                </c:pt>
                <c:pt idx="131">
                  <c:v>208.92961308540396</c:v>
                </c:pt>
                <c:pt idx="132">
                  <c:v>213.79620895022339</c:v>
                </c:pt>
                <c:pt idx="133">
                  <c:v>218.77616239495524</c:v>
                </c:pt>
                <c:pt idx="134">
                  <c:v>223.87211385683412</c:v>
                </c:pt>
                <c:pt idx="135">
                  <c:v>229.08676527677744</c:v>
                </c:pt>
                <c:pt idx="136">
                  <c:v>234.42288153199232</c:v>
                </c:pt>
                <c:pt idx="137">
                  <c:v>239.88329190194912</c:v>
                </c:pt>
                <c:pt idx="138">
                  <c:v>245.4708915685033</c:v>
                </c:pt>
                <c:pt idx="139">
                  <c:v>251.18864315095806</c:v>
                </c:pt>
                <c:pt idx="140">
                  <c:v>257.03957827688663</c:v>
                </c:pt>
                <c:pt idx="141">
                  <c:v>263.02679918953817</c:v>
                </c:pt>
                <c:pt idx="142">
                  <c:v>269.15348039269179</c:v>
                </c:pt>
                <c:pt idx="143">
                  <c:v>275.42287033381683</c:v>
                </c:pt>
                <c:pt idx="144">
                  <c:v>281.83829312644554</c:v>
                </c:pt>
                <c:pt idx="145">
                  <c:v>288.40315031266073</c:v>
                </c:pt>
                <c:pt idx="146">
                  <c:v>295.12092266663871</c:v>
                </c:pt>
                <c:pt idx="147">
                  <c:v>301.99517204020168</c:v>
                </c:pt>
                <c:pt idx="148">
                  <c:v>309.02954325135937</c:v>
                </c:pt>
                <c:pt idx="149">
                  <c:v>316.22776601683825</c:v>
                </c:pt>
                <c:pt idx="150">
                  <c:v>323.59365692962825</c:v>
                </c:pt>
                <c:pt idx="151">
                  <c:v>331.13112148259137</c:v>
                </c:pt>
                <c:pt idx="152">
                  <c:v>338.84415613920277</c:v>
                </c:pt>
                <c:pt idx="153">
                  <c:v>346.73685045253183</c:v>
                </c:pt>
                <c:pt idx="154">
                  <c:v>354.81338923357566</c:v>
                </c:pt>
                <c:pt idx="155">
                  <c:v>363.07805477010152</c:v>
                </c:pt>
                <c:pt idx="156">
                  <c:v>371.53522909717265</c:v>
                </c:pt>
                <c:pt idx="157">
                  <c:v>380.18939632056163</c:v>
                </c:pt>
                <c:pt idx="158">
                  <c:v>389.04514499428063</c:v>
                </c:pt>
                <c:pt idx="159">
                  <c:v>398.10717055349761</c:v>
                </c:pt>
                <c:pt idx="160">
                  <c:v>407.38027780411272</c:v>
                </c:pt>
                <c:pt idx="161">
                  <c:v>416.86938347033572</c:v>
                </c:pt>
                <c:pt idx="162">
                  <c:v>426.57951880159294</c:v>
                </c:pt>
                <c:pt idx="163">
                  <c:v>436.51583224016622</c:v>
                </c:pt>
                <c:pt idx="164">
                  <c:v>446.68359215096331</c:v>
                </c:pt>
                <c:pt idx="165">
                  <c:v>457.0881896148756</c:v>
                </c:pt>
                <c:pt idx="166">
                  <c:v>467.7351412871983</c:v>
                </c:pt>
                <c:pt idx="167">
                  <c:v>478.63009232263886</c:v>
                </c:pt>
                <c:pt idx="168">
                  <c:v>489.77881936844625</c:v>
                </c:pt>
                <c:pt idx="169">
                  <c:v>501.18723362727269</c:v>
                </c:pt>
                <c:pt idx="170">
                  <c:v>512.86138399136519</c:v>
                </c:pt>
                <c:pt idx="171">
                  <c:v>524.80746024977248</c:v>
                </c:pt>
                <c:pt idx="172">
                  <c:v>537.03179637025301</c:v>
                </c:pt>
                <c:pt idx="173">
                  <c:v>549.54087385762534</c:v>
                </c:pt>
                <c:pt idx="174">
                  <c:v>562.34132519034927</c:v>
                </c:pt>
                <c:pt idx="175">
                  <c:v>575.43993733715706</c:v>
                </c:pt>
                <c:pt idx="176">
                  <c:v>588.84365535558959</c:v>
                </c:pt>
                <c:pt idx="177">
                  <c:v>602.55958607435832</c:v>
                </c:pt>
                <c:pt idx="178">
                  <c:v>616.59500186148273</c:v>
                </c:pt>
                <c:pt idx="179">
                  <c:v>630.95734448019323</c:v>
                </c:pt>
                <c:pt idx="180">
                  <c:v>645.65422903465594</c:v>
                </c:pt>
                <c:pt idx="181">
                  <c:v>660.69344800759643</c:v>
                </c:pt>
                <c:pt idx="182">
                  <c:v>676.08297539198213</c:v>
                </c:pt>
                <c:pt idx="183">
                  <c:v>691.83097091893671</c:v>
                </c:pt>
                <c:pt idx="184">
                  <c:v>707.94578438413873</c:v>
                </c:pt>
                <c:pt idx="185">
                  <c:v>724.43596007499025</c:v>
                </c:pt>
                <c:pt idx="186">
                  <c:v>741.31024130091828</c:v>
                </c:pt>
                <c:pt idx="187">
                  <c:v>758.57757502918378</c:v>
                </c:pt>
                <c:pt idx="188">
                  <c:v>776.24711662869231</c:v>
                </c:pt>
                <c:pt idx="189">
                  <c:v>794.32823472428208</c:v>
                </c:pt>
                <c:pt idx="190">
                  <c:v>812.83051616409978</c:v>
                </c:pt>
                <c:pt idx="191">
                  <c:v>831.7637711026714</c:v>
                </c:pt>
                <c:pt idx="192">
                  <c:v>851.13803820237763</c:v>
                </c:pt>
                <c:pt idx="193">
                  <c:v>870.96358995608091</c:v>
                </c:pt>
                <c:pt idx="194">
                  <c:v>891.25093813374656</c:v>
                </c:pt>
                <c:pt idx="195">
                  <c:v>912.01083935590987</c:v>
                </c:pt>
                <c:pt idx="196">
                  <c:v>933.25430079699106</c:v>
                </c:pt>
                <c:pt idx="197">
                  <c:v>954.99258602143675</c:v>
                </c:pt>
                <c:pt idx="198">
                  <c:v>977.23722095581138</c:v>
                </c:pt>
                <c:pt idx="199">
                  <c:v>1000</c:v>
                </c:pt>
                <c:pt idx="200">
                  <c:v>1023.2929922807547</c:v>
                </c:pt>
                <c:pt idx="201">
                  <c:v>1047.1285480509</c:v>
                </c:pt>
                <c:pt idx="202">
                  <c:v>1071.5193052376069</c:v>
                </c:pt>
                <c:pt idx="203">
                  <c:v>1096.4781961431863</c:v>
                </c:pt>
                <c:pt idx="204">
                  <c:v>1122.0184543019636</c:v>
                </c:pt>
                <c:pt idx="205">
                  <c:v>1148.1536214968839</c:v>
                </c:pt>
                <c:pt idx="206">
                  <c:v>1174.8975549395295</c:v>
                </c:pt>
                <c:pt idx="207">
                  <c:v>1202.2644346174138</c:v>
                </c:pt>
                <c:pt idx="208">
                  <c:v>1230.2687708123824</c:v>
                </c:pt>
                <c:pt idx="209">
                  <c:v>1258.925411794168</c:v>
                </c:pt>
                <c:pt idx="210">
                  <c:v>1288.2495516931347</c:v>
                </c:pt>
                <c:pt idx="211">
                  <c:v>1318.2567385564089</c:v>
                </c:pt>
                <c:pt idx="212">
                  <c:v>1348.9628825916541</c:v>
                </c:pt>
                <c:pt idx="213">
                  <c:v>1380.3842646028863</c:v>
                </c:pt>
                <c:pt idx="214">
                  <c:v>1412.5375446227545</c:v>
                </c:pt>
                <c:pt idx="215">
                  <c:v>1445.4397707459289</c:v>
                </c:pt>
                <c:pt idx="216">
                  <c:v>1479.1083881682086</c:v>
                </c:pt>
                <c:pt idx="217">
                  <c:v>1513.5612484362093</c:v>
                </c:pt>
                <c:pt idx="218">
                  <c:v>1548.8166189124822</c:v>
                </c:pt>
                <c:pt idx="219">
                  <c:v>1584.8931924611156</c:v>
                </c:pt>
                <c:pt idx="220">
                  <c:v>1621.8100973589308</c:v>
                </c:pt>
                <c:pt idx="221">
                  <c:v>1659.5869074375626</c:v>
                </c:pt>
                <c:pt idx="222">
                  <c:v>1698.2436524617447</c:v>
                </c:pt>
                <c:pt idx="223">
                  <c:v>1737.8008287493772</c:v>
                </c:pt>
                <c:pt idx="224">
                  <c:v>1778.2794100389244</c:v>
                </c:pt>
                <c:pt idx="225">
                  <c:v>1819.7008586099832</c:v>
                </c:pt>
                <c:pt idx="226">
                  <c:v>1862.0871366628687</c:v>
                </c:pt>
                <c:pt idx="227">
                  <c:v>1905.4607179632501</c:v>
                </c:pt>
                <c:pt idx="228">
                  <c:v>1949.8445997580463</c:v>
                </c:pt>
                <c:pt idx="229">
                  <c:v>1995.2623149688804</c:v>
                </c:pt>
                <c:pt idx="230">
                  <c:v>2041.7379446695318</c:v>
                </c:pt>
                <c:pt idx="231">
                  <c:v>2089.2961308540398</c:v>
                </c:pt>
                <c:pt idx="232">
                  <c:v>2137.9620895022344</c:v>
                </c:pt>
                <c:pt idx="233">
                  <c:v>2187.7616239495528</c:v>
                </c:pt>
                <c:pt idx="234">
                  <c:v>2238.7211385683418</c:v>
                </c:pt>
                <c:pt idx="235">
                  <c:v>2290.8676527677749</c:v>
                </c:pt>
                <c:pt idx="236">
                  <c:v>2344.2288153199238</c:v>
                </c:pt>
                <c:pt idx="237">
                  <c:v>2398.8329190194918</c:v>
                </c:pt>
                <c:pt idx="238">
                  <c:v>2454.7089156850338</c:v>
                </c:pt>
                <c:pt idx="239">
                  <c:v>2511.8864315095811</c:v>
                </c:pt>
                <c:pt idx="240">
                  <c:v>2570.3957827688669</c:v>
                </c:pt>
                <c:pt idx="241">
                  <c:v>2630.2679918953822</c:v>
                </c:pt>
                <c:pt idx="242">
                  <c:v>2691.5348039269184</c:v>
                </c:pt>
                <c:pt idx="243">
                  <c:v>2754.228703338169</c:v>
                </c:pt>
                <c:pt idx="244">
                  <c:v>2818.3829312644561</c:v>
                </c:pt>
                <c:pt idx="245">
                  <c:v>2884.0315031266077</c:v>
                </c:pt>
                <c:pt idx="246">
                  <c:v>2951.2092266663876</c:v>
                </c:pt>
                <c:pt idx="247">
                  <c:v>3019.9517204020176</c:v>
                </c:pt>
                <c:pt idx="248">
                  <c:v>3090.295432513592</c:v>
                </c:pt>
                <c:pt idx="249">
                  <c:v>3162.2776601683804</c:v>
                </c:pt>
                <c:pt idx="250">
                  <c:v>3235.9365692962833</c:v>
                </c:pt>
                <c:pt idx="251">
                  <c:v>3311.3112148259115</c:v>
                </c:pt>
                <c:pt idx="252">
                  <c:v>3388.4415613920314</c:v>
                </c:pt>
                <c:pt idx="253">
                  <c:v>3467.3685045253224</c:v>
                </c:pt>
                <c:pt idx="254">
                  <c:v>3548.1338923357539</c:v>
                </c:pt>
                <c:pt idx="255">
                  <c:v>3630.7805477010188</c:v>
                </c:pt>
                <c:pt idx="256">
                  <c:v>3715.352290971724</c:v>
                </c:pt>
                <c:pt idx="257">
                  <c:v>3801.8939632056172</c:v>
                </c:pt>
                <c:pt idx="258">
                  <c:v>3890.451449942811</c:v>
                </c:pt>
                <c:pt idx="259">
                  <c:v>3981.0717055349769</c:v>
                </c:pt>
                <c:pt idx="260">
                  <c:v>4073.8027780411317</c:v>
                </c:pt>
                <c:pt idx="261">
                  <c:v>4168.6938347033583</c:v>
                </c:pt>
                <c:pt idx="262">
                  <c:v>4265.7951880159299</c:v>
                </c:pt>
                <c:pt idx="263">
                  <c:v>4365.1583224016631</c:v>
                </c:pt>
                <c:pt idx="264">
                  <c:v>4466.8359215096343</c:v>
                </c:pt>
                <c:pt idx="265">
                  <c:v>4570.8818961487532</c:v>
                </c:pt>
                <c:pt idx="266">
                  <c:v>4677.3514128719844</c:v>
                </c:pt>
                <c:pt idx="267">
                  <c:v>4786.3009232263848</c:v>
                </c:pt>
                <c:pt idx="268">
                  <c:v>4897.7881936844633</c:v>
                </c:pt>
                <c:pt idx="269">
                  <c:v>5011.8723362727324</c:v>
                </c:pt>
                <c:pt idx="270">
                  <c:v>5128.6138399136489</c:v>
                </c:pt>
                <c:pt idx="271">
                  <c:v>5248.0746024977261</c:v>
                </c:pt>
                <c:pt idx="272">
                  <c:v>5370.3179637025269</c:v>
                </c:pt>
                <c:pt idx="273">
                  <c:v>5495.4087385762541</c:v>
                </c:pt>
                <c:pt idx="274">
                  <c:v>5623.4132519034993</c:v>
                </c:pt>
                <c:pt idx="275">
                  <c:v>5754.399373371567</c:v>
                </c:pt>
                <c:pt idx="276">
                  <c:v>5888.4365535558973</c:v>
                </c:pt>
                <c:pt idx="277">
                  <c:v>6025.595860743585</c:v>
                </c:pt>
                <c:pt idx="278">
                  <c:v>6165.9500186148289</c:v>
                </c:pt>
                <c:pt idx="279">
                  <c:v>6309.5734448019384</c:v>
                </c:pt>
                <c:pt idx="280">
                  <c:v>6456.5422903465615</c:v>
                </c:pt>
                <c:pt idx="281">
                  <c:v>6606.9344800759654</c:v>
                </c:pt>
                <c:pt idx="282">
                  <c:v>6760.8297539198229</c:v>
                </c:pt>
                <c:pt idx="283">
                  <c:v>6918.3097091893687</c:v>
                </c:pt>
                <c:pt idx="284">
                  <c:v>7079.4578438413828</c:v>
                </c:pt>
                <c:pt idx="285">
                  <c:v>7244.3596007499036</c:v>
                </c:pt>
                <c:pt idx="286">
                  <c:v>7413.1024130091773</c:v>
                </c:pt>
                <c:pt idx="287">
                  <c:v>7585.7757502918394</c:v>
                </c:pt>
                <c:pt idx="288">
                  <c:v>7762.4711662869322</c:v>
                </c:pt>
                <c:pt idx="289">
                  <c:v>7943.2823472428154</c:v>
                </c:pt>
                <c:pt idx="290">
                  <c:v>8128.3051616410066</c:v>
                </c:pt>
                <c:pt idx="291">
                  <c:v>8317.6377110267094</c:v>
                </c:pt>
                <c:pt idx="292">
                  <c:v>8511.3803820237772</c:v>
                </c:pt>
                <c:pt idx="293">
                  <c:v>8709.6358995608189</c:v>
                </c:pt>
                <c:pt idx="294">
                  <c:v>8912.5093813374679</c:v>
                </c:pt>
                <c:pt idx="295">
                  <c:v>9120.1083935591087</c:v>
                </c:pt>
                <c:pt idx="296">
                  <c:v>9332.5430079699217</c:v>
                </c:pt>
                <c:pt idx="297">
                  <c:v>9549.9258602143691</c:v>
                </c:pt>
                <c:pt idx="298">
                  <c:v>9772.3722095581161</c:v>
                </c:pt>
                <c:pt idx="299">
                  <c:v>10000</c:v>
                </c:pt>
                <c:pt idx="300">
                  <c:v>10232.929922807549</c:v>
                </c:pt>
                <c:pt idx="301">
                  <c:v>10471.285480509003</c:v>
                </c:pt>
                <c:pt idx="302">
                  <c:v>10715.193052376071</c:v>
                </c:pt>
                <c:pt idx="303">
                  <c:v>10964.781961431856</c:v>
                </c:pt>
                <c:pt idx="304">
                  <c:v>11220.184543019639</c:v>
                </c:pt>
                <c:pt idx="305">
                  <c:v>11481.536214968832</c:v>
                </c:pt>
                <c:pt idx="306">
                  <c:v>11748.975549395318</c:v>
                </c:pt>
                <c:pt idx="307">
                  <c:v>12022.644346174151</c:v>
                </c:pt>
                <c:pt idx="308">
                  <c:v>12302.687708123816</c:v>
                </c:pt>
                <c:pt idx="309">
                  <c:v>12589.254117941671</c:v>
                </c:pt>
                <c:pt idx="310">
                  <c:v>12882.49551693136</c:v>
                </c:pt>
                <c:pt idx="311">
                  <c:v>13182.567385564091</c:v>
                </c:pt>
                <c:pt idx="312">
                  <c:v>13489.628825916556</c:v>
                </c:pt>
                <c:pt idx="313">
                  <c:v>13803.842646028841</c:v>
                </c:pt>
                <c:pt idx="314">
                  <c:v>14125.375446227561</c:v>
                </c:pt>
                <c:pt idx="315">
                  <c:v>14454.397707459291</c:v>
                </c:pt>
                <c:pt idx="316">
                  <c:v>14791.083881682089</c:v>
                </c:pt>
                <c:pt idx="317">
                  <c:v>15135.612484362096</c:v>
                </c:pt>
                <c:pt idx="318">
                  <c:v>15488.166189124853</c:v>
                </c:pt>
                <c:pt idx="319">
                  <c:v>15848.931924611146</c:v>
                </c:pt>
                <c:pt idx="320">
                  <c:v>16218.100973589309</c:v>
                </c:pt>
                <c:pt idx="321">
                  <c:v>16595.869074375616</c:v>
                </c:pt>
                <c:pt idx="322">
                  <c:v>16982.436524617482</c:v>
                </c:pt>
                <c:pt idx="323">
                  <c:v>17378.008287493791</c:v>
                </c:pt>
                <c:pt idx="324">
                  <c:v>17782.794100389234</c:v>
                </c:pt>
                <c:pt idx="325">
                  <c:v>18197.008586099837</c:v>
                </c:pt>
                <c:pt idx="326">
                  <c:v>18620.871366628675</c:v>
                </c:pt>
                <c:pt idx="327">
                  <c:v>19054.607179632505</c:v>
                </c:pt>
                <c:pt idx="328">
                  <c:v>19498.445997580486</c:v>
                </c:pt>
                <c:pt idx="329">
                  <c:v>19952.623149688792</c:v>
                </c:pt>
                <c:pt idx="330">
                  <c:v>20417.379446695286</c:v>
                </c:pt>
                <c:pt idx="331">
                  <c:v>20892.961308540423</c:v>
                </c:pt>
                <c:pt idx="332">
                  <c:v>21379.620895022348</c:v>
                </c:pt>
                <c:pt idx="333">
                  <c:v>21877.61623949555</c:v>
                </c:pt>
                <c:pt idx="334">
                  <c:v>22387.211385683382</c:v>
                </c:pt>
                <c:pt idx="335">
                  <c:v>22908.676527677751</c:v>
                </c:pt>
                <c:pt idx="336">
                  <c:v>23442.288153199243</c:v>
                </c:pt>
                <c:pt idx="337">
                  <c:v>23988.329190194923</c:v>
                </c:pt>
                <c:pt idx="338">
                  <c:v>24547.089156850321</c:v>
                </c:pt>
                <c:pt idx="339">
                  <c:v>25118.86431509586</c:v>
                </c:pt>
                <c:pt idx="340">
                  <c:v>25703.95782768865</c:v>
                </c:pt>
                <c:pt idx="341">
                  <c:v>26302.679918953829</c:v>
                </c:pt>
                <c:pt idx="342">
                  <c:v>26915.348039269167</c:v>
                </c:pt>
                <c:pt idx="343">
                  <c:v>27542.287033381719</c:v>
                </c:pt>
                <c:pt idx="344">
                  <c:v>28183.829312644593</c:v>
                </c:pt>
                <c:pt idx="345">
                  <c:v>28840.315031266062</c:v>
                </c:pt>
                <c:pt idx="346">
                  <c:v>29512.092266663854</c:v>
                </c:pt>
                <c:pt idx="347">
                  <c:v>30199.517204020212</c:v>
                </c:pt>
                <c:pt idx="348">
                  <c:v>30902.954325135954</c:v>
                </c:pt>
                <c:pt idx="349">
                  <c:v>31622.77660168384</c:v>
                </c:pt>
                <c:pt idx="350">
                  <c:v>32359.365692962871</c:v>
                </c:pt>
                <c:pt idx="351">
                  <c:v>33113.11214825909</c:v>
                </c:pt>
                <c:pt idx="352">
                  <c:v>33884.41561392029</c:v>
                </c:pt>
                <c:pt idx="353">
                  <c:v>34673.685045253202</c:v>
                </c:pt>
                <c:pt idx="354">
                  <c:v>35481.33892335758</c:v>
                </c:pt>
                <c:pt idx="355">
                  <c:v>36307.805477010232</c:v>
                </c:pt>
                <c:pt idx="356">
                  <c:v>37153.522909717351</c:v>
                </c:pt>
                <c:pt idx="357">
                  <c:v>38018.939632056143</c:v>
                </c:pt>
                <c:pt idx="358">
                  <c:v>38904.514499428085</c:v>
                </c:pt>
                <c:pt idx="359">
                  <c:v>39810.717055349742</c:v>
                </c:pt>
                <c:pt idx="360">
                  <c:v>40738.027780411358</c:v>
                </c:pt>
                <c:pt idx="361">
                  <c:v>41686.938347033625</c:v>
                </c:pt>
                <c:pt idx="362">
                  <c:v>42657.951880159271</c:v>
                </c:pt>
                <c:pt idx="363">
                  <c:v>43651.583224016598</c:v>
                </c:pt>
                <c:pt idx="364">
                  <c:v>44668.359215096389</c:v>
                </c:pt>
                <c:pt idx="365">
                  <c:v>45708.818961487581</c:v>
                </c:pt>
                <c:pt idx="366">
                  <c:v>46773.514128719893</c:v>
                </c:pt>
                <c:pt idx="367">
                  <c:v>47863.009232263823</c:v>
                </c:pt>
                <c:pt idx="368">
                  <c:v>48977.881936844598</c:v>
                </c:pt>
                <c:pt idx="369">
                  <c:v>50118.723362727294</c:v>
                </c:pt>
                <c:pt idx="370">
                  <c:v>51286.138399136544</c:v>
                </c:pt>
                <c:pt idx="371">
                  <c:v>52480.746024977314</c:v>
                </c:pt>
                <c:pt idx="372">
                  <c:v>53703.179637025423</c:v>
                </c:pt>
                <c:pt idx="373">
                  <c:v>54954.087385762505</c:v>
                </c:pt>
                <c:pt idx="374">
                  <c:v>56234.132519034953</c:v>
                </c:pt>
                <c:pt idx="375">
                  <c:v>57543.993733715732</c:v>
                </c:pt>
                <c:pt idx="376">
                  <c:v>58884.365535558936</c:v>
                </c:pt>
                <c:pt idx="377">
                  <c:v>60255.95860743591</c:v>
                </c:pt>
                <c:pt idx="378">
                  <c:v>61659.500186148245</c:v>
                </c:pt>
                <c:pt idx="379">
                  <c:v>63095.734448019342</c:v>
                </c:pt>
                <c:pt idx="380">
                  <c:v>64565.422903465682</c:v>
                </c:pt>
                <c:pt idx="381">
                  <c:v>66069.344800759733</c:v>
                </c:pt>
                <c:pt idx="382">
                  <c:v>67608.297539198305</c:v>
                </c:pt>
                <c:pt idx="383">
                  <c:v>69183.097091893651</c:v>
                </c:pt>
                <c:pt idx="384">
                  <c:v>70794.578438413781</c:v>
                </c:pt>
                <c:pt idx="385">
                  <c:v>72443.596007499116</c:v>
                </c:pt>
                <c:pt idx="386">
                  <c:v>74131.024130091857</c:v>
                </c:pt>
                <c:pt idx="387">
                  <c:v>75857.757502918481</c:v>
                </c:pt>
                <c:pt idx="388">
                  <c:v>77624.711662869129</c:v>
                </c:pt>
                <c:pt idx="389">
                  <c:v>79432.823472428237</c:v>
                </c:pt>
                <c:pt idx="390">
                  <c:v>81283.051616410012</c:v>
                </c:pt>
                <c:pt idx="391">
                  <c:v>83176.377110267174</c:v>
                </c:pt>
                <c:pt idx="392">
                  <c:v>85113.803820237721</c:v>
                </c:pt>
                <c:pt idx="393">
                  <c:v>87096.358995608127</c:v>
                </c:pt>
                <c:pt idx="394">
                  <c:v>89125.093813374609</c:v>
                </c:pt>
                <c:pt idx="395">
                  <c:v>91201.083935591028</c:v>
                </c:pt>
                <c:pt idx="396">
                  <c:v>93325.430079699145</c:v>
                </c:pt>
                <c:pt idx="397">
                  <c:v>95499.258602143804</c:v>
                </c:pt>
                <c:pt idx="398">
                  <c:v>97723.722095581266</c:v>
                </c:pt>
                <c:pt idx="399">
                  <c:v>100000</c:v>
                </c:pt>
                <c:pt idx="400">
                  <c:v>102329.29922807543</c:v>
                </c:pt>
                <c:pt idx="401">
                  <c:v>104712.85480508996</c:v>
                </c:pt>
                <c:pt idx="402">
                  <c:v>107151.93052376082</c:v>
                </c:pt>
                <c:pt idx="403">
                  <c:v>109647.81961431868</c:v>
                </c:pt>
                <c:pt idx="404">
                  <c:v>112201.84543019651</c:v>
                </c:pt>
                <c:pt idx="405">
                  <c:v>114815.36214968823</c:v>
                </c:pt>
                <c:pt idx="406">
                  <c:v>117489.75549395311</c:v>
                </c:pt>
                <c:pt idx="407">
                  <c:v>120226.44346174144</c:v>
                </c:pt>
                <c:pt idx="408">
                  <c:v>123026.87708123829</c:v>
                </c:pt>
                <c:pt idx="409">
                  <c:v>125892.54117941685</c:v>
                </c:pt>
                <c:pt idx="410">
                  <c:v>128824.95516931375</c:v>
                </c:pt>
                <c:pt idx="411">
                  <c:v>131825.67385564081</c:v>
                </c:pt>
                <c:pt idx="412">
                  <c:v>134896.28825916545</c:v>
                </c:pt>
                <c:pt idx="413">
                  <c:v>138038.42646028858</c:v>
                </c:pt>
                <c:pt idx="414">
                  <c:v>141253.75446227577</c:v>
                </c:pt>
                <c:pt idx="415">
                  <c:v>144543.97707459307</c:v>
                </c:pt>
                <c:pt idx="416">
                  <c:v>147910.83881682079</c:v>
                </c:pt>
                <c:pt idx="417">
                  <c:v>151356.12484362084</c:v>
                </c:pt>
                <c:pt idx="418">
                  <c:v>154881.66189124843</c:v>
                </c:pt>
                <c:pt idx="419">
                  <c:v>158489.31924611164</c:v>
                </c:pt>
                <c:pt idx="420">
                  <c:v>162181.00973589328</c:v>
                </c:pt>
                <c:pt idx="421">
                  <c:v>165958.69074375604</c:v>
                </c:pt>
                <c:pt idx="422">
                  <c:v>169824.36524617471</c:v>
                </c:pt>
                <c:pt idx="423">
                  <c:v>173780.0828749378</c:v>
                </c:pt>
                <c:pt idx="424">
                  <c:v>177827.94100389251</c:v>
                </c:pt>
                <c:pt idx="425">
                  <c:v>181970.08586099857</c:v>
                </c:pt>
                <c:pt idx="426">
                  <c:v>186208.71366628664</c:v>
                </c:pt>
                <c:pt idx="427">
                  <c:v>190546.07179632492</c:v>
                </c:pt>
                <c:pt idx="428">
                  <c:v>194984.45997580473</c:v>
                </c:pt>
                <c:pt idx="429">
                  <c:v>199526.23149688813</c:v>
                </c:pt>
                <c:pt idx="430">
                  <c:v>204173.79446695308</c:v>
                </c:pt>
                <c:pt idx="431">
                  <c:v>208929.61308540447</c:v>
                </c:pt>
                <c:pt idx="432">
                  <c:v>213796.20895022334</c:v>
                </c:pt>
                <c:pt idx="433">
                  <c:v>218776.16239495538</c:v>
                </c:pt>
                <c:pt idx="434">
                  <c:v>223872.11385683404</c:v>
                </c:pt>
                <c:pt idx="435">
                  <c:v>229086.76527677779</c:v>
                </c:pt>
                <c:pt idx="436">
                  <c:v>234422.88153199267</c:v>
                </c:pt>
                <c:pt idx="437">
                  <c:v>239883.29190194907</c:v>
                </c:pt>
                <c:pt idx="438">
                  <c:v>245470.89156850305</c:v>
                </c:pt>
                <c:pt idx="439">
                  <c:v>251188.64315095844</c:v>
                </c:pt>
                <c:pt idx="440">
                  <c:v>257039.57827688678</c:v>
                </c:pt>
                <c:pt idx="441">
                  <c:v>263026.79918953858</c:v>
                </c:pt>
                <c:pt idx="442">
                  <c:v>269153.48039269145</c:v>
                </c:pt>
                <c:pt idx="443">
                  <c:v>275422.87033381703</c:v>
                </c:pt>
                <c:pt idx="444">
                  <c:v>281838.29312644573</c:v>
                </c:pt>
                <c:pt idx="445">
                  <c:v>288403.1503126609</c:v>
                </c:pt>
                <c:pt idx="446">
                  <c:v>295120.92266663886</c:v>
                </c:pt>
                <c:pt idx="447">
                  <c:v>301995.17204020242</c:v>
                </c:pt>
                <c:pt idx="448">
                  <c:v>309029.54325135931</c:v>
                </c:pt>
                <c:pt idx="449">
                  <c:v>316227.7660168382</c:v>
                </c:pt>
                <c:pt idx="450">
                  <c:v>323593.65692962846</c:v>
                </c:pt>
                <c:pt idx="451">
                  <c:v>331131.12148259126</c:v>
                </c:pt>
                <c:pt idx="452">
                  <c:v>338844.15613920329</c:v>
                </c:pt>
                <c:pt idx="453">
                  <c:v>346736.85045253241</c:v>
                </c:pt>
                <c:pt idx="454">
                  <c:v>354813.38923357555</c:v>
                </c:pt>
                <c:pt idx="455">
                  <c:v>363078.05477010203</c:v>
                </c:pt>
                <c:pt idx="456">
                  <c:v>371535.2290971732</c:v>
                </c:pt>
                <c:pt idx="457">
                  <c:v>380189.39632056188</c:v>
                </c:pt>
                <c:pt idx="458">
                  <c:v>389045.14499428123</c:v>
                </c:pt>
                <c:pt idx="459">
                  <c:v>398107.17055349716</c:v>
                </c:pt>
                <c:pt idx="460">
                  <c:v>407380.27780411334</c:v>
                </c:pt>
                <c:pt idx="461">
                  <c:v>416869.38347033598</c:v>
                </c:pt>
                <c:pt idx="462">
                  <c:v>426579.51880159322</c:v>
                </c:pt>
                <c:pt idx="463">
                  <c:v>436515.83224016649</c:v>
                </c:pt>
                <c:pt idx="464">
                  <c:v>446683.59215096442</c:v>
                </c:pt>
                <c:pt idx="465">
                  <c:v>457088.18961487547</c:v>
                </c:pt>
                <c:pt idx="466">
                  <c:v>467735.14128719864</c:v>
                </c:pt>
                <c:pt idx="467">
                  <c:v>478630.09232263872</c:v>
                </c:pt>
                <c:pt idx="468">
                  <c:v>489778.81936844654</c:v>
                </c:pt>
                <c:pt idx="469">
                  <c:v>501187.23362727347</c:v>
                </c:pt>
                <c:pt idx="470">
                  <c:v>512861.38399136515</c:v>
                </c:pt>
                <c:pt idx="471">
                  <c:v>524807.46024977288</c:v>
                </c:pt>
                <c:pt idx="472">
                  <c:v>537031.7963702539</c:v>
                </c:pt>
                <c:pt idx="473">
                  <c:v>549540.87385762564</c:v>
                </c:pt>
                <c:pt idx="474">
                  <c:v>562341.32519035018</c:v>
                </c:pt>
                <c:pt idx="475">
                  <c:v>575439.93733715697</c:v>
                </c:pt>
                <c:pt idx="476">
                  <c:v>588843.65535558888</c:v>
                </c:pt>
                <c:pt idx="477">
                  <c:v>602559.58607435878</c:v>
                </c:pt>
                <c:pt idx="478">
                  <c:v>616595.00186148309</c:v>
                </c:pt>
                <c:pt idx="479">
                  <c:v>630957.34448019415</c:v>
                </c:pt>
                <c:pt idx="480">
                  <c:v>645654.22903465747</c:v>
                </c:pt>
                <c:pt idx="481">
                  <c:v>660693.44800759677</c:v>
                </c:pt>
                <c:pt idx="482">
                  <c:v>676082.97539198259</c:v>
                </c:pt>
                <c:pt idx="483">
                  <c:v>691830.97091893724</c:v>
                </c:pt>
                <c:pt idx="484">
                  <c:v>707945.78438413853</c:v>
                </c:pt>
                <c:pt idx="485">
                  <c:v>724435.96007499192</c:v>
                </c:pt>
                <c:pt idx="486">
                  <c:v>741310.24130091805</c:v>
                </c:pt>
                <c:pt idx="487">
                  <c:v>758577.57502918423</c:v>
                </c:pt>
                <c:pt idx="488">
                  <c:v>776247.11662869214</c:v>
                </c:pt>
                <c:pt idx="489">
                  <c:v>794328.23472428333</c:v>
                </c:pt>
                <c:pt idx="490">
                  <c:v>812830.51616410096</c:v>
                </c:pt>
                <c:pt idx="491">
                  <c:v>831763.77110267128</c:v>
                </c:pt>
                <c:pt idx="492">
                  <c:v>851138.03820237669</c:v>
                </c:pt>
                <c:pt idx="493">
                  <c:v>870963.58995608077</c:v>
                </c:pt>
                <c:pt idx="494">
                  <c:v>891250.93813374708</c:v>
                </c:pt>
                <c:pt idx="495">
                  <c:v>912010.83935591124</c:v>
                </c:pt>
                <c:pt idx="496">
                  <c:v>933254.30079699249</c:v>
                </c:pt>
                <c:pt idx="497">
                  <c:v>954992.58602143743</c:v>
                </c:pt>
                <c:pt idx="498">
                  <c:v>977237.22095581202</c:v>
                </c:pt>
                <c:pt idx="499">
                  <c:v>1000000</c:v>
                </c:pt>
                <c:pt idx="500">
                  <c:v>1023292.9922807553</c:v>
                </c:pt>
                <c:pt idx="501">
                  <c:v>1047128.5480509007</c:v>
                </c:pt>
                <c:pt idx="502">
                  <c:v>1071519.3052376076</c:v>
                </c:pt>
                <c:pt idx="503">
                  <c:v>1096478.196143186</c:v>
                </c:pt>
                <c:pt idx="504">
                  <c:v>1122018.4543019643</c:v>
                </c:pt>
                <c:pt idx="505">
                  <c:v>1148153.6214968837</c:v>
                </c:pt>
                <c:pt idx="506">
                  <c:v>1174897.5549395324</c:v>
                </c:pt>
                <c:pt idx="507">
                  <c:v>1202264.4346174158</c:v>
                </c:pt>
                <c:pt idx="508">
                  <c:v>1230268.770812382</c:v>
                </c:pt>
                <c:pt idx="509">
                  <c:v>1258925.4117941677</c:v>
                </c:pt>
                <c:pt idx="510">
                  <c:v>1288249.5516931366</c:v>
                </c:pt>
                <c:pt idx="511">
                  <c:v>1318256.7385564097</c:v>
                </c:pt>
                <c:pt idx="512">
                  <c:v>1348962.8825916562</c:v>
                </c:pt>
                <c:pt idx="513">
                  <c:v>1380384.2646028849</c:v>
                </c:pt>
                <c:pt idx="514">
                  <c:v>1412537.5446227565</c:v>
                </c:pt>
                <c:pt idx="515">
                  <c:v>1445439.7707459298</c:v>
                </c:pt>
                <c:pt idx="516">
                  <c:v>1479108.3881682095</c:v>
                </c:pt>
                <c:pt idx="517">
                  <c:v>1513561.2484362102</c:v>
                </c:pt>
                <c:pt idx="518">
                  <c:v>1548816.6189124861</c:v>
                </c:pt>
                <c:pt idx="519">
                  <c:v>1584893.1924611153</c:v>
                </c:pt>
                <c:pt idx="520">
                  <c:v>1621810.0973589318</c:v>
                </c:pt>
                <c:pt idx="521">
                  <c:v>1659586.9074375622</c:v>
                </c:pt>
                <c:pt idx="522">
                  <c:v>1698243.6524617488</c:v>
                </c:pt>
                <c:pt idx="523">
                  <c:v>1737800.8287493798</c:v>
                </c:pt>
                <c:pt idx="524">
                  <c:v>1778279.4100389241</c:v>
                </c:pt>
                <c:pt idx="525">
                  <c:v>1819700.8586099846</c:v>
                </c:pt>
                <c:pt idx="526">
                  <c:v>1862087.1366628683</c:v>
                </c:pt>
                <c:pt idx="527">
                  <c:v>1905460.7179632513</c:v>
                </c:pt>
                <c:pt idx="528">
                  <c:v>1949844.5997580495</c:v>
                </c:pt>
                <c:pt idx="529">
                  <c:v>1995262.31496888</c:v>
                </c:pt>
                <c:pt idx="530">
                  <c:v>2041737.9446695296</c:v>
                </c:pt>
                <c:pt idx="531">
                  <c:v>2089296.1308540432</c:v>
                </c:pt>
                <c:pt idx="532">
                  <c:v>2137962.0895022359</c:v>
                </c:pt>
                <c:pt idx="533">
                  <c:v>2187761.6239495561</c:v>
                </c:pt>
                <c:pt idx="534">
                  <c:v>2238721.1385683389</c:v>
                </c:pt>
                <c:pt idx="535">
                  <c:v>2290867.6527677765</c:v>
                </c:pt>
                <c:pt idx="536">
                  <c:v>2344228.8153199251</c:v>
                </c:pt>
                <c:pt idx="537">
                  <c:v>2398832.9190194933</c:v>
                </c:pt>
                <c:pt idx="538">
                  <c:v>2454708.915685033</c:v>
                </c:pt>
                <c:pt idx="539">
                  <c:v>2511886.431509587</c:v>
                </c:pt>
                <c:pt idx="540">
                  <c:v>2570395.782768866</c:v>
                </c:pt>
                <c:pt idx="541">
                  <c:v>2630267.9918953842</c:v>
                </c:pt>
              </c:numCache>
            </c:numRef>
          </c:xVal>
          <c:yVal>
            <c:numRef>
              <c:f>Control_Loop_Tables!$AC$19:$AC$560</c:f>
              <c:numCache>
                <c:formatCode>0.000</c:formatCode>
                <c:ptCount val="542"/>
                <c:pt idx="0">
                  <c:v>33.457536519867162</c:v>
                </c:pt>
                <c:pt idx="1">
                  <c:v>33.301323198296529</c:v>
                </c:pt>
                <c:pt idx="2">
                  <c:v>33.143555518786009</c:v>
                </c:pt>
                <c:pt idx="3">
                  <c:v>32.984274290078368</c:v>
                </c:pt>
                <c:pt idx="4">
                  <c:v>32.823520277231935</c:v>
                </c:pt>
                <c:pt idx="5">
                  <c:v>32.661334119905625</c:v>
                </c:pt>
                <c:pt idx="6">
                  <c:v>32.497756255460175</c:v>
                </c:pt>
                <c:pt idx="7">
                  <c:v>32.332826846967343</c:v>
                </c:pt>
                <c:pt idx="8">
                  <c:v>32.166585716174282</c:v>
                </c:pt>
                <c:pt idx="9">
                  <c:v>31.999072281434444</c:v>
                </c:pt>
                <c:pt idx="10">
                  <c:v>31.830325500578173</c:v>
                </c:pt>
                <c:pt idx="11">
                  <c:v>31.660383818666091</c:v>
                </c:pt>
                <c:pt idx="12">
                  <c:v>31.489285120537474</c:v>
                </c:pt>
                <c:pt idx="13">
                  <c:v>31.317066688043091</c:v>
                </c:pt>
                <c:pt idx="14">
                  <c:v>31.14376516182719</c:v>
                </c:pt>
                <c:pt idx="15">
                  <c:v>30.969416507507045</c:v>
                </c:pt>
                <c:pt idx="16">
                  <c:v>30.794055986081169</c:v>
                </c:pt>
                <c:pt idx="17">
                  <c:v>30.61771812838532</c:v>
                </c:pt>
                <c:pt idx="18">
                  <c:v>30.440436713405976</c:v>
                </c:pt>
                <c:pt idx="19">
                  <c:v>30.262244750252279</c:v>
                </c:pt>
                <c:pt idx="20">
                  <c:v>30.083174463584047</c:v>
                </c:pt>
                <c:pt idx="21">
                  <c:v>29.903257282289225</c:v>
                </c:pt>
                <c:pt idx="22">
                  <c:v>29.722523831204889</c:v>
                </c:pt>
                <c:pt idx="23">
                  <c:v>29.541003925674268</c:v>
                </c:pt>
                <c:pt idx="24">
                  <c:v>29.358726568738049</c:v>
                </c:pt>
                <c:pt idx="25">
                  <c:v>29.175719950757891</c:v>
                </c:pt>
                <c:pt idx="26">
                  <c:v>28.992011451278813</c:v>
                </c:pt>
                <c:pt idx="27">
                  <c:v>28.807627642939568</c:v>
                </c:pt>
                <c:pt idx="28">
                  <c:v>28.622594297248803</c:v>
                </c:pt>
                <c:pt idx="29">
                  <c:v>28.436936392051074</c:v>
                </c:pt>
                <c:pt idx="30">
                  <c:v>28.250678120514504</c:v>
                </c:pt>
                <c:pt idx="31">
                  <c:v>28.063842901479646</c:v>
                </c:pt>
                <c:pt idx="32">
                  <c:v>27.876453391018558</c:v>
                </c:pt>
                <c:pt idx="33">
                  <c:v>27.688531495059372</c:v>
                </c:pt>
                <c:pt idx="34">
                  <c:v>27.500098382942248</c:v>
                </c:pt>
                <c:pt idx="35">
                  <c:v>27.311174501779767</c:v>
                </c:pt>
                <c:pt idx="36">
                  <c:v>27.121779591503458</c:v>
                </c:pt>
                <c:pt idx="37">
                  <c:v>26.931932700486122</c:v>
                </c:pt>
                <c:pt idx="38">
                  <c:v>26.74165220163853</c:v>
                </c:pt>
                <c:pt idx="39">
                  <c:v>26.55095580888517</c:v>
                </c:pt>
                <c:pt idx="40">
                  <c:v>26.359860593933121</c:v>
                </c:pt>
                <c:pt idx="41">
                  <c:v>26.168383003253474</c:v>
                </c:pt>
                <c:pt idx="42">
                  <c:v>25.97653887520293</c:v>
                </c:pt>
                <c:pt idx="43">
                  <c:v>25.784343457219364</c:v>
                </c:pt>
                <c:pt idx="44">
                  <c:v>25.591811423030997</c:v>
                </c:pt>
                <c:pt idx="45">
                  <c:v>25.398956889824579</c:v>
                </c:pt>
                <c:pt idx="46">
                  <c:v>25.205793435324964</c:v>
                </c:pt>
                <c:pt idx="47">
                  <c:v>25.012334114741503</c:v>
                </c:pt>
                <c:pt idx="48">
                  <c:v>24.818591477542956</c:v>
                </c:pt>
                <c:pt idx="49">
                  <c:v>24.624577584027001</c:v>
                </c:pt>
                <c:pt idx="50">
                  <c:v>24.430304021653871</c:v>
                </c:pt>
                <c:pt idx="51">
                  <c:v>24.235781921118861</c:v>
                </c:pt>
                <c:pt idx="52">
                  <c:v>24.041021972140687</c:v>
                </c:pt>
                <c:pt idx="53">
                  <c:v>23.846034438946507</c:v>
                </c:pt>
                <c:pt idx="54">
                  <c:v>23.650829175438474</c:v>
                </c:pt>
                <c:pt idx="55">
                  <c:v>23.455415640027599</c:v>
                </c:pt>
                <c:pt idx="56">
                  <c:v>23.259802910125131</c:v>
                </c:pt>
                <c:pt idx="57">
                  <c:v>23.063999696282526</c:v>
                </c:pt>
                <c:pt idx="58">
                  <c:v>22.868014355974211</c:v>
                </c:pt>
                <c:pt idx="59">
                  <c:v>22.671854907018872</c:v>
                </c:pt>
                <c:pt idx="60">
                  <c:v>22.475529040636864</c:v>
                </c:pt>
                <c:pt idx="61">
                  <c:v>22.279044134142584</c:v>
                </c:pt>
                <c:pt idx="62">
                  <c:v>22.082407263272547</c:v>
                </c:pt>
                <c:pt idx="63">
                  <c:v>21.885625214150753</c:v>
                </c:pt>
                <c:pt idx="64">
                  <c:v>21.688704494894129</c:v>
                </c:pt>
                <c:pt idx="65">
                  <c:v>21.491651346862422</c:v>
                </c:pt>
                <c:pt idx="66">
                  <c:v>21.294471755556685</c:v>
                </c:pt>
                <c:pt idx="67">
                  <c:v>21.097171461171943</c:v>
                </c:pt>
                <c:pt idx="68">
                  <c:v>20.899755968810368</c:v>
                </c:pt>
                <c:pt idx="69">
                  <c:v>20.70223055836157</c:v>
                </c:pt>
                <c:pt idx="70">
                  <c:v>20.504600294057273</c:v>
                </c:pt>
                <c:pt idx="71">
                  <c:v>20.306870033708229</c:v>
                </c:pt>
                <c:pt idx="72">
                  <c:v>20.10904443763042</c:v>
                </c:pt>
                <c:pt idx="73">
                  <c:v>19.911127977269622</c:v>
                </c:pt>
                <c:pt idx="74">
                  <c:v>19.713124943533174</c:v>
                </c:pt>
                <c:pt idx="75">
                  <c:v>19.515039454836643</c:v>
                </c:pt>
                <c:pt idx="76">
                  <c:v>19.316875464874176</c:v>
                </c:pt>
                <c:pt idx="77">
                  <c:v>19.118636770122144</c:v>
                </c:pt>
                <c:pt idx="78">
                  <c:v>18.920327017085189</c:v>
                </c:pt>
                <c:pt idx="79">
                  <c:v>18.721949709292304</c:v>
                </c:pt>
                <c:pt idx="80">
                  <c:v>18.523508214052786</c:v>
                </c:pt>
                <c:pt idx="81">
                  <c:v>18.325005768981775</c:v>
                </c:pt>
                <c:pt idx="82">
                  <c:v>18.126445488302402</c:v>
                </c:pt>
                <c:pt idx="83">
                  <c:v>17.927830368935297</c:v>
                </c:pt>
                <c:pt idx="84">
                  <c:v>17.72916329638263</c:v>
                </c:pt>
                <c:pt idx="85">
                  <c:v>17.530447050416605</c:v>
                </c:pt>
                <c:pt idx="86">
                  <c:v>17.331684310580041</c:v>
                </c:pt>
                <c:pt idx="87">
                  <c:v>17.132877661508189</c:v>
                </c:pt>
                <c:pt idx="88">
                  <c:v>16.934029598079835</c:v>
                </c:pt>
                <c:pt idx="89">
                  <c:v>16.735142530405803</c:v>
                </c:pt>
                <c:pt idx="90">
                  <c:v>16.536218788662843</c:v>
                </c:pt>
                <c:pt idx="91">
                  <c:v>16.337260627781916</c:v>
                </c:pt>
                <c:pt idx="92">
                  <c:v>16.138270231996991</c:v>
                </c:pt>
                <c:pt idx="93">
                  <c:v>15.939249719263863</c:v>
                </c:pt>
                <c:pt idx="94">
                  <c:v>15.740201145555181</c:v>
                </c:pt>
                <c:pt idx="95">
                  <c:v>15.541126509040078</c:v>
                </c:pt>
                <c:pt idx="96">
                  <c:v>15.342027754155525</c:v>
                </c:pt>
                <c:pt idx="97">
                  <c:v>15.14290677557662</c:v>
                </c:pt>
                <c:pt idx="98">
                  <c:v>14.943765422092419</c:v>
                </c:pt>
                <c:pt idx="99">
                  <c:v>14.744605500395691</c:v>
                </c:pt>
                <c:pt idx="100">
                  <c:v>14.545428778792289</c:v>
                </c:pt>
                <c:pt idx="101">
                  <c:v>14.346236990837317</c:v>
                </c:pt>
                <c:pt idx="102">
                  <c:v>14.147031838905374</c:v>
                </c:pt>
                <c:pt idx="103">
                  <c:v>13.947814997700718</c:v>
                </c:pt>
                <c:pt idx="104">
                  <c:v>13.748588117714819</c:v>
                </c:pt>
                <c:pt idx="105">
                  <c:v>13.54935282863698</c:v>
                </c:pt>
                <c:pt idx="106">
                  <c:v>13.350110742725183</c:v>
                </c:pt>
                <c:pt idx="107">
                  <c:v>13.150863458143355</c:v>
                </c:pt>
                <c:pt idx="108">
                  <c:v>12.951612562271572</c:v>
                </c:pt>
                <c:pt idx="109">
                  <c:v>12.752359634994971</c:v>
                </c:pt>
                <c:pt idx="110">
                  <c:v>12.553106251978488</c:v>
                </c:pt>
                <c:pt idx="111">
                  <c:v>12.353853987933592</c:v>
                </c:pt>
                <c:pt idx="112">
                  <c:v>12.154604419882563</c:v>
                </c:pt>
                <c:pt idx="113">
                  <c:v>11.955359130427553</c:v>
                </c:pt>
                <c:pt idx="114">
                  <c:v>11.756119711030133</c:v>
                </c:pt>
                <c:pt idx="115">
                  <c:v>11.55688776530797</c:v>
                </c:pt>
                <c:pt idx="116">
                  <c:v>11.357664912354693</c:v>
                </c:pt>
                <c:pt idx="117">
                  <c:v>11.158452790089573</c:v>
                </c:pt>
                <c:pt idx="118">
                  <c:v>10.959253058642899</c:v>
                </c:pt>
                <c:pt idx="119">
                  <c:v>10.760067403784589</c:v>
                </c:pt>
                <c:pt idx="120">
                  <c:v>10.560897540401108</c:v>
                </c:pt>
                <c:pt idx="121">
                  <c:v>10.361745216028012</c:v>
                </c:pt>
                <c:pt idx="122">
                  <c:v>10.162612214445623</c:v>
                </c:pt>
                <c:pt idx="123">
                  <c:v>9.9635003593418467</c:v>
                </c:pt>
                <c:pt idx="124">
                  <c:v>9.7644115180524373</c:v>
                </c:pt>
                <c:pt idx="125">
                  <c:v>9.565347605382934</c:v>
                </c:pt>
                <c:pt idx="126">
                  <c:v>9.3663105875194237</c:v>
                </c:pt>
                <c:pt idx="127">
                  <c:v>9.1673024860373804</c:v>
                </c:pt>
                <c:pt idx="128">
                  <c:v>8.9683253820131785</c:v>
                </c:pt>
                <c:pt idx="129">
                  <c:v>8.7693814202464111</c:v>
                </c:pt>
                <c:pt idx="130">
                  <c:v>8.5704728136013131</c:v>
                </c:pt>
                <c:pt idx="131">
                  <c:v>8.3716018474732827</c:v>
                </c:pt>
                <c:pt idx="132">
                  <c:v>8.1727708843896067</c:v>
                </c:pt>
                <c:pt idx="133">
                  <c:v>7.9739823687504208</c:v>
                </c:pt>
                <c:pt idx="134">
                  <c:v>7.7752388317196193</c:v>
                </c:pt>
                <c:pt idx="135">
                  <c:v>7.5765428962722297</c:v>
                </c:pt>
                <c:pt idx="136">
                  <c:v>7.3778972824071651</c:v>
                </c:pt>
                <c:pt idx="137">
                  <c:v>7.1793048125327754</c:v>
                </c:pt>
                <c:pt idx="138">
                  <c:v>6.9807684170347581</c:v>
                </c:pt>
                <c:pt idx="139">
                  <c:v>6.7822911400334771</c:v>
                </c:pt>
                <c:pt idx="140">
                  <c:v>6.5838761453402785</c:v>
                </c:pt>
                <c:pt idx="141">
                  <c:v>6.3855267226202859</c:v>
                </c:pt>
                <c:pt idx="142">
                  <c:v>6.1872462937718087</c:v>
                </c:pt>
                <c:pt idx="143">
                  <c:v>5.9890384195298392</c:v>
                </c:pt>
                <c:pt idx="144">
                  <c:v>5.7909068063028712</c:v>
                </c:pt>
                <c:pt idx="145">
                  <c:v>5.5928553132518779</c:v>
                </c:pt>
                <c:pt idx="146">
                  <c:v>5.3948879596203438</c:v>
                </c:pt>
                <c:pt idx="147">
                  <c:v>5.1970089323238575</c:v>
                </c:pt>
                <c:pt idx="148">
                  <c:v>4.9992225938080477</c:v>
                </c:pt>
                <c:pt idx="149">
                  <c:v>4.8015334901838234</c:v>
                </c:pt>
                <c:pt idx="150">
                  <c:v>4.6039463596477086</c:v>
                </c:pt>
                <c:pt idx="151">
                  <c:v>4.4064661411964021</c:v>
                </c:pt>
                <c:pt idx="152">
                  <c:v>4.2090979836433178</c:v>
                </c:pt>
                <c:pt idx="153">
                  <c:v>4.0118472549443815</c:v>
                </c:pt>
                <c:pt idx="154">
                  <c:v>3.814719551841661</c:v>
                </c:pt>
                <c:pt idx="155">
                  <c:v>3.617720709831211</c:v>
                </c:pt>
                <c:pt idx="156">
                  <c:v>3.4208568134619535</c:v>
                </c:pt>
                <c:pt idx="157">
                  <c:v>3.2241342069711818</c:v>
                </c:pt>
                <c:pt idx="158">
                  <c:v>3.0275595052631159</c:v>
                </c:pt>
                <c:pt idx="159">
                  <c:v>2.8311396052344504</c:v>
                </c:pt>
                <c:pt idx="160">
                  <c:v>2.6348816974505338</c:v>
                </c:pt>
                <c:pt idx="161">
                  <c:v>2.438793278175865</c:v>
                </c:pt>
                <c:pt idx="162">
                  <c:v>2.2428821617601633</c:v>
                </c:pt>
                <c:pt idx="163">
                  <c:v>2.0471564933803981</c:v>
                </c:pt>
                <c:pt idx="164">
                  <c:v>1.8516247621382962</c:v>
                </c:pt>
                <c:pt idx="165">
                  <c:v>1.6562958145113833</c:v>
                </c:pt>
                <c:pt idx="166">
                  <c:v>1.4611788681524132</c:v>
                </c:pt>
                <c:pt idx="167">
                  <c:v>1.2662835260321101</c:v>
                </c:pt>
                <c:pt idx="168">
                  <c:v>1.0716197909174872</c:v>
                </c:pt>
                <c:pt idx="169">
                  <c:v>0.87719808017448997</c:v>
                </c:pt>
                <c:pt idx="170">
                  <c:v>0.68302924088259453</c:v>
                </c:pt>
                <c:pt idx="171">
                  <c:v>0.48912456524644427</c:v>
                </c:pt>
                <c:pt idx="172">
                  <c:v>0.29549580628516969</c:v>
                </c:pt>
                <c:pt idx="173">
                  <c:v>0.10215519377729795</c:v>
                </c:pt>
                <c:pt idx="174">
                  <c:v>-9.088454956291997E-2</c:v>
                </c:pt>
                <c:pt idx="175">
                  <c:v>-0.2836101917074404</c:v>
                </c:pt>
                <c:pt idx="176">
                  <c:v>-0.47600797476901824</c:v>
                </c:pt>
                <c:pt idx="177">
                  <c:v>-0.66806359832511975</c:v>
                </c:pt>
                <c:pt idx="178">
                  <c:v>-0.85976220265291348</c:v>
                </c:pt>
                <c:pt idx="179">
                  <c:v>-1.051088351925316</c:v>
                </c:pt>
                <c:pt idx="180">
                  <c:v>-1.2420260174195896</c:v>
                </c:pt>
                <c:pt idx="181">
                  <c:v>-1.4325585607971716</c:v>
                </c:pt>
                <c:pt idx="182">
                  <c:v>-1.6226687175208774</c:v>
                </c:pt>
                <c:pt idx="183">
                  <c:v>-1.8123385804799386</c:v>
                </c:pt>
                <c:pt idx="184">
                  <c:v>-2.0015495839016495</c:v>
                </c:pt>
                <c:pt idx="185">
                  <c:v>-2.1902824876351938</c:v>
                </c:pt>
                <c:pt idx="186">
                  <c:v>-2.3785173618996898</c:v>
                </c:pt>
                <c:pt idx="187">
                  <c:v>-2.5662335725977634</c:v>
                </c:pt>
                <c:pt idx="188">
                  <c:v>-2.7534097673026832</c:v>
                </c:pt>
                <c:pt idx="189">
                  <c:v>-2.9400238620354031</c:v>
                </c:pt>
                <c:pt idx="190">
                  <c:v>-3.1260530289575605</c:v>
                </c:pt>
                <c:pt idx="191">
                  <c:v>-3.3114736851122184</c:v>
                </c:pt>
                <c:pt idx="192">
                  <c:v>-3.4962614823558309</c:v>
                </c:pt>
                <c:pt idx="193">
                  <c:v>-3.6803912986308287</c:v>
                </c:pt>
                <c:pt idx="194">
                  <c:v>-3.8638372307375244</c:v>
                </c:pt>
                <c:pt idx="195">
                  <c:v>-4.0465725887729382</c:v>
                </c:pt>
                <c:pt idx="196">
                  <c:v>-4.2285698924106176</c:v>
                </c:pt>
                <c:pt idx="197">
                  <c:v>-4.4098008692042887</c:v>
                </c:pt>
                <c:pt idx="198">
                  <c:v>-4.5902364551022901</c:v>
                </c:pt>
                <c:pt idx="199">
                  <c:v>-4.7698467973718088</c:v>
                </c:pt>
                <c:pt idx="200">
                  <c:v>-4.9486012601277656</c:v>
                </c:pt>
                <c:pt idx="201">
                  <c:v>-5.1264684326762104</c:v>
                </c:pt>
                <c:pt idx="202">
                  <c:v>-5.3034161408741953</c:v>
                </c:pt>
                <c:pt idx="203">
                  <c:v>-5.47941146171972</c:v>
                </c:pt>
                <c:pt idx="204">
                  <c:v>-5.6544207413762448</c:v>
                </c:pt>
                <c:pt idx="205">
                  <c:v>-5.8284096168400854</c:v>
                </c:pt>
                <c:pt idx="206">
                  <c:v>-6.0013430414531825</c:v>
                </c:pt>
                <c:pt idx="207">
                  <c:v>-6.1731853144553455</c:v>
                </c:pt>
                <c:pt idx="208">
                  <c:v>-6.3439001147644412</c:v>
                </c:pt>
                <c:pt idx="209">
                  <c:v>-6.5134505391590327</c:v>
                </c:pt>
                <c:pt idx="210">
                  <c:v>-6.6817991450243426</c:v>
                </c:pt>
                <c:pt idx="211">
                  <c:v>-6.8489079978037637</c:v>
                </c:pt>
                <c:pt idx="212">
                  <c:v>-7.0147387232797618</c:v>
                </c:pt>
                <c:pt idx="213">
                  <c:v>-7.1792525647810637</c:v>
                </c:pt>
                <c:pt idx="214">
                  <c:v>-7.3424104453869008</c:v>
                </c:pt>
                <c:pt idx="215">
                  <c:v>-7.5041730351689022</c:v>
                </c:pt>
                <c:pt idx="216">
                  <c:v>-7.6645008234744392</c:v>
                </c:pt>
                <c:pt idx="217">
                  <c:v>-7.8233541962204658</c:v>
                </c:pt>
                <c:pt idx="218">
                  <c:v>-7.9806935181235019</c:v>
                </c:pt>
                <c:pt idx="219">
                  <c:v>-8.1364792197489244</c:v>
                </c:pt>
                <c:pt idx="220">
                  <c:v>-8.2906718892162239</c:v>
                </c:pt>
                <c:pt idx="221">
                  <c:v>-8.4432323683459725</c:v>
                </c:pt>
                <c:pt idx="222">
                  <c:v>-8.5941218529866568</c:v>
                </c:pt>
                <c:pt idx="223">
                  <c:v>-8.7433019972046431</c:v>
                </c:pt>
                <c:pt idx="224">
                  <c:v>-8.890735020968151</c:v>
                </c:pt>
                <c:pt idx="225">
                  <c:v>-9.0363838209040797</c:v>
                </c:pt>
                <c:pt idx="226">
                  <c:v>-9.1802120836541299</c:v>
                </c:pt>
                <c:pt idx="227">
                  <c:v>-9.3221844013023638</c:v>
                </c:pt>
                <c:pt idx="228">
                  <c:v>-9.4622663883039255</c:v>
                </c:pt>
                <c:pt idx="229">
                  <c:v>-9.6004247992935738</c:v>
                </c:pt>
                <c:pt idx="230">
                  <c:v>-9.7366276471142399</c:v>
                </c:pt>
                <c:pt idx="231">
                  <c:v>-9.8708443203687732</c:v>
                </c:pt>
                <c:pt idx="232">
                  <c:v>-10.003045699768334</c:v>
                </c:pt>
                <c:pt idx="233">
                  <c:v>-10.133204272526839</c:v>
                </c:pt>
                <c:pt idx="234">
                  <c:v>-10.261294244033339</c:v>
                </c:pt>
                <c:pt idx="235">
                  <c:v>-10.387291646029785</c:v>
                </c:pt>
                <c:pt idx="236">
                  <c:v>-10.511174440518134</c:v>
                </c:pt>
                <c:pt idx="237">
                  <c:v>-10.632922618634211</c:v>
                </c:pt>
                <c:pt idx="238">
                  <c:v>-10.752518293742785</c:v>
                </c:pt>
                <c:pt idx="239">
                  <c:v>-10.869945788038155</c:v>
                </c:pt>
                <c:pt idx="240">
                  <c:v>-10.985191711972988</c:v>
                </c:pt>
                <c:pt idx="241">
                  <c:v>-11.098245035885693</c:v>
                </c:pt>
                <c:pt idx="242">
                  <c:v>-11.209097153251983</c:v>
                </c:pt>
                <c:pt idx="243">
                  <c:v>-11.317741935052513</c:v>
                </c:pt>
                <c:pt idx="244">
                  <c:v>-11.424175774818536</c:v>
                </c:pt>
                <c:pt idx="245">
                  <c:v>-11.528397623997076</c:v>
                </c:pt>
                <c:pt idx="246">
                  <c:v>-11.630409017359337</c:v>
                </c:pt>
                <c:pt idx="247">
                  <c:v>-11.730214088264152</c:v>
                </c:pt>
                <c:pt idx="248">
                  <c:v>-11.827819573678207</c:v>
                </c:pt>
                <c:pt idx="249">
                  <c:v>-11.923234808945992</c:v>
                </c:pt>
                <c:pt idx="250">
                  <c:v>-12.016471712392722</c:v>
                </c:pt>
                <c:pt idx="251">
                  <c:v>-12.107544759935271</c:v>
                </c:pt>
                <c:pt idx="252">
                  <c:v>-12.196470949959075</c:v>
                </c:pt>
                <c:pt idx="253">
                  <c:v>-12.283269758804376</c:v>
                </c:pt>
                <c:pt idx="254">
                  <c:v>-12.367963087280538</c:v>
                </c:pt>
                <c:pt idx="255">
                  <c:v>-12.45057519869553</c:v>
                </c:pt>
                <c:pt idx="256">
                  <c:v>-12.531132648952561</c:v>
                </c:pt>
                <c:pt idx="257">
                  <c:v>-12.60966420931773</c:v>
                </c:pt>
                <c:pt idx="258">
                  <c:v>-12.686200782507537</c:v>
                </c:pt>
                <c:pt idx="259">
                  <c:v>-12.760775312781563</c:v>
                </c:pt>
                <c:pt idx="260">
                  <c:v>-12.833422690748847</c:v>
                </c:pt>
                <c:pt idx="261">
                  <c:v>-12.904179653613948</c:v>
                </c:pt>
                <c:pt idx="262">
                  <c:v>-12.973084681595397</c:v>
                </c:pt>
                <c:pt idx="263">
                  <c:v>-13.04017789124277</c:v>
                </c:pt>
                <c:pt idx="264">
                  <c:v>-13.105500926369659</c:v>
                </c:pt>
                <c:pt idx="265">
                  <c:v>-13.169096847298174</c:v>
                </c:pt>
                <c:pt idx="266">
                  <c:v>-13.231010019081161</c:v>
                </c:pt>
                <c:pt idx="267">
                  <c:v>-13.291285999335749</c:v>
                </c:pt>
                <c:pt idx="268">
                  <c:v>-13.349971426278218</c:v>
                </c:pt>
                <c:pt idx="269">
                  <c:v>-13.407113907506718</c:v>
                </c:pt>
                <c:pt idx="270">
                  <c:v>-13.46276191002568</c:v>
                </c:pt>
                <c:pt idx="271">
                  <c:v>-13.516964651954504</c:v>
                </c:pt>
                <c:pt idx="272">
                  <c:v>-13.569771996306223</c:v>
                </c:pt>
                <c:pt idx="273">
                  <c:v>-13.621234347165686</c:v>
                </c:pt>
                <c:pt idx="274">
                  <c:v>-13.671402548539074</c:v>
                </c:pt>
                <c:pt idx="275">
                  <c:v>-13.720327786088259</c:v>
                </c:pt>
                <c:pt idx="276">
                  <c:v>-13.768061491911439</c:v>
                </c:pt>
                <c:pt idx="277">
                  <c:v>-13.814655252471777</c:v>
                </c:pt>
                <c:pt idx="278">
                  <c:v>-13.860160719728912</c:v>
                </c:pt>
                <c:pt idx="279">
                  <c:v>-13.904629525476203</c:v>
                </c:pt>
                <c:pt idx="280">
                  <c:v>-13.948113198843256</c:v>
                </c:pt>
                <c:pt idx="281">
                  <c:v>-13.990663086880154</c:v>
                </c:pt>
                <c:pt idx="282">
                  <c:v>-14.032330278103512</c:v>
                </c:pt>
                <c:pt idx="283">
                  <c:v>-14.07316552885055</c:v>
                </c:pt>
                <c:pt idx="284">
                  <c:v>-14.113219192261095</c:v>
                </c:pt>
                <c:pt idx="285">
                  <c:v>-14.152541149681635</c:v>
                </c:pt>
                <c:pt idx="286">
                  <c:v>-14.191180744268507</c:v>
                </c:pt>
                <c:pt idx="287">
                  <c:v>-14.229186716554207</c:v>
                </c:pt>
                <c:pt idx="288">
                  <c:v>-14.266607141732813</c:v>
                </c:pt>
                <c:pt idx="289">
                  <c:v>-14.303489368415352</c:v>
                </c:pt>
                <c:pt idx="290">
                  <c:v>-14.33987995861205</c:v>
                </c:pt>
                <c:pt idx="291">
                  <c:v>-14.375824628701068</c:v>
                </c:pt>
                <c:pt idx="292">
                  <c:v>-14.411368191159672</c:v>
                </c:pt>
                <c:pt idx="293">
                  <c:v>-14.446554496847355</c:v>
                </c:pt>
                <c:pt idx="294">
                  <c:v>-14.481426377655959</c:v>
                </c:pt>
                <c:pt idx="295">
                  <c:v>-14.516025589364192</c:v>
                </c:pt>
                <c:pt idx="296">
                  <c:v>-14.550392754568854</c:v>
                </c:pt>
                <c:pt idx="297">
                  <c:v>-14.584567305596707</c:v>
                </c:pt>
                <c:pt idx="298">
                  <c:v>-14.618587427343186</c:v>
                </c:pt>
                <c:pt idx="299">
                  <c:v>-14.652490000022851</c:v>
                </c:pt>
                <c:pt idx="300">
                  <c:v>-14.68631054186547</c:v>
                </c:pt>
                <c:pt idx="301">
                  <c:v>-14.720083151837892</c:v>
                </c:pt>
                <c:pt idx="302">
                  <c:v>-14.753840452522024</c:v>
                </c:pt>
                <c:pt idx="303">
                  <c:v>-14.787613533333756</c:v>
                </c:pt>
                <c:pt idx="304">
                  <c:v>-14.821431894316127</c:v>
                </c:pt>
                <c:pt idx="305">
                  <c:v>-14.855323390798702</c:v>
                </c:pt>
                <c:pt idx="306">
                  <c:v>-14.889314179262501</c:v>
                </c:pt>
                <c:pt idx="307">
                  <c:v>-14.923428664803655</c:v>
                </c:pt>
                <c:pt idx="308">
                  <c:v>-14.95768945063805</c:v>
                </c:pt>
                <c:pt idx="309">
                  <c:v>-14.992117290132782</c:v>
                </c:pt>
                <c:pt idx="310">
                  <c:v>-15.026731041892861</c:v>
                </c:pt>
                <c:pt idx="311">
                  <c:v>-15.061547628467093</c:v>
                </c:pt>
                <c:pt idx="312">
                  <c:v>-15.096581999266066</c:v>
                </c:pt>
                <c:pt idx="313">
                  <c:v>-15.131847098308741</c:v>
                </c:pt>
                <c:pt idx="314">
                  <c:v>-15.167353837426777</c:v>
                </c:pt>
                <c:pt idx="315">
                  <c:v>-15.203111075561466</c:v>
                </c:pt>
                <c:pt idx="316">
                  <c:v>-15.239125604782569</c:v>
                </c:pt>
                <c:pt idx="317">
                  <c:v>-15.275402143644074</c:v>
                </c:pt>
                <c:pt idx="318">
                  <c:v>-15.311943338463694</c:v>
                </c:pt>
                <c:pt idx="319">
                  <c:v>-15.348749773076557</c:v>
                </c:pt>
                <c:pt idx="320">
                  <c:v>-15.385819987563156</c:v>
                </c:pt>
                <c:pt idx="321">
                  <c:v>-15.423150506391391</c:v>
                </c:pt>
                <c:pt idx="322">
                  <c:v>-15.460735876341566</c:v>
                </c:pt>
                <c:pt idx="323">
                  <c:v>-15.498568714499051</c:v>
                </c:pt>
                <c:pt idx="324">
                  <c:v>-15.536639766510209</c:v>
                </c:pt>
                <c:pt idx="325">
                  <c:v>-15.574937975196159</c:v>
                </c:pt>
                <c:pt idx="326">
                  <c:v>-15.613450559510495</c:v>
                </c:pt>
                <c:pt idx="327">
                  <c:v>-15.652163103717022</c:v>
                </c:pt>
                <c:pt idx="328">
                  <c:v>-15.691059656545756</c:v>
                </c:pt>
                <c:pt idx="329">
                  <c:v>-15.730122839967095</c:v>
                </c:pt>
                <c:pt idx="330">
                  <c:v>-15.769333967107666</c:v>
                </c:pt>
                <c:pt idx="331">
                  <c:v>-15.808673168715469</c:v>
                </c:pt>
                <c:pt idx="332">
                  <c:v>-15.848119527470409</c:v>
                </c:pt>
                <c:pt idx="333">
                  <c:v>-15.887651219334556</c:v>
                </c:pt>
                <c:pt idx="334">
                  <c:v>-15.927245661039933</c:v>
                </c:pt>
                <c:pt idx="335">
                  <c:v>-15.966879662728031</c:v>
                </c:pt>
                <c:pt idx="336">
                  <c:v>-16.006529584684102</c:v>
                </c:pt>
                <c:pt idx="337">
                  <c:v>-16.046171497051049</c:v>
                </c:pt>
                <c:pt idx="338">
                  <c:v>-16.085781341366918</c:v>
                </c:pt>
                <c:pt idx="339">
                  <c:v>-16.125335092742421</c:v>
                </c:pt>
                <c:pt idx="340">
                  <c:v>-16.164808921486816</c:v>
                </c:pt>
                <c:pt idx="341">
                  <c:v>-16.204179352998487</c:v>
                </c:pt>
                <c:pt idx="342">
                  <c:v>-16.243423424760213</c:v>
                </c:pt>
                <c:pt idx="343">
                  <c:v>-16.282518839320328</c:v>
                </c:pt>
                <c:pt idx="344">
                  <c:v>-16.321444112199206</c:v>
                </c:pt>
                <c:pt idx="345">
                  <c:v>-16.360178713727272</c:v>
                </c:pt>
                <c:pt idx="346">
                  <c:v>-16.39870320390785</c:v>
                </c:pt>
                <c:pt idx="347">
                  <c:v>-16.436999359491374</c:v>
                </c:pt>
                <c:pt idx="348">
                  <c:v>-16.475050292549195</c:v>
                </c:pt>
                <c:pt idx="349">
                  <c:v>-16.512840559949371</c:v>
                </c:pt>
                <c:pt idx="350">
                  <c:v>-16.550356263249217</c:v>
                </c:pt>
                <c:pt idx="351">
                  <c:v>-16.587585138640229</c:v>
                </c:pt>
                <c:pt idx="352">
                  <c:v>-16.624516636696583</c:v>
                </c:pt>
                <c:pt idx="353">
                  <c:v>-16.661141991801628</c:v>
                </c:pt>
                <c:pt idx="354">
                  <c:v>-16.69745428123445</c:v>
                </c:pt>
                <c:pt idx="355">
                  <c:v>-16.733448474010526</c:v>
                </c:pt>
                <c:pt idx="356">
                  <c:v>-16.76912146967409</c:v>
                </c:pt>
                <c:pt idx="357">
                  <c:v>-16.804472127329404</c:v>
                </c:pt>
                <c:pt idx="358">
                  <c:v>-16.839501285285937</c:v>
                </c:pt>
                <c:pt idx="359">
                  <c:v>-16.874211771765268</c:v>
                </c:pt>
                <c:pt idx="360">
                  <c:v>-16.908608407180026</c:v>
                </c:pt>
                <c:pt idx="361">
                  <c:v>-16.942697998548049</c:v>
                </c:pt>
                <c:pt idx="362">
                  <c:v>-16.976489326646245</c:v>
                </c:pt>
                <c:pt idx="363">
                  <c:v>-17.009993126534145</c:v>
                </c:pt>
                <c:pt idx="364">
                  <c:v>-17.043222062100853</c:v>
                </c:pt>
                <c:pt idx="365">
                  <c:v>-17.076190695290503</c:v>
                </c:pt>
                <c:pt idx="366">
                  <c:v>-17.108915450663879</c:v>
                </c:pt>
                <c:pt idx="367">
                  <c:v>-17.141414575938192</c:v>
                </c:pt>
                <c:pt idx="368">
                  <c:v>-17.173708099130188</c:v>
                </c:pt>
                <c:pt idx="369">
                  <c:v>-17.205817782898105</c:v>
                </c:pt>
                <c:pt idx="370">
                  <c:v>-17.237767076643856</c:v>
                </c:pt>
                <c:pt idx="371">
                  <c:v>-17.269581066898766</c:v>
                </c:pt>
                <c:pt idx="372">
                  <c:v>-17.301286426471055</c:v>
                </c:pt>
                <c:pt idx="373">
                  <c:v>-17.332911362784863</c:v>
                </c:pt>
                <c:pt idx="374">
                  <c:v>-17.364485565792723</c:v>
                </c:pt>
                <c:pt idx="375">
                  <c:v>-17.396040155787254</c:v>
                </c:pt>
                <c:pt idx="376">
                  <c:v>-17.427607631390583</c:v>
                </c:pt>
                <c:pt idx="377">
                  <c:v>-17.459221817940371</c:v>
                </c:pt>
                <c:pt idx="378">
                  <c:v>-17.490917816442856</c:v>
                </c:pt>
                <c:pt idx="379">
                  <c:v>-17.522731953211025</c:v>
                </c:pt>
                <c:pt idx="380">
                  <c:v>-17.554701730255356</c:v>
                </c:pt>
                <c:pt idx="381">
                  <c:v>-17.58686577644573</c:v>
                </c:pt>
                <c:pt idx="382">
                  <c:v>-17.619263799420516</c:v>
                </c:pt>
                <c:pt idx="383">
                  <c:v>-17.65193653817386</c:v>
                </c:pt>
                <c:pt idx="384">
                  <c:v>-17.684925716214501</c:v>
                </c:pt>
                <c:pt idx="385">
                  <c:v>-17.71827399515297</c:v>
                </c:pt>
                <c:pt idx="386">
                  <c:v>-17.75202492854168</c:v>
                </c:pt>
                <c:pt idx="387">
                  <c:v>-17.786222915764284</c:v>
                </c:pt>
                <c:pt idx="388">
                  <c:v>-17.820913155747725</c:v>
                </c:pt>
                <c:pt idx="389">
                  <c:v>-17.856141600246843</c:v>
                </c:pt>
                <c:pt idx="390">
                  <c:v>-17.891954906437601</c:v>
                </c:pt>
                <c:pt idx="391">
                  <c:v>-17.928400388544095</c:v>
                </c:pt>
                <c:pt idx="392">
                  <c:v>-17.965525968213697</c:v>
                </c:pt>
                <c:pt idx="393">
                  <c:v>-18.003380123354134</c:v>
                </c:pt>
                <c:pt idx="394">
                  <c:v>-18.042011835147044</c:v>
                </c:pt>
                <c:pt idx="395">
                  <c:v>-18.081470532957262</c:v>
                </c:pt>
                <c:pt idx="396">
                  <c:v>-18.121806036869618</c:v>
                </c:pt>
                <c:pt idx="397">
                  <c:v>-18.163068497595493</c:v>
                </c:pt>
                <c:pt idx="398">
                  <c:v>-18.205308333517664</c:v>
                </c:pt>
                <c:pt idx="399">
                  <c:v>-18.248576164656932</c:v>
                </c:pt>
                <c:pt idx="400">
                  <c:v>-18.292922743380178</c:v>
                </c:pt>
                <c:pt idx="401">
                  <c:v>-18.338398881696236</c:v>
                </c:pt>
                <c:pt idx="402">
                  <c:v>-18.385055375025573</c:v>
                </c:pt>
                <c:pt idx="403">
                  <c:v>-18.432942922368532</c:v>
                </c:pt>
                <c:pt idx="404">
                  <c:v>-18.482112042843649</c:v>
                </c:pt>
                <c:pt idx="405">
                  <c:v>-18.532612988609635</c:v>
                </c:pt>
                <c:pt idx="406">
                  <c:v>-18.584495654242883</c:v>
                </c:pt>
                <c:pt idx="407">
                  <c:v>-18.637809482688738</c:v>
                </c:pt>
                <c:pt idx="408">
                  <c:v>-18.692603367964026</c:v>
                </c:pt>
                <c:pt idx="409">
                  <c:v>-18.748925554842362</c:v>
                </c:pt>
                <c:pt idx="410">
                  <c:v>-18.806823535815241</c:v>
                </c:pt>
                <c:pt idx="411">
                  <c:v>-18.866343945673847</c:v>
                </c:pt>
                <c:pt idx="412">
                  <c:v>-18.927532454119333</c:v>
                </c:pt>
                <c:pt idx="413">
                  <c:v>-18.990433656860645</c:v>
                </c:pt>
                <c:pt idx="414">
                  <c:v>-19.055090965713468</c:v>
                </c:pt>
                <c:pt idx="415">
                  <c:v>-19.121546498265147</c:v>
                </c:pt>
                <c:pt idx="416">
                  <c:v>-19.189840967712311</c:v>
                </c:pt>
                <c:pt idx="417">
                  <c:v>-19.260013573521974</c:v>
                </c:pt>
                <c:pt idx="418">
                  <c:v>-19.332101893598839</c:v>
                </c:pt>
                <c:pt idx="419">
                  <c:v>-19.406141778670111</c:v>
                </c:pt>
                <c:pt idx="420">
                  <c:v>-19.482167249618506</c:v>
                </c:pt>
                <c:pt idx="421">
                  <c:v>-19.560210398504697</c:v>
                </c:pt>
                <c:pt idx="422">
                  <c:v>-19.640301294025051</c:v>
                </c:pt>
                <c:pt idx="423">
                  <c:v>-19.722467892141101</c:v>
                </c:pt>
                <c:pt idx="424">
                  <c:v>-19.806735952601876</c:v>
                </c:pt>
                <c:pt idx="425">
                  <c:v>-19.893128962054565</c:v>
                </c:pt>
                <c:pt idx="426">
                  <c:v>-19.981668064400765</c:v>
                </c:pt>
                <c:pt idx="427">
                  <c:v>-20.072371999012706</c:v>
                </c:pt>
                <c:pt idx="428">
                  <c:v>-20.165257047366442</c:v>
                </c:pt>
                <c:pt idx="429">
                  <c:v>-20.260336988589302</c:v>
                </c:pt>
                <c:pt idx="430">
                  <c:v>-20.357623064344807</c:v>
                </c:pt>
                <c:pt idx="431">
                  <c:v>-20.457123953403837</c:v>
                </c:pt>
                <c:pt idx="432">
                  <c:v>-20.558845756166395</c:v>
                </c:pt>
                <c:pt idx="433">
                  <c:v>-20.662791989312623</c:v>
                </c:pt>
                <c:pt idx="434">
                  <c:v>-20.768963590670072</c:v>
                </c:pt>
                <c:pt idx="435">
                  <c:v>-20.877358934294374</c:v>
                </c:pt>
                <c:pt idx="436">
                  <c:v>-20.987973855667327</c:v>
                </c:pt>
                <c:pt idx="437">
                  <c:v>-21.100801686827225</c:v>
                </c:pt>
                <c:pt idx="438">
                  <c:v>-21.215833301157904</c:v>
                </c:pt>
                <c:pt idx="439">
                  <c:v>-21.333057167478731</c:v>
                </c:pt>
                <c:pt idx="440">
                  <c:v>-21.452459413001158</c:v>
                </c:pt>
                <c:pt idx="441">
                  <c:v>-21.574023894644011</c:v>
                </c:pt>
                <c:pt idx="442">
                  <c:v>-21.697732278134566</c:v>
                </c:pt>
                <c:pt idx="443">
                  <c:v>-21.823564124268557</c:v>
                </c:pt>
                <c:pt idx="444">
                  <c:v>-21.951496981651477</c:v>
                </c:pt>
                <c:pt idx="445">
                  <c:v>-22.081506485207207</c:v>
                </c:pt>
                <c:pt idx="446">
                  <c:v>-22.213566459710616</c:v>
                </c:pt>
                <c:pt idx="447">
                  <c:v>-22.347649027580545</c:v>
                </c:pt>
                <c:pt idx="448">
                  <c:v>-22.483724720160513</c:v>
                </c:pt>
                <c:pt idx="449">
                  <c:v>-22.621762591714788</c:v>
                </c:pt>
                <c:pt idx="450">
                  <c:v>-22.761730335371496</c:v>
                </c:pt>
                <c:pt idx="451">
                  <c:v>-22.903594400266563</c:v>
                </c:pt>
                <c:pt idx="452">
                  <c:v>-23.04732010915918</c:v>
                </c:pt>
                <c:pt idx="453">
                  <c:v>-23.192871775826024</c:v>
                </c:pt>
                <c:pt idx="454">
                  <c:v>-23.340212821573921</c:v>
                </c:pt>
                <c:pt idx="455">
                  <c:v>-23.489305890252545</c:v>
                </c:pt>
                <c:pt idx="456">
                  <c:v>-23.640112961194788</c:v>
                </c:pt>
                <c:pt idx="457">
                  <c:v>-23.792595459561387</c:v>
                </c:pt>
                <c:pt idx="458">
                  <c:v>-23.946714363615179</c:v>
                </c:pt>
                <c:pt idx="459">
                  <c:v>-24.102430308506211</c:v>
                </c:pt>
                <c:pt idx="460">
                  <c:v>-24.259703686197632</c:v>
                </c:pt>
                <c:pt idx="461">
                  <c:v>-24.418494741218773</c:v>
                </c:pt>
                <c:pt idx="462">
                  <c:v>-24.578763661982958</c:v>
                </c:pt>
                <c:pt idx="463">
                  <c:v>-24.740470667456833</c:v>
                </c:pt>
                <c:pt idx="464">
                  <c:v>-24.903576089019165</c:v>
                </c:pt>
                <c:pt idx="465">
                  <c:v>-25.06804044739178</c:v>
                </c:pt>
                <c:pt idx="466">
                  <c:v>-25.23382452457107</c:v>
                </c:pt>
                <c:pt idx="467">
                  <c:v>-25.400889430726078</c:v>
                </c:pt>
                <c:pt idx="468">
                  <c:v>-25.569196666071328</c:v>
                </c:pt>
                <c:pt idx="469">
                  <c:v>-25.738708177753004</c:v>
                </c:pt>
                <c:pt idx="470">
                  <c:v>-25.909386411819124</c:v>
                </c:pt>
                <c:pt idx="471">
                  <c:v>-26.081194360374084</c:v>
                </c:pt>
                <c:pt idx="472">
                  <c:v>-26.254095604036852</c:v>
                </c:pt>
                <c:pt idx="473">
                  <c:v>-26.428054349849582</c:v>
                </c:pt>
                <c:pt idx="474">
                  <c:v>-26.603035464794523</c:v>
                </c:pt>
                <c:pt idx="475">
                  <c:v>-26.779004505095983</c:v>
                </c:pt>
                <c:pt idx="476">
                  <c:v>-26.955927741493486</c:v>
                </c:pt>
                <c:pt idx="477">
                  <c:v>-27.133772180683092</c:v>
                </c:pt>
                <c:pt idx="478">
                  <c:v>-27.312505583126057</c:v>
                </c:pt>
                <c:pt idx="479">
                  <c:v>-27.492096477434835</c:v>
                </c:pt>
                <c:pt idx="480">
                  <c:v>-27.672514171542435</c:v>
                </c:pt>
                <c:pt idx="481">
                  <c:v>-27.85372876086295</c:v>
                </c:pt>
                <c:pt idx="482">
                  <c:v>-28.035711133653336</c:v>
                </c:pt>
                <c:pt idx="483">
                  <c:v>-28.21843297377648</c:v>
                </c:pt>
                <c:pt idx="484">
                  <c:v>-28.401866761069329</c:v>
                </c:pt>
                <c:pt idx="485">
                  <c:v>-28.585985769508287</c:v>
                </c:pt>
                <c:pt idx="486">
                  <c:v>-28.770764063361746</c:v>
                </c:pt>
                <c:pt idx="487">
                  <c:v>-28.956176491511897</c:v>
                </c:pt>
                <c:pt idx="488">
                  <c:v>-29.142198680117851</c:v>
                </c:pt>
                <c:pt idx="489">
                  <c:v>-29.32880702379132</c:v>
                </c:pt>
                <c:pt idx="490">
                  <c:v>-29.515978675438546</c:v>
                </c:pt>
                <c:pt idx="491">
                  <c:v>-29.703691534921461</c:v>
                </c:pt>
                <c:pt idx="492">
                  <c:v>-29.891924236679177</c:v>
                </c:pt>
                <c:pt idx="493">
                  <c:v>-30.080656136442236</c:v>
                </c:pt>
                <c:pt idx="494">
                  <c:v>-30.269867297165757</c:v>
                </c:pt>
                <c:pt idx="495">
                  <c:v>-30.459538474296259</c:v>
                </c:pt>
                <c:pt idx="496">
                  <c:v>-30.649651100481993</c:v>
                </c:pt>
                <c:pt idx="497">
                  <c:v>-30.840187269825833</c:v>
                </c:pt>
                <c:pt idx="498">
                  <c:v>-31.031129721774118</c:v>
                </c:pt>
                <c:pt idx="499">
                  <c:v>-31.222461824727191</c:v>
                </c:pt>
                <c:pt idx="500">
                  <c:v>-31.414167559447556</c:v>
                </c:pt>
                <c:pt idx="501">
                  <c:v>-31.606231502340634</c:v>
                </c:pt>
                <c:pt idx="502">
                  <c:v>-31.798638808669022</c:v>
                </c:pt>
                <c:pt idx="503">
                  <c:v>-31.99137519576248</c:v>
                </c:pt>
                <c:pt idx="504">
                  <c:v>-32.184426926274583</c:v>
                </c:pt>
                <c:pt idx="505">
                  <c:v>-32.377780791534484</c:v>
                </c:pt>
                <c:pt idx="506">
                  <c:v>-32.5714240950362</c:v>
                </c:pt>
                <c:pt idx="507">
                  <c:v>-32.765344636103315</c:v>
                </c:pt>
                <c:pt idx="508">
                  <c:v>-32.959530693762076</c:v>
                </c:pt>
                <c:pt idx="509">
                  <c:v>-33.153971010852587</c:v>
                </c:pt>
                <c:pt idx="510">
                  <c:v>-33.348654778403358</c:v>
                </c:pt>
                <c:pt idx="511">
                  <c:v>-33.543571620290919</c:v>
                </c:pt>
                <c:pt idx="512">
                  <c:v>-33.73871157820308</c:v>
                </c:pt>
                <c:pt idx="513">
                  <c:v>-33.934065096922595</c:v>
                </c:pt>
                <c:pt idx="514">
                  <c:v>-34.129623009941852</c:v>
                </c:pt>
                <c:pt idx="515">
                  <c:v>-34.325376525421724</c:v>
                </c:pt>
                <c:pt idx="516">
                  <c:v>-34.521317212501074</c:v>
                </c:pt>
                <c:pt idx="517">
                  <c:v>-34.717436987963055</c:v>
                </c:pt>
                <c:pt idx="518">
                  <c:v>-34.91372810326331</c:v>
                </c:pt>
                <c:pt idx="519">
                  <c:v>-35.110183131921822</c:v>
                </c:pt>
                <c:pt idx="520">
                  <c:v>-35.306794957280175</c:v>
                </c:pt>
                <c:pt idx="521">
                  <c:v>-35.503556760623205</c:v>
                </c:pt>
                <c:pt idx="522">
                  <c:v>-35.700462009663632</c:v>
                </c:pt>
                <c:pt idx="523">
                  <c:v>-35.897504447388322</c:v>
                </c:pt>
                <c:pt idx="524">
                  <c:v>-36.094678081260781</c:v>
                </c:pt>
                <c:pt idx="525">
                  <c:v>-36.291977172776761</c:v>
                </c:pt>
                <c:pt idx="526">
                  <c:v>-36.489396227368132</c:v>
                </c:pt>
                <c:pt idx="527">
                  <c:v>-36.686929984648145</c:v>
                </c:pt>
                <c:pt idx="528">
                  <c:v>-36.884573408992949</c:v>
                </c:pt>
                <c:pt idx="529">
                  <c:v>-37.082321680453219</c:v>
                </c:pt>
                <c:pt idx="530">
                  <c:v>-37.280170185986442</c:v>
                </c:pt>
                <c:pt idx="531">
                  <c:v>-37.478114511005899</c:v>
                </c:pt>
                <c:pt idx="532">
                  <c:v>-37.676150431235584</c:v>
                </c:pt>
                <c:pt idx="533">
                  <c:v>-37.874273904866207</c:v>
                </c:pt>
                <c:pt idx="534">
                  <c:v>-38.072481065001611</c:v>
                </c:pt>
                <c:pt idx="535">
                  <c:v>-38.270768212389719</c:v>
                </c:pt>
                <c:pt idx="536">
                  <c:v>-38.46913180842914</c:v>
                </c:pt>
                <c:pt idx="537">
                  <c:v>-38.667568468443193</c:v>
                </c:pt>
                <c:pt idx="538">
                  <c:v>-38.866074955213584</c:v>
                </c:pt>
                <c:pt idx="539">
                  <c:v>-39.064648172765203</c:v>
                </c:pt>
                <c:pt idx="540">
                  <c:v>-39.263285160395178</c:v>
                </c:pt>
                <c:pt idx="541">
                  <c:v>-39.461983086937231</c:v>
                </c:pt>
              </c:numCache>
            </c:numRef>
          </c:yVal>
          <c:smooth val="1"/>
          <c:extLst>
            <c:ext xmlns:c16="http://schemas.microsoft.com/office/drawing/2014/chart" uri="{C3380CC4-5D6E-409C-BE32-E72D297353CC}">
              <c16:uniqueId val="{00000000-0FB9-4663-91DF-5C8FC461A7AF}"/>
            </c:ext>
          </c:extLst>
        </c:ser>
        <c:dLbls>
          <c:showLegendKey val="0"/>
          <c:showVal val="0"/>
          <c:showCatName val="0"/>
          <c:showSerName val="0"/>
          <c:showPercent val="0"/>
          <c:showBubbleSize val="0"/>
        </c:dLbls>
        <c:axId val="555231872"/>
        <c:axId val="555234048"/>
      </c:scatterChart>
      <c:scatterChart>
        <c:scatterStyle val="smoothMarker"/>
        <c:varyColors val="0"/>
        <c:ser>
          <c:idx val="1"/>
          <c:order val="1"/>
          <c:tx>
            <c:v>Phase (deg)</c:v>
          </c:tx>
          <c:marker>
            <c:symbol val="none"/>
          </c:marker>
          <c:xVal>
            <c:numRef>
              <c:f>Control_Loop_Tables!$N$19:$N$560</c:f>
              <c:numCache>
                <c:formatCode>0.00</c:formatCode>
                <c:ptCount val="542"/>
                <c:pt idx="0">
                  <c:v>10.232929922807543</c:v>
                </c:pt>
                <c:pt idx="1">
                  <c:v>10.471285480509</c:v>
                </c:pt>
                <c:pt idx="2">
                  <c:v>10.715193052376069</c:v>
                </c:pt>
                <c:pt idx="3">
                  <c:v>10.964781961431854</c:v>
                </c:pt>
                <c:pt idx="4">
                  <c:v>11.220184543019636</c:v>
                </c:pt>
                <c:pt idx="5">
                  <c:v>11.481536214968834</c:v>
                </c:pt>
                <c:pt idx="6">
                  <c:v>11.748975549395301</c:v>
                </c:pt>
                <c:pt idx="7">
                  <c:v>12.022644346174133</c:v>
                </c:pt>
                <c:pt idx="8">
                  <c:v>12.302687708123818</c:v>
                </c:pt>
                <c:pt idx="9">
                  <c:v>12.58925411794168</c:v>
                </c:pt>
                <c:pt idx="10">
                  <c:v>12.882495516931346</c:v>
                </c:pt>
                <c:pt idx="11">
                  <c:v>13.182567385564075</c:v>
                </c:pt>
                <c:pt idx="12">
                  <c:v>13.489628825916535</c:v>
                </c:pt>
                <c:pt idx="13">
                  <c:v>13.803842646028857</c:v>
                </c:pt>
                <c:pt idx="14">
                  <c:v>14.125375446227544</c:v>
                </c:pt>
                <c:pt idx="15">
                  <c:v>14.454397707459275</c:v>
                </c:pt>
                <c:pt idx="16">
                  <c:v>14.791083881682074</c:v>
                </c:pt>
                <c:pt idx="17">
                  <c:v>15.135612484362087</c:v>
                </c:pt>
                <c:pt idx="18">
                  <c:v>15.488166189124817</c:v>
                </c:pt>
                <c:pt idx="19">
                  <c:v>15.848931924611136</c:v>
                </c:pt>
                <c:pt idx="20">
                  <c:v>16.218100973589298</c:v>
                </c:pt>
                <c:pt idx="21">
                  <c:v>16.595869074375614</c:v>
                </c:pt>
                <c:pt idx="22">
                  <c:v>16.982436524617448</c:v>
                </c:pt>
                <c:pt idx="23">
                  <c:v>17.378008287493756</c:v>
                </c:pt>
                <c:pt idx="24">
                  <c:v>17.782794100389236</c:v>
                </c:pt>
                <c:pt idx="25">
                  <c:v>18.197008586099841</c:v>
                </c:pt>
                <c:pt idx="26">
                  <c:v>18.62087136662868</c:v>
                </c:pt>
                <c:pt idx="27">
                  <c:v>19.054607179632477</c:v>
                </c:pt>
                <c:pt idx="28">
                  <c:v>19.498445997580465</c:v>
                </c:pt>
                <c:pt idx="29">
                  <c:v>19.952623149688804</c:v>
                </c:pt>
                <c:pt idx="30">
                  <c:v>20.4173794466953</c:v>
                </c:pt>
                <c:pt idx="31">
                  <c:v>20.8929613085404</c:v>
                </c:pt>
                <c:pt idx="32">
                  <c:v>21.379620895022335</c:v>
                </c:pt>
                <c:pt idx="33">
                  <c:v>21.877616239495538</c:v>
                </c:pt>
                <c:pt idx="34">
                  <c:v>22.387211385683404</c:v>
                </c:pt>
                <c:pt idx="35">
                  <c:v>22.908676527677727</c:v>
                </c:pt>
                <c:pt idx="36">
                  <c:v>23.442288153199236</c:v>
                </c:pt>
                <c:pt idx="37">
                  <c:v>23.988329190194907</c:v>
                </c:pt>
                <c:pt idx="38">
                  <c:v>24.547089156850316</c:v>
                </c:pt>
                <c:pt idx="39">
                  <c:v>25.118864315095799</c:v>
                </c:pt>
                <c:pt idx="40">
                  <c:v>25.703957827688647</c:v>
                </c:pt>
                <c:pt idx="41">
                  <c:v>26.302679918953825</c:v>
                </c:pt>
                <c:pt idx="42">
                  <c:v>26.915348039269158</c:v>
                </c:pt>
                <c:pt idx="43">
                  <c:v>27.542287033381665</c:v>
                </c:pt>
                <c:pt idx="44">
                  <c:v>28.183829312644548</c:v>
                </c:pt>
                <c:pt idx="45">
                  <c:v>28.840315031266066</c:v>
                </c:pt>
                <c:pt idx="46">
                  <c:v>29.512092266663863</c:v>
                </c:pt>
                <c:pt idx="47">
                  <c:v>30.199517204020164</c:v>
                </c:pt>
                <c:pt idx="48">
                  <c:v>30.902954325135919</c:v>
                </c:pt>
                <c:pt idx="49">
                  <c:v>31.622776601683803</c:v>
                </c:pt>
                <c:pt idx="50">
                  <c:v>32.359365692962832</c:v>
                </c:pt>
                <c:pt idx="51">
                  <c:v>33.113112148259127</c:v>
                </c:pt>
                <c:pt idx="52">
                  <c:v>33.884415613920268</c:v>
                </c:pt>
                <c:pt idx="53">
                  <c:v>34.67368504525318</c:v>
                </c:pt>
                <c:pt idx="54">
                  <c:v>35.481338923357555</c:v>
                </c:pt>
                <c:pt idx="55">
                  <c:v>36.307805477010156</c:v>
                </c:pt>
                <c:pt idx="56">
                  <c:v>37.15352290971726</c:v>
                </c:pt>
                <c:pt idx="57">
                  <c:v>38.018939632056139</c:v>
                </c:pt>
                <c:pt idx="58">
                  <c:v>38.904514499428053</c:v>
                </c:pt>
                <c:pt idx="59">
                  <c:v>39.810717055349755</c:v>
                </c:pt>
                <c:pt idx="60">
                  <c:v>40.738027780411279</c:v>
                </c:pt>
                <c:pt idx="61">
                  <c:v>41.686938347033561</c:v>
                </c:pt>
                <c:pt idx="62">
                  <c:v>42.657951880159267</c:v>
                </c:pt>
                <c:pt idx="63">
                  <c:v>43.651583224016633</c:v>
                </c:pt>
                <c:pt idx="64">
                  <c:v>44.668359215096324</c:v>
                </c:pt>
                <c:pt idx="65">
                  <c:v>45.70881896148753</c:v>
                </c:pt>
                <c:pt idx="66">
                  <c:v>46.773514128719818</c:v>
                </c:pt>
                <c:pt idx="67">
                  <c:v>47.863009232263877</c:v>
                </c:pt>
                <c:pt idx="68">
                  <c:v>48.977881936844632</c:v>
                </c:pt>
                <c:pt idx="69">
                  <c:v>50.118723362727238</c:v>
                </c:pt>
                <c:pt idx="70">
                  <c:v>51.28613839913649</c:v>
                </c:pt>
                <c:pt idx="71">
                  <c:v>52.480746024977286</c:v>
                </c:pt>
                <c:pt idx="72">
                  <c:v>53.703179637025293</c:v>
                </c:pt>
                <c:pt idx="73">
                  <c:v>54.95408738576247</c:v>
                </c:pt>
                <c:pt idx="74">
                  <c:v>56.234132519034915</c:v>
                </c:pt>
                <c:pt idx="75">
                  <c:v>57.543993733715695</c:v>
                </c:pt>
                <c:pt idx="76">
                  <c:v>58.884365535558949</c:v>
                </c:pt>
                <c:pt idx="77">
                  <c:v>60.255958607435822</c:v>
                </c:pt>
                <c:pt idx="78">
                  <c:v>61.659500186148257</c:v>
                </c:pt>
                <c:pt idx="79">
                  <c:v>63.095734448019364</c:v>
                </c:pt>
                <c:pt idx="80">
                  <c:v>64.565422903465588</c:v>
                </c:pt>
                <c:pt idx="81">
                  <c:v>66.069344800759623</c:v>
                </c:pt>
                <c:pt idx="82">
                  <c:v>67.60829753919819</c:v>
                </c:pt>
                <c:pt idx="83">
                  <c:v>69.183097091893657</c:v>
                </c:pt>
                <c:pt idx="84">
                  <c:v>70.794578438413865</c:v>
                </c:pt>
                <c:pt idx="85">
                  <c:v>72.443596007499011</c:v>
                </c:pt>
                <c:pt idx="86">
                  <c:v>74.131024130091816</c:v>
                </c:pt>
                <c:pt idx="87">
                  <c:v>75.857757502918361</c:v>
                </c:pt>
                <c:pt idx="88">
                  <c:v>77.624711662869217</c:v>
                </c:pt>
                <c:pt idx="89">
                  <c:v>79.432823472428197</c:v>
                </c:pt>
                <c:pt idx="90">
                  <c:v>81.283051616409963</c:v>
                </c:pt>
                <c:pt idx="91">
                  <c:v>83.176377110267126</c:v>
                </c:pt>
                <c:pt idx="92">
                  <c:v>85.113803820237734</c:v>
                </c:pt>
                <c:pt idx="93">
                  <c:v>87.096358995608071</c:v>
                </c:pt>
                <c:pt idx="94">
                  <c:v>89.125093813374562</c:v>
                </c:pt>
                <c:pt idx="95">
                  <c:v>91.201083935590972</c:v>
                </c:pt>
                <c:pt idx="96">
                  <c:v>93.325430079699174</c:v>
                </c:pt>
                <c:pt idx="97">
                  <c:v>95.499258602143655</c:v>
                </c:pt>
                <c:pt idx="98">
                  <c:v>97.723722095581124</c:v>
                </c:pt>
                <c:pt idx="99">
                  <c:v>100</c:v>
                </c:pt>
                <c:pt idx="100">
                  <c:v>102.32929922807544</c:v>
                </c:pt>
                <c:pt idx="101">
                  <c:v>104.71285480508998</c:v>
                </c:pt>
                <c:pt idx="102">
                  <c:v>107.15193052376065</c:v>
                </c:pt>
                <c:pt idx="103">
                  <c:v>109.64781961431861</c:v>
                </c:pt>
                <c:pt idx="104">
                  <c:v>112.20184543019634</c:v>
                </c:pt>
                <c:pt idx="105">
                  <c:v>114.81536214968835</c:v>
                </c:pt>
                <c:pt idx="106">
                  <c:v>117.48975549395293</c:v>
                </c:pt>
                <c:pt idx="107">
                  <c:v>120.22644346174135</c:v>
                </c:pt>
                <c:pt idx="108">
                  <c:v>123.02687708123821</c:v>
                </c:pt>
                <c:pt idx="109">
                  <c:v>125.89254117941677</c:v>
                </c:pt>
                <c:pt idx="110">
                  <c:v>128.82495516931343</c:v>
                </c:pt>
                <c:pt idx="111">
                  <c:v>131.82567385564084</c:v>
                </c:pt>
                <c:pt idx="112">
                  <c:v>134.89628825916537</c:v>
                </c:pt>
                <c:pt idx="113">
                  <c:v>138.0384264602886</c:v>
                </c:pt>
                <c:pt idx="114">
                  <c:v>141.25375446227542</c:v>
                </c:pt>
                <c:pt idx="115">
                  <c:v>144.54397707459285</c:v>
                </c:pt>
                <c:pt idx="116">
                  <c:v>147.91083881682084</c:v>
                </c:pt>
                <c:pt idx="117">
                  <c:v>151.3561248436209</c:v>
                </c:pt>
                <c:pt idx="118">
                  <c:v>154.8816618912482</c:v>
                </c:pt>
                <c:pt idx="119">
                  <c:v>158.48931924611153</c:v>
                </c:pt>
                <c:pt idx="120">
                  <c:v>162.18100973589304</c:v>
                </c:pt>
                <c:pt idx="121">
                  <c:v>165.95869074375622</c:v>
                </c:pt>
                <c:pt idx="122">
                  <c:v>169.82436524617444</c:v>
                </c:pt>
                <c:pt idx="123">
                  <c:v>173.78008287493768</c:v>
                </c:pt>
                <c:pt idx="124">
                  <c:v>177.82794100389242</c:v>
                </c:pt>
                <c:pt idx="125">
                  <c:v>181.9700858609983</c:v>
                </c:pt>
                <c:pt idx="126">
                  <c:v>186.20871366628685</c:v>
                </c:pt>
                <c:pt idx="127">
                  <c:v>190.54607179632498</c:v>
                </c:pt>
                <c:pt idx="128">
                  <c:v>194.98445997580458</c:v>
                </c:pt>
                <c:pt idx="129">
                  <c:v>199.52623149688802</c:v>
                </c:pt>
                <c:pt idx="130">
                  <c:v>204.17379446695315</c:v>
                </c:pt>
                <c:pt idx="131">
                  <c:v>208.92961308540396</c:v>
                </c:pt>
                <c:pt idx="132">
                  <c:v>213.79620895022339</c:v>
                </c:pt>
                <c:pt idx="133">
                  <c:v>218.77616239495524</c:v>
                </c:pt>
                <c:pt idx="134">
                  <c:v>223.87211385683412</c:v>
                </c:pt>
                <c:pt idx="135">
                  <c:v>229.08676527677744</c:v>
                </c:pt>
                <c:pt idx="136">
                  <c:v>234.42288153199232</c:v>
                </c:pt>
                <c:pt idx="137">
                  <c:v>239.88329190194912</c:v>
                </c:pt>
                <c:pt idx="138">
                  <c:v>245.4708915685033</c:v>
                </c:pt>
                <c:pt idx="139">
                  <c:v>251.18864315095806</c:v>
                </c:pt>
                <c:pt idx="140">
                  <c:v>257.03957827688663</c:v>
                </c:pt>
                <c:pt idx="141">
                  <c:v>263.02679918953817</c:v>
                </c:pt>
                <c:pt idx="142">
                  <c:v>269.15348039269179</c:v>
                </c:pt>
                <c:pt idx="143">
                  <c:v>275.42287033381683</c:v>
                </c:pt>
                <c:pt idx="144">
                  <c:v>281.83829312644554</c:v>
                </c:pt>
                <c:pt idx="145">
                  <c:v>288.40315031266073</c:v>
                </c:pt>
                <c:pt idx="146">
                  <c:v>295.12092266663871</c:v>
                </c:pt>
                <c:pt idx="147">
                  <c:v>301.99517204020168</c:v>
                </c:pt>
                <c:pt idx="148">
                  <c:v>309.02954325135937</c:v>
                </c:pt>
                <c:pt idx="149">
                  <c:v>316.22776601683825</c:v>
                </c:pt>
                <c:pt idx="150">
                  <c:v>323.59365692962825</c:v>
                </c:pt>
                <c:pt idx="151">
                  <c:v>331.13112148259137</c:v>
                </c:pt>
                <c:pt idx="152">
                  <c:v>338.84415613920277</c:v>
                </c:pt>
                <c:pt idx="153">
                  <c:v>346.73685045253183</c:v>
                </c:pt>
                <c:pt idx="154">
                  <c:v>354.81338923357566</c:v>
                </c:pt>
                <c:pt idx="155">
                  <c:v>363.07805477010152</c:v>
                </c:pt>
                <c:pt idx="156">
                  <c:v>371.53522909717265</c:v>
                </c:pt>
                <c:pt idx="157">
                  <c:v>380.18939632056163</c:v>
                </c:pt>
                <c:pt idx="158">
                  <c:v>389.04514499428063</c:v>
                </c:pt>
                <c:pt idx="159">
                  <c:v>398.10717055349761</c:v>
                </c:pt>
                <c:pt idx="160">
                  <c:v>407.38027780411272</c:v>
                </c:pt>
                <c:pt idx="161">
                  <c:v>416.86938347033572</c:v>
                </c:pt>
                <c:pt idx="162">
                  <c:v>426.57951880159294</c:v>
                </c:pt>
                <c:pt idx="163">
                  <c:v>436.51583224016622</c:v>
                </c:pt>
                <c:pt idx="164">
                  <c:v>446.68359215096331</c:v>
                </c:pt>
                <c:pt idx="165">
                  <c:v>457.0881896148756</c:v>
                </c:pt>
                <c:pt idx="166">
                  <c:v>467.7351412871983</c:v>
                </c:pt>
                <c:pt idx="167">
                  <c:v>478.63009232263886</c:v>
                </c:pt>
                <c:pt idx="168">
                  <c:v>489.77881936844625</c:v>
                </c:pt>
                <c:pt idx="169">
                  <c:v>501.18723362727269</c:v>
                </c:pt>
                <c:pt idx="170">
                  <c:v>512.86138399136519</c:v>
                </c:pt>
                <c:pt idx="171">
                  <c:v>524.80746024977248</c:v>
                </c:pt>
                <c:pt idx="172">
                  <c:v>537.03179637025301</c:v>
                </c:pt>
                <c:pt idx="173">
                  <c:v>549.54087385762534</c:v>
                </c:pt>
                <c:pt idx="174">
                  <c:v>562.34132519034927</c:v>
                </c:pt>
                <c:pt idx="175">
                  <c:v>575.43993733715706</c:v>
                </c:pt>
                <c:pt idx="176">
                  <c:v>588.84365535558959</c:v>
                </c:pt>
                <c:pt idx="177">
                  <c:v>602.55958607435832</c:v>
                </c:pt>
                <c:pt idx="178">
                  <c:v>616.59500186148273</c:v>
                </c:pt>
                <c:pt idx="179">
                  <c:v>630.95734448019323</c:v>
                </c:pt>
                <c:pt idx="180">
                  <c:v>645.65422903465594</c:v>
                </c:pt>
                <c:pt idx="181">
                  <c:v>660.69344800759643</c:v>
                </c:pt>
                <c:pt idx="182">
                  <c:v>676.08297539198213</c:v>
                </c:pt>
                <c:pt idx="183">
                  <c:v>691.83097091893671</c:v>
                </c:pt>
                <c:pt idx="184">
                  <c:v>707.94578438413873</c:v>
                </c:pt>
                <c:pt idx="185">
                  <c:v>724.43596007499025</c:v>
                </c:pt>
                <c:pt idx="186">
                  <c:v>741.31024130091828</c:v>
                </c:pt>
                <c:pt idx="187">
                  <c:v>758.57757502918378</c:v>
                </c:pt>
                <c:pt idx="188">
                  <c:v>776.24711662869231</c:v>
                </c:pt>
                <c:pt idx="189">
                  <c:v>794.32823472428208</c:v>
                </c:pt>
                <c:pt idx="190">
                  <c:v>812.83051616409978</c:v>
                </c:pt>
                <c:pt idx="191">
                  <c:v>831.7637711026714</c:v>
                </c:pt>
                <c:pt idx="192">
                  <c:v>851.13803820237763</c:v>
                </c:pt>
                <c:pt idx="193">
                  <c:v>870.96358995608091</c:v>
                </c:pt>
                <c:pt idx="194">
                  <c:v>891.25093813374656</c:v>
                </c:pt>
                <c:pt idx="195">
                  <c:v>912.01083935590987</c:v>
                </c:pt>
                <c:pt idx="196">
                  <c:v>933.25430079699106</c:v>
                </c:pt>
                <c:pt idx="197">
                  <c:v>954.99258602143675</c:v>
                </c:pt>
                <c:pt idx="198">
                  <c:v>977.23722095581138</c:v>
                </c:pt>
                <c:pt idx="199">
                  <c:v>1000</c:v>
                </c:pt>
                <c:pt idx="200">
                  <c:v>1023.2929922807547</c:v>
                </c:pt>
                <c:pt idx="201">
                  <c:v>1047.1285480509</c:v>
                </c:pt>
                <c:pt idx="202">
                  <c:v>1071.5193052376069</c:v>
                </c:pt>
                <c:pt idx="203">
                  <c:v>1096.4781961431863</c:v>
                </c:pt>
                <c:pt idx="204">
                  <c:v>1122.0184543019636</c:v>
                </c:pt>
                <c:pt idx="205">
                  <c:v>1148.1536214968839</c:v>
                </c:pt>
                <c:pt idx="206">
                  <c:v>1174.8975549395295</c:v>
                </c:pt>
                <c:pt idx="207">
                  <c:v>1202.2644346174138</c:v>
                </c:pt>
                <c:pt idx="208">
                  <c:v>1230.2687708123824</c:v>
                </c:pt>
                <c:pt idx="209">
                  <c:v>1258.925411794168</c:v>
                </c:pt>
                <c:pt idx="210">
                  <c:v>1288.2495516931347</c:v>
                </c:pt>
                <c:pt idx="211">
                  <c:v>1318.2567385564089</c:v>
                </c:pt>
                <c:pt idx="212">
                  <c:v>1348.9628825916541</c:v>
                </c:pt>
                <c:pt idx="213">
                  <c:v>1380.3842646028863</c:v>
                </c:pt>
                <c:pt idx="214">
                  <c:v>1412.5375446227545</c:v>
                </c:pt>
                <c:pt idx="215">
                  <c:v>1445.4397707459289</c:v>
                </c:pt>
                <c:pt idx="216">
                  <c:v>1479.1083881682086</c:v>
                </c:pt>
                <c:pt idx="217">
                  <c:v>1513.5612484362093</c:v>
                </c:pt>
                <c:pt idx="218">
                  <c:v>1548.8166189124822</c:v>
                </c:pt>
                <c:pt idx="219">
                  <c:v>1584.8931924611156</c:v>
                </c:pt>
                <c:pt idx="220">
                  <c:v>1621.8100973589308</c:v>
                </c:pt>
                <c:pt idx="221">
                  <c:v>1659.5869074375626</c:v>
                </c:pt>
                <c:pt idx="222">
                  <c:v>1698.2436524617447</c:v>
                </c:pt>
                <c:pt idx="223">
                  <c:v>1737.8008287493772</c:v>
                </c:pt>
                <c:pt idx="224">
                  <c:v>1778.2794100389244</c:v>
                </c:pt>
                <c:pt idx="225">
                  <c:v>1819.7008586099832</c:v>
                </c:pt>
                <c:pt idx="226">
                  <c:v>1862.0871366628687</c:v>
                </c:pt>
                <c:pt idx="227">
                  <c:v>1905.4607179632501</c:v>
                </c:pt>
                <c:pt idx="228">
                  <c:v>1949.8445997580463</c:v>
                </c:pt>
                <c:pt idx="229">
                  <c:v>1995.2623149688804</c:v>
                </c:pt>
                <c:pt idx="230">
                  <c:v>2041.7379446695318</c:v>
                </c:pt>
                <c:pt idx="231">
                  <c:v>2089.2961308540398</c:v>
                </c:pt>
                <c:pt idx="232">
                  <c:v>2137.9620895022344</c:v>
                </c:pt>
                <c:pt idx="233">
                  <c:v>2187.7616239495528</c:v>
                </c:pt>
                <c:pt idx="234">
                  <c:v>2238.7211385683418</c:v>
                </c:pt>
                <c:pt idx="235">
                  <c:v>2290.8676527677749</c:v>
                </c:pt>
                <c:pt idx="236">
                  <c:v>2344.2288153199238</c:v>
                </c:pt>
                <c:pt idx="237">
                  <c:v>2398.8329190194918</c:v>
                </c:pt>
                <c:pt idx="238">
                  <c:v>2454.7089156850338</c:v>
                </c:pt>
                <c:pt idx="239">
                  <c:v>2511.8864315095811</c:v>
                </c:pt>
                <c:pt idx="240">
                  <c:v>2570.3957827688669</c:v>
                </c:pt>
                <c:pt idx="241">
                  <c:v>2630.2679918953822</c:v>
                </c:pt>
                <c:pt idx="242">
                  <c:v>2691.5348039269184</c:v>
                </c:pt>
                <c:pt idx="243">
                  <c:v>2754.228703338169</c:v>
                </c:pt>
                <c:pt idx="244">
                  <c:v>2818.3829312644561</c:v>
                </c:pt>
                <c:pt idx="245">
                  <c:v>2884.0315031266077</c:v>
                </c:pt>
                <c:pt idx="246">
                  <c:v>2951.2092266663876</c:v>
                </c:pt>
                <c:pt idx="247">
                  <c:v>3019.9517204020176</c:v>
                </c:pt>
                <c:pt idx="248">
                  <c:v>3090.295432513592</c:v>
                </c:pt>
                <c:pt idx="249">
                  <c:v>3162.2776601683804</c:v>
                </c:pt>
                <c:pt idx="250">
                  <c:v>3235.9365692962833</c:v>
                </c:pt>
                <c:pt idx="251">
                  <c:v>3311.3112148259115</c:v>
                </c:pt>
                <c:pt idx="252">
                  <c:v>3388.4415613920314</c:v>
                </c:pt>
                <c:pt idx="253">
                  <c:v>3467.3685045253224</c:v>
                </c:pt>
                <c:pt idx="254">
                  <c:v>3548.1338923357539</c:v>
                </c:pt>
                <c:pt idx="255">
                  <c:v>3630.7805477010188</c:v>
                </c:pt>
                <c:pt idx="256">
                  <c:v>3715.352290971724</c:v>
                </c:pt>
                <c:pt idx="257">
                  <c:v>3801.8939632056172</c:v>
                </c:pt>
                <c:pt idx="258">
                  <c:v>3890.451449942811</c:v>
                </c:pt>
                <c:pt idx="259">
                  <c:v>3981.0717055349769</c:v>
                </c:pt>
                <c:pt idx="260">
                  <c:v>4073.8027780411317</c:v>
                </c:pt>
                <c:pt idx="261">
                  <c:v>4168.6938347033583</c:v>
                </c:pt>
                <c:pt idx="262">
                  <c:v>4265.7951880159299</c:v>
                </c:pt>
                <c:pt idx="263">
                  <c:v>4365.1583224016631</c:v>
                </c:pt>
                <c:pt idx="264">
                  <c:v>4466.8359215096343</c:v>
                </c:pt>
                <c:pt idx="265">
                  <c:v>4570.8818961487532</c:v>
                </c:pt>
                <c:pt idx="266">
                  <c:v>4677.3514128719844</c:v>
                </c:pt>
                <c:pt idx="267">
                  <c:v>4786.3009232263848</c:v>
                </c:pt>
                <c:pt idx="268">
                  <c:v>4897.7881936844633</c:v>
                </c:pt>
                <c:pt idx="269">
                  <c:v>5011.8723362727324</c:v>
                </c:pt>
                <c:pt idx="270">
                  <c:v>5128.6138399136489</c:v>
                </c:pt>
                <c:pt idx="271">
                  <c:v>5248.0746024977261</c:v>
                </c:pt>
                <c:pt idx="272">
                  <c:v>5370.3179637025269</c:v>
                </c:pt>
                <c:pt idx="273">
                  <c:v>5495.4087385762541</c:v>
                </c:pt>
                <c:pt idx="274">
                  <c:v>5623.4132519034993</c:v>
                </c:pt>
                <c:pt idx="275">
                  <c:v>5754.399373371567</c:v>
                </c:pt>
                <c:pt idx="276">
                  <c:v>5888.4365535558973</c:v>
                </c:pt>
                <c:pt idx="277">
                  <c:v>6025.595860743585</c:v>
                </c:pt>
                <c:pt idx="278">
                  <c:v>6165.9500186148289</c:v>
                </c:pt>
                <c:pt idx="279">
                  <c:v>6309.5734448019384</c:v>
                </c:pt>
                <c:pt idx="280">
                  <c:v>6456.5422903465615</c:v>
                </c:pt>
                <c:pt idx="281">
                  <c:v>6606.9344800759654</c:v>
                </c:pt>
                <c:pt idx="282">
                  <c:v>6760.8297539198229</c:v>
                </c:pt>
                <c:pt idx="283">
                  <c:v>6918.3097091893687</c:v>
                </c:pt>
                <c:pt idx="284">
                  <c:v>7079.4578438413828</c:v>
                </c:pt>
                <c:pt idx="285">
                  <c:v>7244.3596007499036</c:v>
                </c:pt>
                <c:pt idx="286">
                  <c:v>7413.1024130091773</c:v>
                </c:pt>
                <c:pt idx="287">
                  <c:v>7585.7757502918394</c:v>
                </c:pt>
                <c:pt idx="288">
                  <c:v>7762.4711662869322</c:v>
                </c:pt>
                <c:pt idx="289">
                  <c:v>7943.2823472428154</c:v>
                </c:pt>
                <c:pt idx="290">
                  <c:v>8128.3051616410066</c:v>
                </c:pt>
                <c:pt idx="291">
                  <c:v>8317.6377110267094</c:v>
                </c:pt>
                <c:pt idx="292">
                  <c:v>8511.3803820237772</c:v>
                </c:pt>
                <c:pt idx="293">
                  <c:v>8709.6358995608189</c:v>
                </c:pt>
                <c:pt idx="294">
                  <c:v>8912.5093813374679</c:v>
                </c:pt>
                <c:pt idx="295">
                  <c:v>9120.1083935591087</c:v>
                </c:pt>
                <c:pt idx="296">
                  <c:v>9332.5430079699217</c:v>
                </c:pt>
                <c:pt idx="297">
                  <c:v>9549.9258602143691</c:v>
                </c:pt>
                <c:pt idx="298">
                  <c:v>9772.3722095581161</c:v>
                </c:pt>
                <c:pt idx="299">
                  <c:v>10000</c:v>
                </c:pt>
                <c:pt idx="300">
                  <c:v>10232.929922807549</c:v>
                </c:pt>
                <c:pt idx="301">
                  <c:v>10471.285480509003</c:v>
                </c:pt>
                <c:pt idx="302">
                  <c:v>10715.193052376071</c:v>
                </c:pt>
                <c:pt idx="303">
                  <c:v>10964.781961431856</c:v>
                </c:pt>
                <c:pt idx="304">
                  <c:v>11220.184543019639</c:v>
                </c:pt>
                <c:pt idx="305">
                  <c:v>11481.536214968832</c:v>
                </c:pt>
                <c:pt idx="306">
                  <c:v>11748.975549395318</c:v>
                </c:pt>
                <c:pt idx="307">
                  <c:v>12022.644346174151</c:v>
                </c:pt>
                <c:pt idx="308">
                  <c:v>12302.687708123816</c:v>
                </c:pt>
                <c:pt idx="309">
                  <c:v>12589.254117941671</c:v>
                </c:pt>
                <c:pt idx="310">
                  <c:v>12882.49551693136</c:v>
                </c:pt>
                <c:pt idx="311">
                  <c:v>13182.567385564091</c:v>
                </c:pt>
                <c:pt idx="312">
                  <c:v>13489.628825916556</c:v>
                </c:pt>
                <c:pt idx="313">
                  <c:v>13803.842646028841</c:v>
                </c:pt>
                <c:pt idx="314">
                  <c:v>14125.375446227561</c:v>
                </c:pt>
                <c:pt idx="315">
                  <c:v>14454.397707459291</c:v>
                </c:pt>
                <c:pt idx="316">
                  <c:v>14791.083881682089</c:v>
                </c:pt>
                <c:pt idx="317">
                  <c:v>15135.612484362096</c:v>
                </c:pt>
                <c:pt idx="318">
                  <c:v>15488.166189124853</c:v>
                </c:pt>
                <c:pt idx="319">
                  <c:v>15848.931924611146</c:v>
                </c:pt>
                <c:pt idx="320">
                  <c:v>16218.100973589309</c:v>
                </c:pt>
                <c:pt idx="321">
                  <c:v>16595.869074375616</c:v>
                </c:pt>
                <c:pt idx="322">
                  <c:v>16982.436524617482</c:v>
                </c:pt>
                <c:pt idx="323">
                  <c:v>17378.008287493791</c:v>
                </c:pt>
                <c:pt idx="324">
                  <c:v>17782.794100389234</c:v>
                </c:pt>
                <c:pt idx="325">
                  <c:v>18197.008586099837</c:v>
                </c:pt>
                <c:pt idx="326">
                  <c:v>18620.871366628675</c:v>
                </c:pt>
                <c:pt idx="327">
                  <c:v>19054.607179632505</c:v>
                </c:pt>
                <c:pt idx="328">
                  <c:v>19498.445997580486</c:v>
                </c:pt>
                <c:pt idx="329">
                  <c:v>19952.623149688792</c:v>
                </c:pt>
                <c:pt idx="330">
                  <c:v>20417.379446695286</c:v>
                </c:pt>
                <c:pt idx="331">
                  <c:v>20892.961308540423</c:v>
                </c:pt>
                <c:pt idx="332">
                  <c:v>21379.620895022348</c:v>
                </c:pt>
                <c:pt idx="333">
                  <c:v>21877.61623949555</c:v>
                </c:pt>
                <c:pt idx="334">
                  <c:v>22387.211385683382</c:v>
                </c:pt>
                <c:pt idx="335">
                  <c:v>22908.676527677751</c:v>
                </c:pt>
                <c:pt idx="336">
                  <c:v>23442.288153199243</c:v>
                </c:pt>
                <c:pt idx="337">
                  <c:v>23988.329190194923</c:v>
                </c:pt>
                <c:pt idx="338">
                  <c:v>24547.089156850321</c:v>
                </c:pt>
                <c:pt idx="339">
                  <c:v>25118.86431509586</c:v>
                </c:pt>
                <c:pt idx="340">
                  <c:v>25703.95782768865</c:v>
                </c:pt>
                <c:pt idx="341">
                  <c:v>26302.679918953829</c:v>
                </c:pt>
                <c:pt idx="342">
                  <c:v>26915.348039269167</c:v>
                </c:pt>
                <c:pt idx="343">
                  <c:v>27542.287033381719</c:v>
                </c:pt>
                <c:pt idx="344">
                  <c:v>28183.829312644593</c:v>
                </c:pt>
                <c:pt idx="345">
                  <c:v>28840.315031266062</c:v>
                </c:pt>
                <c:pt idx="346">
                  <c:v>29512.092266663854</c:v>
                </c:pt>
                <c:pt idx="347">
                  <c:v>30199.517204020212</c:v>
                </c:pt>
                <c:pt idx="348">
                  <c:v>30902.954325135954</c:v>
                </c:pt>
                <c:pt idx="349">
                  <c:v>31622.77660168384</c:v>
                </c:pt>
                <c:pt idx="350">
                  <c:v>32359.365692962871</c:v>
                </c:pt>
                <c:pt idx="351">
                  <c:v>33113.11214825909</c:v>
                </c:pt>
                <c:pt idx="352">
                  <c:v>33884.41561392029</c:v>
                </c:pt>
                <c:pt idx="353">
                  <c:v>34673.685045253202</c:v>
                </c:pt>
                <c:pt idx="354">
                  <c:v>35481.33892335758</c:v>
                </c:pt>
                <c:pt idx="355">
                  <c:v>36307.805477010232</c:v>
                </c:pt>
                <c:pt idx="356">
                  <c:v>37153.522909717351</c:v>
                </c:pt>
                <c:pt idx="357">
                  <c:v>38018.939632056143</c:v>
                </c:pt>
                <c:pt idx="358">
                  <c:v>38904.514499428085</c:v>
                </c:pt>
                <c:pt idx="359">
                  <c:v>39810.717055349742</c:v>
                </c:pt>
                <c:pt idx="360">
                  <c:v>40738.027780411358</c:v>
                </c:pt>
                <c:pt idx="361">
                  <c:v>41686.938347033625</c:v>
                </c:pt>
                <c:pt idx="362">
                  <c:v>42657.951880159271</c:v>
                </c:pt>
                <c:pt idx="363">
                  <c:v>43651.583224016598</c:v>
                </c:pt>
                <c:pt idx="364">
                  <c:v>44668.359215096389</c:v>
                </c:pt>
                <c:pt idx="365">
                  <c:v>45708.818961487581</c:v>
                </c:pt>
                <c:pt idx="366">
                  <c:v>46773.514128719893</c:v>
                </c:pt>
                <c:pt idx="367">
                  <c:v>47863.009232263823</c:v>
                </c:pt>
                <c:pt idx="368">
                  <c:v>48977.881936844598</c:v>
                </c:pt>
                <c:pt idx="369">
                  <c:v>50118.723362727294</c:v>
                </c:pt>
                <c:pt idx="370">
                  <c:v>51286.138399136544</c:v>
                </c:pt>
                <c:pt idx="371">
                  <c:v>52480.746024977314</c:v>
                </c:pt>
                <c:pt idx="372">
                  <c:v>53703.179637025423</c:v>
                </c:pt>
                <c:pt idx="373">
                  <c:v>54954.087385762505</c:v>
                </c:pt>
                <c:pt idx="374">
                  <c:v>56234.132519034953</c:v>
                </c:pt>
                <c:pt idx="375">
                  <c:v>57543.993733715732</c:v>
                </c:pt>
                <c:pt idx="376">
                  <c:v>58884.365535558936</c:v>
                </c:pt>
                <c:pt idx="377">
                  <c:v>60255.95860743591</c:v>
                </c:pt>
                <c:pt idx="378">
                  <c:v>61659.500186148245</c:v>
                </c:pt>
                <c:pt idx="379">
                  <c:v>63095.734448019342</c:v>
                </c:pt>
                <c:pt idx="380">
                  <c:v>64565.422903465682</c:v>
                </c:pt>
                <c:pt idx="381">
                  <c:v>66069.344800759733</c:v>
                </c:pt>
                <c:pt idx="382">
                  <c:v>67608.297539198305</c:v>
                </c:pt>
                <c:pt idx="383">
                  <c:v>69183.097091893651</c:v>
                </c:pt>
                <c:pt idx="384">
                  <c:v>70794.578438413781</c:v>
                </c:pt>
                <c:pt idx="385">
                  <c:v>72443.596007499116</c:v>
                </c:pt>
                <c:pt idx="386">
                  <c:v>74131.024130091857</c:v>
                </c:pt>
                <c:pt idx="387">
                  <c:v>75857.757502918481</c:v>
                </c:pt>
                <c:pt idx="388">
                  <c:v>77624.711662869129</c:v>
                </c:pt>
                <c:pt idx="389">
                  <c:v>79432.823472428237</c:v>
                </c:pt>
                <c:pt idx="390">
                  <c:v>81283.051616410012</c:v>
                </c:pt>
                <c:pt idx="391">
                  <c:v>83176.377110267174</c:v>
                </c:pt>
                <c:pt idx="392">
                  <c:v>85113.803820237721</c:v>
                </c:pt>
                <c:pt idx="393">
                  <c:v>87096.358995608127</c:v>
                </c:pt>
                <c:pt idx="394">
                  <c:v>89125.093813374609</c:v>
                </c:pt>
                <c:pt idx="395">
                  <c:v>91201.083935591028</c:v>
                </c:pt>
                <c:pt idx="396">
                  <c:v>93325.430079699145</c:v>
                </c:pt>
                <c:pt idx="397">
                  <c:v>95499.258602143804</c:v>
                </c:pt>
                <c:pt idx="398">
                  <c:v>97723.722095581266</c:v>
                </c:pt>
                <c:pt idx="399">
                  <c:v>100000</c:v>
                </c:pt>
                <c:pt idx="400">
                  <c:v>102329.29922807543</c:v>
                </c:pt>
                <c:pt idx="401">
                  <c:v>104712.85480508996</c:v>
                </c:pt>
                <c:pt idx="402">
                  <c:v>107151.93052376082</c:v>
                </c:pt>
                <c:pt idx="403">
                  <c:v>109647.81961431868</c:v>
                </c:pt>
                <c:pt idx="404">
                  <c:v>112201.84543019651</c:v>
                </c:pt>
                <c:pt idx="405">
                  <c:v>114815.36214968823</c:v>
                </c:pt>
                <c:pt idx="406">
                  <c:v>117489.75549395311</c:v>
                </c:pt>
                <c:pt idx="407">
                  <c:v>120226.44346174144</c:v>
                </c:pt>
                <c:pt idx="408">
                  <c:v>123026.87708123829</c:v>
                </c:pt>
                <c:pt idx="409">
                  <c:v>125892.54117941685</c:v>
                </c:pt>
                <c:pt idx="410">
                  <c:v>128824.95516931375</c:v>
                </c:pt>
                <c:pt idx="411">
                  <c:v>131825.67385564081</c:v>
                </c:pt>
                <c:pt idx="412">
                  <c:v>134896.28825916545</c:v>
                </c:pt>
                <c:pt idx="413">
                  <c:v>138038.42646028858</c:v>
                </c:pt>
                <c:pt idx="414">
                  <c:v>141253.75446227577</c:v>
                </c:pt>
                <c:pt idx="415">
                  <c:v>144543.97707459307</c:v>
                </c:pt>
                <c:pt idx="416">
                  <c:v>147910.83881682079</c:v>
                </c:pt>
                <c:pt idx="417">
                  <c:v>151356.12484362084</c:v>
                </c:pt>
                <c:pt idx="418">
                  <c:v>154881.66189124843</c:v>
                </c:pt>
                <c:pt idx="419">
                  <c:v>158489.31924611164</c:v>
                </c:pt>
                <c:pt idx="420">
                  <c:v>162181.00973589328</c:v>
                </c:pt>
                <c:pt idx="421">
                  <c:v>165958.69074375604</c:v>
                </c:pt>
                <c:pt idx="422">
                  <c:v>169824.36524617471</c:v>
                </c:pt>
                <c:pt idx="423">
                  <c:v>173780.0828749378</c:v>
                </c:pt>
                <c:pt idx="424">
                  <c:v>177827.94100389251</c:v>
                </c:pt>
                <c:pt idx="425">
                  <c:v>181970.08586099857</c:v>
                </c:pt>
                <c:pt idx="426">
                  <c:v>186208.71366628664</c:v>
                </c:pt>
                <c:pt idx="427">
                  <c:v>190546.07179632492</c:v>
                </c:pt>
                <c:pt idx="428">
                  <c:v>194984.45997580473</c:v>
                </c:pt>
                <c:pt idx="429">
                  <c:v>199526.23149688813</c:v>
                </c:pt>
                <c:pt idx="430">
                  <c:v>204173.79446695308</c:v>
                </c:pt>
                <c:pt idx="431">
                  <c:v>208929.61308540447</c:v>
                </c:pt>
                <c:pt idx="432">
                  <c:v>213796.20895022334</c:v>
                </c:pt>
                <c:pt idx="433">
                  <c:v>218776.16239495538</c:v>
                </c:pt>
                <c:pt idx="434">
                  <c:v>223872.11385683404</c:v>
                </c:pt>
                <c:pt idx="435">
                  <c:v>229086.76527677779</c:v>
                </c:pt>
                <c:pt idx="436">
                  <c:v>234422.88153199267</c:v>
                </c:pt>
                <c:pt idx="437">
                  <c:v>239883.29190194907</c:v>
                </c:pt>
                <c:pt idx="438">
                  <c:v>245470.89156850305</c:v>
                </c:pt>
                <c:pt idx="439">
                  <c:v>251188.64315095844</c:v>
                </c:pt>
                <c:pt idx="440">
                  <c:v>257039.57827688678</c:v>
                </c:pt>
                <c:pt idx="441">
                  <c:v>263026.79918953858</c:v>
                </c:pt>
                <c:pt idx="442">
                  <c:v>269153.48039269145</c:v>
                </c:pt>
                <c:pt idx="443">
                  <c:v>275422.87033381703</c:v>
                </c:pt>
                <c:pt idx="444">
                  <c:v>281838.29312644573</c:v>
                </c:pt>
                <c:pt idx="445">
                  <c:v>288403.1503126609</c:v>
                </c:pt>
                <c:pt idx="446">
                  <c:v>295120.92266663886</c:v>
                </c:pt>
                <c:pt idx="447">
                  <c:v>301995.17204020242</c:v>
                </c:pt>
                <c:pt idx="448">
                  <c:v>309029.54325135931</c:v>
                </c:pt>
                <c:pt idx="449">
                  <c:v>316227.7660168382</c:v>
                </c:pt>
                <c:pt idx="450">
                  <c:v>323593.65692962846</c:v>
                </c:pt>
                <c:pt idx="451">
                  <c:v>331131.12148259126</c:v>
                </c:pt>
                <c:pt idx="452">
                  <c:v>338844.15613920329</c:v>
                </c:pt>
                <c:pt idx="453">
                  <c:v>346736.85045253241</c:v>
                </c:pt>
                <c:pt idx="454">
                  <c:v>354813.38923357555</c:v>
                </c:pt>
                <c:pt idx="455">
                  <c:v>363078.05477010203</c:v>
                </c:pt>
                <c:pt idx="456">
                  <c:v>371535.2290971732</c:v>
                </c:pt>
                <c:pt idx="457">
                  <c:v>380189.39632056188</c:v>
                </c:pt>
                <c:pt idx="458">
                  <c:v>389045.14499428123</c:v>
                </c:pt>
                <c:pt idx="459">
                  <c:v>398107.17055349716</c:v>
                </c:pt>
                <c:pt idx="460">
                  <c:v>407380.27780411334</c:v>
                </c:pt>
                <c:pt idx="461">
                  <c:v>416869.38347033598</c:v>
                </c:pt>
                <c:pt idx="462">
                  <c:v>426579.51880159322</c:v>
                </c:pt>
                <c:pt idx="463">
                  <c:v>436515.83224016649</c:v>
                </c:pt>
                <c:pt idx="464">
                  <c:v>446683.59215096442</c:v>
                </c:pt>
                <c:pt idx="465">
                  <c:v>457088.18961487547</c:v>
                </c:pt>
                <c:pt idx="466">
                  <c:v>467735.14128719864</c:v>
                </c:pt>
                <c:pt idx="467">
                  <c:v>478630.09232263872</c:v>
                </c:pt>
                <c:pt idx="468">
                  <c:v>489778.81936844654</c:v>
                </c:pt>
                <c:pt idx="469">
                  <c:v>501187.23362727347</c:v>
                </c:pt>
                <c:pt idx="470">
                  <c:v>512861.38399136515</c:v>
                </c:pt>
                <c:pt idx="471">
                  <c:v>524807.46024977288</c:v>
                </c:pt>
                <c:pt idx="472">
                  <c:v>537031.7963702539</c:v>
                </c:pt>
                <c:pt idx="473">
                  <c:v>549540.87385762564</c:v>
                </c:pt>
                <c:pt idx="474">
                  <c:v>562341.32519035018</c:v>
                </c:pt>
                <c:pt idx="475">
                  <c:v>575439.93733715697</c:v>
                </c:pt>
                <c:pt idx="476">
                  <c:v>588843.65535558888</c:v>
                </c:pt>
                <c:pt idx="477">
                  <c:v>602559.58607435878</c:v>
                </c:pt>
                <c:pt idx="478">
                  <c:v>616595.00186148309</c:v>
                </c:pt>
                <c:pt idx="479">
                  <c:v>630957.34448019415</c:v>
                </c:pt>
                <c:pt idx="480">
                  <c:v>645654.22903465747</c:v>
                </c:pt>
                <c:pt idx="481">
                  <c:v>660693.44800759677</c:v>
                </c:pt>
                <c:pt idx="482">
                  <c:v>676082.97539198259</c:v>
                </c:pt>
                <c:pt idx="483">
                  <c:v>691830.97091893724</c:v>
                </c:pt>
                <c:pt idx="484">
                  <c:v>707945.78438413853</c:v>
                </c:pt>
                <c:pt idx="485">
                  <c:v>724435.96007499192</c:v>
                </c:pt>
                <c:pt idx="486">
                  <c:v>741310.24130091805</c:v>
                </c:pt>
                <c:pt idx="487">
                  <c:v>758577.57502918423</c:v>
                </c:pt>
                <c:pt idx="488">
                  <c:v>776247.11662869214</c:v>
                </c:pt>
                <c:pt idx="489">
                  <c:v>794328.23472428333</c:v>
                </c:pt>
                <c:pt idx="490">
                  <c:v>812830.51616410096</c:v>
                </c:pt>
                <c:pt idx="491">
                  <c:v>831763.77110267128</c:v>
                </c:pt>
                <c:pt idx="492">
                  <c:v>851138.03820237669</c:v>
                </c:pt>
                <c:pt idx="493">
                  <c:v>870963.58995608077</c:v>
                </c:pt>
                <c:pt idx="494">
                  <c:v>891250.93813374708</c:v>
                </c:pt>
                <c:pt idx="495">
                  <c:v>912010.83935591124</c:v>
                </c:pt>
                <c:pt idx="496">
                  <c:v>933254.30079699249</c:v>
                </c:pt>
                <c:pt idx="497">
                  <c:v>954992.58602143743</c:v>
                </c:pt>
                <c:pt idx="498">
                  <c:v>977237.22095581202</c:v>
                </c:pt>
                <c:pt idx="499">
                  <c:v>1000000</c:v>
                </c:pt>
                <c:pt idx="500">
                  <c:v>1023292.9922807553</c:v>
                </c:pt>
                <c:pt idx="501">
                  <c:v>1047128.5480509007</c:v>
                </c:pt>
                <c:pt idx="502">
                  <c:v>1071519.3052376076</c:v>
                </c:pt>
                <c:pt idx="503">
                  <c:v>1096478.196143186</c:v>
                </c:pt>
                <c:pt idx="504">
                  <c:v>1122018.4543019643</c:v>
                </c:pt>
                <c:pt idx="505">
                  <c:v>1148153.6214968837</c:v>
                </c:pt>
                <c:pt idx="506">
                  <c:v>1174897.5549395324</c:v>
                </c:pt>
                <c:pt idx="507">
                  <c:v>1202264.4346174158</c:v>
                </c:pt>
                <c:pt idx="508">
                  <c:v>1230268.770812382</c:v>
                </c:pt>
                <c:pt idx="509">
                  <c:v>1258925.4117941677</c:v>
                </c:pt>
                <c:pt idx="510">
                  <c:v>1288249.5516931366</c:v>
                </c:pt>
                <c:pt idx="511">
                  <c:v>1318256.7385564097</c:v>
                </c:pt>
                <c:pt idx="512">
                  <c:v>1348962.8825916562</c:v>
                </c:pt>
                <c:pt idx="513">
                  <c:v>1380384.2646028849</c:v>
                </c:pt>
                <c:pt idx="514">
                  <c:v>1412537.5446227565</c:v>
                </c:pt>
                <c:pt idx="515">
                  <c:v>1445439.7707459298</c:v>
                </c:pt>
                <c:pt idx="516">
                  <c:v>1479108.3881682095</c:v>
                </c:pt>
                <c:pt idx="517">
                  <c:v>1513561.2484362102</c:v>
                </c:pt>
                <c:pt idx="518">
                  <c:v>1548816.6189124861</c:v>
                </c:pt>
                <c:pt idx="519">
                  <c:v>1584893.1924611153</c:v>
                </c:pt>
                <c:pt idx="520">
                  <c:v>1621810.0973589318</c:v>
                </c:pt>
                <c:pt idx="521">
                  <c:v>1659586.9074375622</c:v>
                </c:pt>
                <c:pt idx="522">
                  <c:v>1698243.6524617488</c:v>
                </c:pt>
                <c:pt idx="523">
                  <c:v>1737800.8287493798</c:v>
                </c:pt>
                <c:pt idx="524">
                  <c:v>1778279.4100389241</c:v>
                </c:pt>
                <c:pt idx="525">
                  <c:v>1819700.8586099846</c:v>
                </c:pt>
                <c:pt idx="526">
                  <c:v>1862087.1366628683</c:v>
                </c:pt>
                <c:pt idx="527">
                  <c:v>1905460.7179632513</c:v>
                </c:pt>
                <c:pt idx="528">
                  <c:v>1949844.5997580495</c:v>
                </c:pt>
                <c:pt idx="529">
                  <c:v>1995262.31496888</c:v>
                </c:pt>
                <c:pt idx="530">
                  <c:v>2041737.9446695296</c:v>
                </c:pt>
                <c:pt idx="531">
                  <c:v>2089296.1308540432</c:v>
                </c:pt>
                <c:pt idx="532">
                  <c:v>2137962.0895022359</c:v>
                </c:pt>
                <c:pt idx="533">
                  <c:v>2187761.6239495561</c:v>
                </c:pt>
                <c:pt idx="534">
                  <c:v>2238721.1385683389</c:v>
                </c:pt>
                <c:pt idx="535">
                  <c:v>2290867.6527677765</c:v>
                </c:pt>
                <c:pt idx="536">
                  <c:v>2344228.8153199251</c:v>
                </c:pt>
                <c:pt idx="537">
                  <c:v>2398832.9190194933</c:v>
                </c:pt>
                <c:pt idx="538">
                  <c:v>2454708.915685033</c:v>
                </c:pt>
                <c:pt idx="539">
                  <c:v>2511886.431509587</c:v>
                </c:pt>
                <c:pt idx="540">
                  <c:v>2570395.782768866</c:v>
                </c:pt>
                <c:pt idx="541">
                  <c:v>2630267.9918953842</c:v>
                </c:pt>
              </c:numCache>
            </c:numRef>
          </c:xVal>
          <c:yVal>
            <c:numRef>
              <c:f>Control_Loop_Tables!$AD$19:$AD$560</c:f>
              <c:numCache>
                <c:formatCode>General</c:formatCode>
                <c:ptCount val="542"/>
                <c:pt idx="0">
                  <c:v>-61.681285528654911</c:v>
                </c:pt>
                <c:pt idx="1">
                  <c:v>-62.223364032046852</c:v>
                </c:pt>
                <c:pt idx="2">
                  <c:v>-62.758249581719888</c:v>
                </c:pt>
                <c:pt idx="3">
                  <c:v>-63.285845361168676</c:v>
                </c:pt>
                <c:pt idx="4">
                  <c:v>-63.806065758209591</c:v>
                </c:pt>
                <c:pt idx="5">
                  <c:v>-64.318836084411913</c:v>
                </c:pt>
                <c:pt idx="6">
                  <c:v>-64.824092270466537</c:v>
                </c:pt>
                <c:pt idx="7">
                  <c:v>-65.321780540580818</c:v>
                </c:pt>
                <c:pt idx="8">
                  <c:v>-65.811857068920247</c:v>
                </c:pt>
                <c:pt idx="9">
                  <c:v>-66.294287621004145</c:v>
                </c:pt>
                <c:pt idx="10">
                  <c:v>-66.769047182850898</c:v>
                </c:pt>
                <c:pt idx="11">
                  <c:v>-67.236119580531238</c:v>
                </c:pt>
                <c:pt idx="12">
                  <c:v>-67.695497092640721</c:v>
                </c:pt>
                <c:pt idx="13">
                  <c:v>-68.147180058045748</c:v>
                </c:pt>
                <c:pt idx="14">
                  <c:v>-68.591176481098501</c:v>
                </c:pt>
                <c:pt idx="15">
                  <c:v>-69.027501636345633</c:v>
                </c:pt>
                <c:pt idx="16">
                  <c:v>-69.456177674589455</c:v>
                </c:pt>
                <c:pt idx="17">
                  <c:v>-69.877233231993628</c:v>
                </c:pt>
                <c:pt idx="18">
                  <c:v>-70.29070304375746</c:v>
                </c:pt>
                <c:pt idx="19">
                  <c:v>-70.696627563722856</c:v>
                </c:pt>
                <c:pt idx="20">
                  <c:v>-71.095052591121245</c:v>
                </c:pt>
                <c:pt idx="21">
                  <c:v>-71.486028905514743</c:v>
                </c:pt>
                <c:pt idx="22">
                  <c:v>-71.86961191084427</c:v>
                </c:pt>
                <c:pt idx="23">
                  <c:v>-72.245861289360633</c:v>
                </c:pt>
                <c:pt idx="24">
                  <c:v>-72.61484066608331</c:v>
                </c:pt>
                <c:pt idx="25">
                  <c:v>-72.976617284318067</c:v>
                </c:pt>
                <c:pt idx="26">
                  <c:v>-73.331261692644404</c:v>
                </c:pt>
                <c:pt idx="27">
                  <c:v>-73.678847443690259</c:v>
                </c:pt>
                <c:pt idx="28">
                  <c:v>-74.019450804910278</c:v>
                </c:pt>
                <c:pt idx="29">
                  <c:v>-74.353150481501814</c:v>
                </c:pt>
                <c:pt idx="30">
                  <c:v>-74.680027351514653</c:v>
                </c:pt>
                <c:pt idx="31">
                  <c:v>-75.000164213140366</c:v>
                </c:pt>
                <c:pt idx="32">
                  <c:v>-75.31364554410483</c:v>
                </c:pt>
                <c:pt idx="33">
                  <c:v>-75.620557273035288</c:v>
                </c:pt>
                <c:pt idx="34">
                  <c:v>-75.920986562621479</c:v>
                </c:pt>
                <c:pt idx="35">
                  <c:v>-76.215021604351719</c:v>
                </c:pt>
                <c:pt idx="36">
                  <c:v>-76.502751424569141</c:v>
                </c:pt>
                <c:pt idx="37">
                  <c:v>-76.784265701560244</c:v>
                </c:pt>
                <c:pt idx="38">
                  <c:v>-77.05965459336818</c:v>
                </c:pt>
                <c:pt idx="39">
                  <c:v>-77.32900857599688</c:v>
                </c:pt>
                <c:pt idx="40">
                  <c:v>-77.592418291660763</c:v>
                </c:pt>
                <c:pt idx="41">
                  <c:v>-77.849974406721742</c:v>
                </c:pt>
                <c:pt idx="42">
                  <c:v>-78.101767478942648</c:v>
                </c:pt>
                <c:pt idx="43">
                  <c:v>-78.347887833687381</c:v>
                </c:pt>
                <c:pt idx="44">
                  <c:v>-78.588425448688696</c:v>
                </c:pt>
                <c:pt idx="45">
                  <c:v>-78.823469847008539</c:v>
                </c:pt>
                <c:pt idx="46">
                  <c:v>-79.053109997815753</c:v>
                </c:pt>
                <c:pt idx="47">
                  <c:v>-79.277434224609493</c:v>
                </c:pt>
                <c:pt idx="48">
                  <c:v>-79.496530120523175</c:v>
                </c:pt>
                <c:pt idx="49">
                  <c:v>-79.710484470349201</c:v>
                </c:pt>
                <c:pt idx="50">
                  <c:v>-79.91938317893279</c:v>
                </c:pt>
                <c:pt idx="51">
                  <c:v>-80.123311205592771</c:v>
                </c:pt>
                <c:pt idx="52">
                  <c:v>-80.322352504235738</c:v>
                </c:pt>
                <c:pt idx="53">
                  <c:v>-80.516589968840421</c:v>
                </c:pt>
                <c:pt idx="54">
                  <c:v>-80.706105384000054</c:v>
                </c:pt>
                <c:pt idx="55">
                  <c:v>-80.890979380222149</c:v>
                </c:pt>
                <c:pt idx="56">
                  <c:v>-81.071291393693869</c:v>
                </c:pt>
                <c:pt idx="57">
                  <c:v>-81.247119630237052</c:v>
                </c:pt>
                <c:pt idx="58">
                  <c:v>-81.418541033182336</c:v>
                </c:pt>
                <c:pt idx="59">
                  <c:v>-81.585631254910055</c:v>
                </c:pt>
                <c:pt idx="60">
                  <c:v>-81.748464631811558</c:v>
                </c:pt>
                <c:pt idx="61">
                  <c:v>-81.907114162438077</c:v>
                </c:pt>
                <c:pt idx="62">
                  <c:v>-82.061651488615937</c:v>
                </c:pt>
                <c:pt idx="63">
                  <c:v>-82.212146879316535</c:v>
                </c:pt>
                <c:pt idx="64">
                  <c:v>-82.358669217079708</c:v>
                </c:pt>
                <c:pt idx="65">
                  <c:v>-82.501285986801548</c:v>
                </c:pt>
                <c:pt idx="66">
                  <c:v>-82.640063266705354</c:v>
                </c:pt>
                <c:pt idx="67">
                  <c:v>-82.775065721324964</c:v>
                </c:pt>
                <c:pt idx="68">
                  <c:v>-82.906356596339407</c:v>
                </c:pt>
                <c:pt idx="69">
                  <c:v>-83.033997715106452</c:v>
                </c:pt>
                <c:pt idx="70">
                  <c:v>-83.158049476750918</c:v>
                </c:pt>
                <c:pt idx="71">
                  <c:v>-83.27857085567247</c:v>
                </c:pt>
                <c:pt idx="72">
                  <c:v>-83.395619402344835</c:v>
                </c:pt>
                <c:pt idx="73">
                  <c:v>-83.50925124528672</c:v>
                </c:pt>
                <c:pt idx="74">
                  <c:v>-83.619521094091823</c:v>
                </c:pt>
                <c:pt idx="75">
                  <c:v>-83.726482243410786</c:v>
                </c:pt>
                <c:pt idx="76">
                  <c:v>-83.830186577787131</c:v>
                </c:pt>
                <c:pt idx="77">
                  <c:v>-83.930684577253217</c:v>
                </c:pt>
                <c:pt idx="78">
                  <c:v>-84.028025323598385</c:v>
                </c:pt>
                <c:pt idx="79">
                  <c:v>-84.12225650722884</c:v>
                </c:pt>
                <c:pt idx="80">
                  <c:v>-84.21342443454229</c:v>
                </c:pt>
                <c:pt idx="81">
                  <c:v>-84.30157403574546</c:v>
                </c:pt>
                <c:pt idx="82">
                  <c:v>-84.386748873049228</c:v>
                </c:pt>
                <c:pt idx="83">
                  <c:v>-84.468991149177896</c:v>
                </c:pt>
                <c:pt idx="84">
                  <c:v>-84.54834171613625</c:v>
                </c:pt>
                <c:pt idx="85">
                  <c:v>-84.624840084179382</c:v>
                </c:pt>
                <c:pt idx="86">
                  <c:v>-84.698524430936217</c:v>
                </c:pt>
                <c:pt idx="87">
                  <c:v>-84.769431610639899</c:v>
                </c:pt>
                <c:pt idx="88">
                  <c:v>-84.837597163422132</c:v>
                </c:pt>
                <c:pt idx="89">
                  <c:v>-84.903055324631765</c:v>
                </c:pt>
                <c:pt idx="90">
                  <c:v>-84.965839034140984</c:v>
                </c:pt>
                <c:pt idx="91">
                  <c:v>-85.025979945604419</c:v>
                </c:pt>
                <c:pt idx="92">
                  <c:v>-85.083508435641008</c:v>
                </c:pt>
                <c:pt idx="93">
                  <c:v>-85.138453612908592</c:v>
                </c:pt>
                <c:pt idx="94">
                  <c:v>-85.190843327045982</c:v>
                </c:pt>
                <c:pt idx="95">
                  <c:v>-85.240704177457616</c:v>
                </c:pt>
                <c:pt idx="96">
                  <c:v>-85.288061521918735</c:v>
                </c:pt>
                <c:pt idx="97">
                  <c:v>-85.332939484981708</c:v>
                </c:pt>
                <c:pt idx="98">
                  <c:v>-85.375360966164763</c:v>
                </c:pt>
                <c:pt idx="99">
                  <c:v>-85.415347647906884</c:v>
                </c:pt>
                <c:pt idx="100">
                  <c:v>-85.452920003274485</c:v>
                </c:pt>
                <c:pt idx="101">
                  <c:v>-85.488097303406775</c:v>
                </c:pt>
                <c:pt idx="102">
                  <c:v>-85.520897624687976</c:v>
                </c:pt>
                <c:pt idx="103">
                  <c:v>-85.551337855637257</c:v>
                </c:pt>
                <c:pt idx="104">
                  <c:v>-85.579433703506879</c:v>
                </c:pt>
                <c:pt idx="105">
                  <c:v>-85.605199700582062</c:v>
                </c:pt>
                <c:pt idx="106">
                  <c:v>-85.628649210176548</c:v>
                </c:pt>
                <c:pt idx="107">
                  <c:v>-85.649794432318885</c:v>
                </c:pt>
                <c:pt idx="108">
                  <c:v>-85.668646409126652</c:v>
                </c:pt>
                <c:pt idx="109">
                  <c:v>-85.685215029866299</c:v>
                </c:pt>
                <c:pt idx="110">
                  <c:v>-85.699509035697304</c:v>
                </c:pt>
                <c:pt idx="111">
                  <c:v>-85.711536024101491</c:v>
                </c:pt>
                <c:pt idx="112">
                  <c:v>-85.721302452998529</c:v>
                </c:pt>
                <c:pt idx="113">
                  <c:v>-85.728813644550215</c:v>
                </c:pt>
                <c:pt idx="114">
                  <c:v>-85.734073788657454</c:v>
                </c:pt>
                <c:pt idx="115">
                  <c:v>-85.737085946154693</c:v>
                </c:pt>
                <c:pt idx="116">
                  <c:v>-85.737852051708074</c:v>
                </c:pt>
                <c:pt idx="117">
                  <c:v>-85.736372916424514</c:v>
                </c:pt>
                <c:pt idx="118">
                  <c:v>-85.732648230180274</c:v>
                </c:pt>
                <c:pt idx="119">
                  <c:v>-85.726676563679021</c:v>
                </c:pt>
                <c:pt idx="120">
                  <c:v>-85.718455370250354</c:v>
                </c:pt>
                <c:pt idx="121">
                  <c:v>-85.707980987401456</c:v>
                </c:pt>
                <c:pt idx="122">
                  <c:v>-85.695248638135837</c:v>
                </c:pt>
                <c:pt idx="123">
                  <c:v>-85.680252432054374</c:v>
                </c:pt>
                <c:pt idx="124">
                  <c:v>-85.662985366255981</c:v>
                </c:pt>
                <c:pt idx="125">
                  <c:v>-85.643439326056168</c:v>
                </c:pt>
                <c:pt idx="126">
                  <c:v>-85.621605085543877</c:v>
                </c:pt>
                <c:pt idx="127">
                  <c:v>-85.597472307998927</c:v>
                </c:pt>
                <c:pt idx="128">
                  <c:v>-85.571029546193586</c:v>
                </c:pt>
                <c:pt idx="129">
                  <c:v>-85.542264242604659</c:v>
                </c:pt>
                <c:pt idx="130">
                  <c:v>-85.511162729564091</c:v>
                </c:pt>
                <c:pt idx="131">
                  <c:v>-85.47771022937809</c:v>
                </c:pt>
                <c:pt idx="132">
                  <c:v>-85.441890854447919</c:v>
                </c:pt>
                <c:pt idx="133">
                  <c:v>-85.403687607427344</c:v>
                </c:pt>
                <c:pt idx="134">
                  <c:v>-85.363082381454305</c:v>
                </c:pt>
                <c:pt idx="135">
                  <c:v>-85.320055960498166</c:v>
                </c:pt>
                <c:pt idx="136">
                  <c:v>-85.274588019865448</c:v>
                </c:pt>
                <c:pt idx="137">
                  <c:v>-85.226657126911292</c:v>
                </c:pt>
                <c:pt idx="138">
                  <c:v>-85.17624074200684</c:v>
                </c:pt>
                <c:pt idx="139">
                  <c:v>-85.123315219815851</c:v>
                </c:pt>
                <c:pt idx="140">
                  <c:v>-85.067855810938894</c:v>
                </c:pt>
                <c:pt idx="141">
                  <c:v>-85.009836663985439</c:v>
                </c:pt>
                <c:pt idx="142">
                  <c:v>-84.949230828140799</c:v>
                </c:pt>
                <c:pt idx="143">
                  <c:v>-84.886010256296998</c:v>
                </c:pt>
                <c:pt idx="144">
                  <c:v>-84.820145808823654</c:v>
                </c:pt>
                <c:pt idx="145">
                  <c:v>-84.751607258057504</c:v>
                </c:pt>
                <c:pt idx="146">
                  <c:v>-84.680363293597011</c:v>
                </c:pt>
                <c:pt idx="147">
                  <c:v>-84.606381528491937</c:v>
                </c:pt>
                <c:pt idx="148">
                  <c:v>-84.529628506425027</c:v>
                </c:pt>
                <c:pt idx="149">
                  <c:v>-84.450069709988298</c:v>
                </c:pt>
                <c:pt idx="150">
                  <c:v>-84.367669570163429</c:v>
                </c:pt>
                <c:pt idx="151">
                  <c:v>-84.282391477122502</c:v>
                </c:pt>
                <c:pt idx="152">
                  <c:v>-84.194197792472039</c:v>
                </c:pt>
                <c:pt idx="153">
                  <c:v>-84.103049863071448</c:v>
                </c:pt>
                <c:pt idx="154">
                  <c:v>-84.008908036564108</c:v>
                </c:pt>
                <c:pt idx="155">
                  <c:v>-83.911731678768845</c:v>
                </c:pt>
                <c:pt idx="156">
                  <c:v>-83.811479193086271</c:v>
                </c:pt>
                <c:pt idx="157">
                  <c:v>-83.708108042084319</c:v>
                </c:pt>
                <c:pt idx="158">
                  <c:v>-83.601574771437242</c:v>
                </c:pt>
                <c:pt idx="159">
                  <c:v>-83.491835036400872</c:v>
                </c:pt>
                <c:pt idx="160">
                  <c:v>-83.378843631016665</c:v>
                </c:pt>
                <c:pt idx="161">
                  <c:v>-83.262554520248145</c:v>
                </c:pt>
                <c:pt idx="162">
                  <c:v>-83.142920875264551</c:v>
                </c:pt>
                <c:pt idx="163">
                  <c:v>-83.019895112094133</c:v>
                </c:pt>
                <c:pt idx="164">
                  <c:v>-82.893428933884195</c:v>
                </c:pt>
                <c:pt idx="165">
                  <c:v>-82.763473377015004</c:v>
                </c:pt>
                <c:pt idx="166">
                  <c:v>-82.629978861323806</c:v>
                </c:pt>
                <c:pt idx="167">
                  <c:v>-82.492895244710795</c:v>
                </c:pt>
                <c:pt idx="168">
                  <c:v>-82.352171882406665</c:v>
                </c:pt>
                <c:pt idx="169">
                  <c:v>-82.207757691195312</c:v>
                </c:pt>
                <c:pt idx="170">
                  <c:v>-82.059601218893931</c:v>
                </c:pt>
                <c:pt idx="171">
                  <c:v>-81.907650719408423</c:v>
                </c:pt>
                <c:pt idx="172">
                  <c:v>-81.751854233687069</c:v>
                </c:pt>
                <c:pt idx="173">
                  <c:v>-81.592159676909802</c:v>
                </c:pt>
                <c:pt idx="174">
                  <c:v>-81.428514932260256</c:v>
                </c:pt>
                <c:pt idx="175">
                  <c:v>-81.26086795163296</c:v>
                </c:pt>
                <c:pt idx="176">
                  <c:v>-81.089166863641168</c:v>
                </c:pt>
                <c:pt idx="177">
                  <c:v>-80.913360089294258</c:v>
                </c:pt>
                <c:pt idx="178">
                  <c:v>-80.73339646571948</c:v>
                </c:pt>
                <c:pt idx="179">
                  <c:v>-80.549225378310993</c:v>
                </c:pt>
                <c:pt idx="180">
                  <c:v>-80.360796901684182</c:v>
                </c:pt>
                <c:pt idx="181">
                  <c:v>-80.168061949821791</c:v>
                </c:pt>
                <c:pt idx="182">
                  <c:v>-79.970972435789207</c:v>
                </c:pt>
                <c:pt idx="183">
                  <c:v>-79.769481441395897</c:v>
                </c:pt>
                <c:pt idx="184">
                  <c:v>-79.563543397171074</c:v>
                </c:pt>
                <c:pt idx="185">
                  <c:v>-79.353114273008757</c:v>
                </c:pt>
                <c:pt idx="186">
                  <c:v>-79.138151779826742</c:v>
                </c:pt>
                <c:pt idx="187">
                  <c:v>-78.918615582557464</c:v>
                </c:pt>
                <c:pt idx="188">
                  <c:v>-78.694467524775746</c:v>
                </c:pt>
                <c:pt idx="189">
                  <c:v>-78.465671865228956</c:v>
                </c:pt>
                <c:pt idx="190">
                  <c:v>-78.232195526508718</c:v>
                </c:pt>
                <c:pt idx="191">
                  <c:v>-77.994008356059624</c:v>
                </c:pt>
                <c:pt idx="192">
                  <c:v>-77.751083399676048</c:v>
                </c:pt>
                <c:pt idx="193">
                  <c:v>-77.503397187583403</c:v>
                </c:pt>
                <c:pt idx="194">
                  <c:v>-77.250930033144343</c:v>
                </c:pt>
                <c:pt idx="195">
                  <c:v>-76.9936663441555</c:v>
                </c:pt>
                <c:pt idx="196">
                  <c:v>-76.731594946633635</c:v>
                </c:pt>
                <c:pt idx="197">
                  <c:v>-76.464709420899567</c:v>
                </c:pt>
                <c:pt idx="198">
                  <c:v>-76.193008449680633</c:v>
                </c:pt>
                <c:pt idx="199">
                  <c:v>-75.916496177848146</c:v>
                </c:pt>
                <c:pt idx="200">
                  <c:v>-75.635182583302523</c:v>
                </c:pt>
                <c:pt idx="201">
                  <c:v>-75.349083858391651</c:v>
                </c:pt>
                <c:pt idx="202">
                  <c:v>-75.058222801134434</c:v>
                </c:pt>
                <c:pt idx="203">
                  <c:v>-74.762629215371859</c:v>
                </c:pt>
                <c:pt idx="204">
                  <c:v>-74.462340318838059</c:v>
                </c:pt>
                <c:pt idx="205">
                  <c:v>-74.157401157986456</c:v>
                </c:pt>
                <c:pt idx="206">
                  <c:v>-73.847865028251391</c:v>
                </c:pt>
                <c:pt idx="207">
                  <c:v>-73.533793898265316</c:v>
                </c:pt>
                <c:pt idx="208">
                  <c:v>-73.215258836382446</c:v>
                </c:pt>
                <c:pt idx="209">
                  <c:v>-72.892340437695935</c:v>
                </c:pt>
                <c:pt idx="210">
                  <c:v>-72.565129249556563</c:v>
                </c:pt>
                <c:pt idx="211">
                  <c:v>-72.233726193445207</c:v>
                </c:pt>
                <c:pt idx="212">
                  <c:v>-71.898242980868702</c:v>
                </c:pt>
                <c:pt idx="213">
                  <c:v>-71.558802520801507</c:v>
                </c:pt>
                <c:pt idx="214">
                  <c:v>-71.21553931603647</c:v>
                </c:pt>
                <c:pt idx="215">
                  <c:v>-70.868599845663638</c:v>
                </c:pt>
                <c:pt idx="216">
                  <c:v>-70.518142930776719</c:v>
                </c:pt>
                <c:pt idx="217">
                  <c:v>-70.164340080381876</c:v>
                </c:pt>
                <c:pt idx="218">
                  <c:v>-69.807375814409298</c:v>
                </c:pt>
                <c:pt idx="219">
                  <c:v>-69.447447960646556</c:v>
                </c:pt>
                <c:pt idx="220">
                  <c:v>-69.084767922378902</c:v>
                </c:pt>
                <c:pt idx="221">
                  <c:v>-68.719560913516119</c:v>
                </c:pt>
                <c:pt idx="222">
                  <c:v>-68.352066157996973</c:v>
                </c:pt>
                <c:pt idx="223">
                  <c:v>-67.982537050334102</c:v>
                </c:pt>
                <c:pt idx="224">
                  <c:v>-67.611241274250816</c:v>
                </c:pt>
                <c:pt idx="225">
                  <c:v>-67.238460876506196</c:v>
                </c:pt>
                <c:pt idx="226">
                  <c:v>-66.86449229317688</c:v>
                </c:pt>
                <c:pt idx="227">
                  <c:v>-66.489646325898562</c:v>
                </c:pt>
                <c:pt idx="228">
                  <c:v>-66.114248065824668</c:v>
                </c:pt>
                <c:pt idx="229">
                  <c:v>-65.738636763372853</c:v>
                </c:pt>
                <c:pt idx="230">
                  <c:v>-65.363165642183361</c:v>
                </c:pt>
                <c:pt idx="231">
                  <c:v>-64.988201656095981</c:v>
                </c:pt>
                <c:pt idx="232">
                  <c:v>-64.614125188374288</c:v>
                </c:pt>
                <c:pt idx="233">
                  <c:v>-64.241329692868831</c:v>
                </c:pt>
                <c:pt idx="234">
                  <c:v>-63.87022127728585</c:v>
                </c:pt>
                <c:pt idx="235">
                  <c:v>-63.501218229227618</c:v>
                </c:pt>
                <c:pt idx="236">
                  <c:v>-63.134750486196175</c:v>
                </c:pt>
                <c:pt idx="237">
                  <c:v>-62.771259051261104</c:v>
                </c:pt>
                <c:pt idx="238">
                  <c:v>-62.411195356624326</c:v>
                </c:pt>
                <c:pt idx="239">
                  <c:v>-62.055020577819036</c:v>
                </c:pt>
                <c:pt idx="240">
                  <c:v>-61.703204901775663</c:v>
                </c:pt>
                <c:pt idx="241">
                  <c:v>-61.35622675245807</c:v>
                </c:pt>
                <c:pt idx="242">
                  <c:v>-61.014571978198767</c:v>
                </c:pt>
                <c:pt idx="243">
                  <c:v>-60.678733005261549</c:v>
                </c:pt>
                <c:pt idx="244">
                  <c:v>-60.349207962493296</c:v>
                </c:pt>
                <c:pt idx="245">
                  <c:v>-60.026499782213051</c:v>
                </c:pt>
                <c:pt idx="246">
                  <c:v>-59.711115282714694</c:v>
                </c:pt>
                <c:pt idx="247">
                  <c:v>-59.403564237906217</c:v>
                </c:pt>
                <c:pt idx="248">
                  <c:v>-59.104358439705116</c:v>
                </c:pt>
                <c:pt idx="249">
                  <c:v>-58.814010758815371</c:v>
                </c:pt>
                <c:pt idx="250">
                  <c:v>-58.533034209468056</c:v>
                </c:pt>
                <c:pt idx="251">
                  <c:v>-58.261941023561093</c:v>
                </c:pt>
                <c:pt idx="252">
                  <c:v>-58.001241739455097</c:v>
                </c:pt>
                <c:pt idx="253">
                  <c:v>-57.751444310402846</c:v>
                </c:pt>
                <c:pt idx="254">
                  <c:v>-57.513053237284339</c:v>
                </c:pt>
                <c:pt idx="255">
                  <c:v>-57.286568729914265</c:v>
                </c:pt>
                <c:pt idx="256">
                  <c:v>-57.072485900791015</c:v>
                </c:pt>
                <c:pt idx="257">
                  <c:v>-56.871293994661855</c:v>
                </c:pt>
                <c:pt idx="258">
                  <c:v>-56.683475656790669</c:v>
                </c:pt>
                <c:pt idx="259">
                  <c:v>-56.509506242286356</c:v>
                </c:pt>
                <c:pt idx="260">
                  <c:v>-56.349853168304257</c:v>
                </c:pt>
                <c:pt idx="261">
                  <c:v>-56.204975310382657</c:v>
                </c:pt>
                <c:pt idx="262">
                  <c:v>-56.075322443635486</c:v>
                </c:pt>
                <c:pt idx="263">
                  <c:v>-55.961334728972481</c:v>
                </c:pt>
                <c:pt idx="264">
                  <c:v>-55.863442243999849</c:v>
                </c:pt>
                <c:pt idx="265">
                  <c:v>-55.782064557756023</c:v>
                </c:pt>
                <c:pt idx="266">
                  <c:v>-55.717610347967387</c:v>
                </c:pt>
                <c:pt idx="267">
                  <c:v>-55.670477059066741</c:v>
                </c:pt>
                <c:pt idx="268">
                  <c:v>-55.641050598831008</c:v>
                </c:pt>
                <c:pt idx="269">
                  <c:v>-55.62970507113657</c:v>
                </c:pt>
                <c:pt idx="270">
                  <c:v>-55.636802542025634</c:v>
                </c:pt>
                <c:pt idx="271">
                  <c:v>-55.662692836012994</c:v>
                </c:pt>
                <c:pt idx="272">
                  <c:v>-55.707713359361634</c:v>
                </c:pt>
                <c:pt idx="273">
                  <c:v>-55.772188946877861</c:v>
                </c:pt>
                <c:pt idx="274">
                  <c:v>-55.856431728683091</c:v>
                </c:pt>
                <c:pt idx="275">
                  <c:v>-55.960741013334093</c:v>
                </c:pt>
                <c:pt idx="276">
                  <c:v>-56.08540318365845</c:v>
                </c:pt>
                <c:pt idx="277">
                  <c:v>-56.230691601685209</c:v>
                </c:pt>
                <c:pt idx="278">
                  <c:v>-56.396866519132352</c:v>
                </c:pt>
                <c:pt idx="279">
                  <c:v>-56.584174989999212</c:v>
                </c:pt>
                <c:pt idx="280">
                  <c:v>-56.792850781976803</c:v>
                </c:pt>
                <c:pt idx="281">
                  <c:v>-57.023114283548729</c:v>
                </c:pt>
                <c:pt idx="282">
                  <c:v>-57.275172403878884</c:v>
                </c:pt>
                <c:pt idx="283">
                  <c:v>-57.549218462812405</c:v>
                </c:pt>
                <c:pt idx="284">
                  <c:v>-57.845432068580372</c:v>
                </c:pt>
                <c:pt idx="285">
                  <c:v>-58.163978981093194</c:v>
                </c:pt>
                <c:pt idx="286">
                  <c:v>-58.5050109590087</c:v>
                </c:pt>
                <c:pt idx="287">
                  <c:v>-58.868665589089936</c:v>
                </c:pt>
                <c:pt idx="288">
                  <c:v>-59.255066096708617</c:v>
                </c:pt>
                <c:pt idx="289">
                  <c:v>-59.664321136710647</c:v>
                </c:pt>
                <c:pt idx="290">
                  <c:v>-60.09652456421373</c:v>
                </c:pt>
                <c:pt idx="291">
                  <c:v>-60.551755185296166</c:v>
                </c:pt>
                <c:pt idx="292">
                  <c:v>-61.030076487906413</c:v>
                </c:pt>
                <c:pt idx="293">
                  <c:v>-61.531536353710067</c:v>
                </c:pt>
                <c:pt idx="294">
                  <c:v>-62.056166751978196</c:v>
                </c:pt>
                <c:pt idx="295">
                  <c:v>-62.603983417003171</c:v>
                </c:pt>
                <c:pt idx="296">
                  <c:v>-63.174985510912265</c:v>
                </c:pt>
                <c:pt idx="297">
                  <c:v>-63.76915527412072</c:v>
                </c:pt>
                <c:pt idx="298">
                  <c:v>-64.386457666032086</c:v>
                </c:pt>
                <c:pt idx="299">
                  <c:v>-65.026839998949143</c:v>
                </c:pt>
                <c:pt idx="300">
                  <c:v>-65.690231568493303</c:v>
                </c:pt>
                <c:pt idx="301">
                  <c:v>-66.376543284149079</c:v>
                </c:pt>
                <c:pt idx="302">
                  <c:v>-67.08566730385229</c:v>
                </c:pt>
                <c:pt idx="303">
                  <c:v>-67.817476676800567</c:v>
                </c:pt>
                <c:pt idx="304">
                  <c:v>-68.571824998919368</c:v>
                </c:pt>
                <c:pt idx="305">
                  <c:v>-69.348546085610522</c:v>
                </c:pt>
                <c:pt idx="306">
                  <c:v>-70.147453666596149</c:v>
                </c:pt>
                <c:pt idx="307">
                  <c:v>-70.968341107784809</c:v>
                </c:pt>
                <c:pt idx="308">
                  <c:v>-71.810981165191563</c:v>
                </c:pt>
                <c:pt idx="309">
                  <c:v>-72.675125775964588</c:v>
                </c:pt>
                <c:pt idx="310">
                  <c:v>-73.560505891577577</c:v>
                </c:pt>
                <c:pt idx="311">
                  <c:v>-74.466831358170438</c:v>
                </c:pt>
                <c:pt idx="312">
                  <c:v>-75.393790848912232</c:v>
                </c:pt>
                <c:pt idx="313">
                  <c:v>-76.341051853083584</c:v>
                </c:pt>
                <c:pt idx="314">
                  <c:v>-77.308260726344116</c:v>
                </c:pt>
                <c:pt idx="315">
                  <c:v>-78.295042806368173</c:v>
                </c:pt>
                <c:pt idx="316">
                  <c:v>-79.301002597686121</c:v>
                </c:pt>
                <c:pt idx="317">
                  <c:v>-80.325724029168768</c:v>
                </c:pt>
                <c:pt idx="318">
                  <c:v>-81.368770787149856</c:v>
                </c:pt>
                <c:pt idx="319">
                  <c:v>-82.42968672667476</c:v>
                </c:pt>
                <c:pt idx="320">
                  <c:v>-83.507996362823789</c:v>
                </c:pt>
                <c:pt idx="321">
                  <c:v>-84.603205443474835</c:v>
                </c:pt>
                <c:pt idx="322">
                  <c:v>-85.714801604244556</c:v>
                </c:pt>
                <c:pt idx="323">
                  <c:v>-86.842255105707665</c:v>
                </c:pt>
                <c:pt idx="324">
                  <c:v>-87.985019652318385</c:v>
                </c:pt>
                <c:pt idx="325">
                  <c:v>-89.142533291771912</c:v>
                </c:pt>
                <c:pt idx="326">
                  <c:v>-90.31421939285525</c:v>
                </c:pt>
                <c:pt idx="327">
                  <c:v>-91.499487699148858</c:v>
                </c:pt>
                <c:pt idx="328">
                  <c:v>-92.697735455244739</c:v>
                </c:pt>
                <c:pt idx="329">
                  <c:v>-93.908348601505509</c:v>
                </c:pt>
                <c:pt idx="330">
                  <c:v>-95.130703032715871</c:v>
                </c:pt>
                <c:pt idx="331">
                  <c:v>-96.364165915405962</c:v>
                </c:pt>
                <c:pt idx="332">
                  <c:v>-97.608097058026502</c:v>
                </c:pt>
                <c:pt idx="333">
                  <c:v>-98.861850327660221</c:v>
                </c:pt>
                <c:pt idx="334">
                  <c:v>-100.12477510646507</c:v>
                </c:pt>
                <c:pt idx="335">
                  <c:v>-101.39621778065172</c:v>
                </c:pt>
                <c:pt idx="336">
                  <c:v>-102.67552325443711</c:v>
                </c:pt>
                <c:pt idx="337">
                  <c:v>-103.96203648115602</c:v>
                </c:pt>
                <c:pt idx="338">
                  <c:v>-105.25510400348489</c:v>
                </c:pt>
                <c:pt idx="339">
                  <c:v>-106.55407549461175</c:v>
                </c:pt>
                <c:pt idx="340">
                  <c:v>-107.85830529212268</c:v>
                </c:pt>
                <c:pt idx="341">
                  <c:v>-109.16715391639443</c:v>
                </c:pt>
                <c:pt idx="342">
                  <c:v>-110.47998956536348</c:v>
                </c:pt>
                <c:pt idx="343">
                  <c:v>-111.79618957771862</c:v>
                </c:pt>
                <c:pt idx="344">
                  <c:v>-113.11514185679566</c:v>
                </c:pt>
                <c:pt idx="345">
                  <c:v>-114.43624624774823</c:v>
                </c:pt>
                <c:pt idx="346">
                  <c:v>-115.7589158609543</c:v>
                </c:pt>
                <c:pt idx="347">
                  <c:v>-117.08257833501959</c:v>
                </c:pt>
                <c:pt idx="348">
                  <c:v>-118.40667703325596</c:v>
                </c:pt>
                <c:pt idx="349">
                  <c:v>-119.7306721679975</c:v>
                </c:pt>
                <c:pt idx="350">
                  <c:v>-121.05404184773332</c:v>
                </c:pt>
                <c:pt idx="351">
                  <c:v>-122.37628304259766</c:v>
                </c:pt>
                <c:pt idx="352">
                  <c:v>-123.69691246442426</c:v>
                </c:pt>
                <c:pt idx="353">
                  <c:v>-125.01546735818626</c:v>
                </c:pt>
                <c:pt idx="354">
                  <c:v>-126.33150620234379</c:v>
                </c:pt>
                <c:pt idx="355">
                  <c:v>-127.64460931622754</c:v>
                </c:pt>
                <c:pt idx="356">
                  <c:v>-128.95437937330539</c:v>
                </c:pt>
                <c:pt idx="357">
                  <c:v>-130.26044181977377</c:v>
                </c:pt>
                <c:pt idx="358">
                  <c:v>-131.56244519856929</c:v>
                </c:pt>
                <c:pt idx="359">
                  <c:v>-132.86006137948007</c:v>
                </c:pt>
                <c:pt idx="360">
                  <c:v>-134.15298569661573</c:v>
                </c:pt>
                <c:pt idx="361">
                  <c:v>-135.440936995008</c:v>
                </c:pt>
                <c:pt idx="362">
                  <c:v>-136.72365758862097</c:v>
                </c:pt>
                <c:pt idx="363">
                  <c:v>-138.00091313247989</c:v>
                </c:pt>
                <c:pt idx="364">
                  <c:v>-139.2724924120196</c:v>
                </c:pt>
                <c:pt idx="365">
                  <c:v>-140.53820705311307</c:v>
                </c:pt>
                <c:pt idx="366">
                  <c:v>-141.79789115651948</c:v>
                </c:pt>
                <c:pt idx="367">
                  <c:v>-143.0514008607403</c:v>
                </c:pt>
                <c:pt idx="368">
                  <c:v>-144.29861383746243</c:v>
                </c:pt>
                <c:pt idx="369">
                  <c:v>-145.53942872391161</c:v>
                </c:pt>
                <c:pt idx="370">
                  <c:v>-146.77376449653281</c:v>
                </c:pt>
                <c:pt idx="371">
                  <c:v>-148.00155979046784</c:v>
                </c:pt>
                <c:pt idx="372">
                  <c:v>-149.22277216931192</c:v>
                </c:pt>
                <c:pt idx="373">
                  <c:v>-150.43737734959609</c:v>
                </c:pt>
                <c:pt idx="374">
                  <c:v>-151.64536838439616</c:v>
                </c:pt>
                <c:pt idx="375">
                  <c:v>-152.84675481036456</c:v>
                </c:pt>
                <c:pt idx="376">
                  <c:v>-154.0415617623741</c:v>
                </c:pt>
                <c:pt idx="377">
                  <c:v>-155.22982905983108</c:v>
                </c:pt>
                <c:pt idx="378">
                  <c:v>-156.41161026855337</c:v>
                </c:pt>
                <c:pt idx="379">
                  <c:v>-157.58697174196206</c:v>
                </c:pt>
                <c:pt idx="380">
                  <c:v>-158.75599164515029</c:v>
                </c:pt>
                <c:pt idx="381">
                  <c:v>-159.91875896523234</c:v>
                </c:pt>
                <c:pt idx="382">
                  <c:v>-161.07537251120044</c:v>
                </c:pt>
                <c:pt idx="383">
                  <c:v>-162.22593990634599</c:v>
                </c:pt>
                <c:pt idx="384">
                  <c:v>-163.37057657614676</c:v>
                </c:pt>
                <c:pt idx="385">
                  <c:v>-164.50940473436827</c:v>
                </c:pt>
                <c:pt idx="386">
                  <c:v>-165.64255236999122</c:v>
                </c:pt>
                <c:pt idx="387">
                  <c:v>-166.77015223745508</c:v>
                </c:pt>
                <c:pt idx="388">
                  <c:v>-167.89234085259818</c:v>
                </c:pt>
                <c:pt idx="389">
                  <c:v>-169.00925749658853</c:v>
                </c:pt>
                <c:pt idx="390">
                  <c:v>-170.12104323006719</c:v>
                </c:pt>
                <c:pt idx="391">
                  <c:v>-171.22783991967248</c:v>
                </c:pt>
                <c:pt idx="392">
                  <c:v>-172.32978927908053</c:v>
                </c:pt>
                <c:pt idx="393">
                  <c:v>-173.42703192668037</c:v>
                </c:pt>
                <c:pt idx="394">
                  <c:v>-174.51970646200172</c:v>
                </c:pt>
                <c:pt idx="395">
                  <c:v>-175.60794856303167</c:v>
                </c:pt>
                <c:pt idx="396">
                  <c:v>-176.69189010658098</c:v>
                </c:pt>
                <c:pt idx="397">
                  <c:v>-177.77165831391056</c:v>
                </c:pt>
                <c:pt idx="398">
                  <c:v>-178.84737492387043</c:v>
                </c:pt>
                <c:pt idx="399">
                  <c:v>-179.91915539586682</c:v>
                </c:pt>
                <c:pt idx="400">
                  <c:v>179.01289185497049</c:v>
                </c:pt>
                <c:pt idx="401">
                  <c:v>177.94866618798559</c:v>
                </c:pt>
                <c:pt idx="402">
                  <c:v>176.88807543006982</c:v>
                </c:pt>
                <c:pt idx="403">
                  <c:v>175.83103652907005</c:v>
                </c:pt>
                <c:pt idx="404">
                  <c:v>174.77747616495873</c:v>
                </c:pt>
                <c:pt idx="405">
                  <c:v>173.72733131616235</c:v>
                </c:pt>
                <c:pt idx="406">
                  <c:v>172.68054977845145</c:v>
                </c:pt>
                <c:pt idx="407">
                  <c:v>171.63709063380873</c:v>
                </c:pt>
                <c:pt idx="408">
                  <c:v>170.59692466674241</c:v>
                </c:pt>
                <c:pt idx="409">
                  <c:v>169.5600347255876</c:v>
                </c:pt>
                <c:pt idx="410">
                  <c:v>168.52641602645389</c:v>
                </c:pt>
                <c:pt idx="411">
                  <c:v>167.49607639761834</c:v>
                </c:pt>
                <c:pt idx="412">
                  <c:v>166.46903646235205</c:v>
                </c:pt>
                <c:pt idx="413">
                  <c:v>165.44532975839434</c:v>
                </c:pt>
                <c:pt idx="414">
                  <c:v>164.42500279254637</c:v>
                </c:pt>
                <c:pt idx="415">
                  <c:v>163.40811502917265</c:v>
                </c:pt>
                <c:pt idx="416">
                  <c:v>162.39473881172631</c:v>
                </c:pt>
                <c:pt idx="417">
                  <c:v>161.3849592168159</c:v>
                </c:pt>
                <c:pt idx="418">
                  <c:v>160.37887384072323</c:v>
                </c:pt>
                <c:pt idx="419">
                  <c:v>159.37659251875266</c:v>
                </c:pt>
                <c:pt idx="420">
                  <c:v>158.37823697823885</c:v>
                </c:pt>
                <c:pt idx="421">
                  <c:v>157.38394042655582</c:v>
                </c:pt>
                <c:pt idx="422">
                  <c:v>156.39384707596227</c:v>
                </c:pt>
                <c:pt idx="423">
                  <c:v>155.40811160763161</c:v>
                </c:pt>
                <c:pt idx="424">
                  <c:v>154.42689857774079</c:v>
                </c:pt>
                <c:pt idx="425">
                  <c:v>153.4503817689799</c:v>
                </c:pt>
                <c:pt idx="426">
                  <c:v>152.47874349134207</c:v>
                </c:pt>
                <c:pt idx="427">
                  <c:v>151.51217383652053</c:v>
                </c:pt>
                <c:pt idx="428">
                  <c:v>150.55086989065347</c:v>
                </c:pt>
                <c:pt idx="429">
                  <c:v>149.59503491055747</c:v>
                </c:pt>
                <c:pt idx="430">
                  <c:v>148.64487746893363</c:v>
                </c:pt>
                <c:pt idx="431">
                  <c:v>147.70061057430013</c:v>
                </c:pt>
                <c:pt idx="432">
                  <c:v>146.76245077164739</c:v>
                </c:pt>
                <c:pt idx="433">
                  <c:v>145.83061722995643</c:v>
                </c:pt>
                <c:pt idx="434">
                  <c:v>144.90533082282656</c:v>
                </c:pt>
                <c:pt idx="435">
                  <c:v>143.98681320846677</c:v>
                </c:pt>
                <c:pt idx="436">
                  <c:v>143.07528591526355</c:v>
                </c:pt>
                <c:pt idx="437">
                  <c:v>142.17096943901277</c:v>
                </c:pt>
                <c:pt idx="438">
                  <c:v>141.27408235771904</c:v>
                </c:pt>
                <c:pt idx="439">
                  <c:v>140.38484046960551</c:v>
                </c:pt>
                <c:pt idx="440">
                  <c:v>139.50345595966922</c:v>
                </c:pt>
                <c:pt idx="441">
                  <c:v>138.63013659974183</c:v>
                </c:pt>
                <c:pt idx="442">
                  <c:v>137.76508498660326</c:v>
                </c:pt>
                <c:pt idx="443">
                  <c:v>136.90849782223046</c:v>
                </c:pt>
                <c:pt idx="444">
                  <c:v>136.06056523978154</c:v>
                </c:pt>
                <c:pt idx="445">
                  <c:v>135.22147017838302</c:v>
                </c:pt>
                <c:pt idx="446">
                  <c:v>134.3913878092722</c:v>
                </c:pt>
                <c:pt idx="447">
                  <c:v>133.57048501529027</c:v>
                </c:pt>
                <c:pt idx="448">
                  <c:v>132.75891992518811</c:v>
                </c:pt>
                <c:pt idx="449">
                  <c:v>131.95684150366949</c:v>
                </c:pt>
                <c:pt idx="450">
                  <c:v>131.16438919757749</c:v>
                </c:pt>
                <c:pt idx="451">
                  <c:v>130.38169263813458</c:v>
                </c:pt>
                <c:pt idx="452">
                  <c:v>129.60887139867071</c:v>
                </c:pt>
                <c:pt idx="453">
                  <c:v>128.84603480684379</c:v>
                </c:pt>
                <c:pt idx="454">
                  <c:v>128.09328180995027</c:v>
                </c:pt>
                <c:pt idx="455">
                  <c:v>127.35070089155704</c:v>
                </c:pt>
                <c:pt idx="456">
                  <c:v>126.61837003738117</c:v>
                </c:pt>
                <c:pt idx="457">
                  <c:v>125.89635674804404</c:v>
                </c:pt>
                <c:pt idx="458">
                  <c:v>125.18471809611611</c:v>
                </c:pt>
                <c:pt idx="459">
                  <c:v>124.48350082466062</c:v>
                </c:pt>
                <c:pt idx="460">
                  <c:v>123.79274148434742</c:v>
                </c:pt>
                <c:pt idx="461">
                  <c:v>123.11246660609949</c:v>
                </c:pt>
                <c:pt idx="462">
                  <c:v>122.4426929061658</c:v>
                </c:pt>
                <c:pt idx="463">
                  <c:v>121.78342752048113</c:v>
                </c:pt>
                <c:pt idx="464">
                  <c:v>121.13466826518807</c:v>
                </c:pt>
                <c:pt idx="465">
                  <c:v>120.49640392021287</c:v>
                </c:pt>
                <c:pt idx="466">
                  <c:v>119.86861453285994</c:v>
                </c:pt>
                <c:pt idx="467">
                  <c:v>119.25127173847213</c:v>
                </c:pt>
                <c:pt idx="468">
                  <c:v>118.64433909530716</c:v>
                </c:pt>
                <c:pt idx="469">
                  <c:v>118.04777243090463</c:v>
                </c:pt>
                <c:pt idx="470">
                  <c:v>117.46152019735771</c:v>
                </c:pt>
                <c:pt idx="471">
                  <c:v>116.88552383304639</c:v>
                </c:pt>
                <c:pt idx="472">
                  <c:v>116.31971812855546</c:v>
                </c:pt>
                <c:pt idx="473">
                  <c:v>115.76403159464893</c:v>
                </c:pt>
                <c:pt idx="474">
                  <c:v>115.21838683035402</c:v>
                </c:pt>
                <c:pt idx="475">
                  <c:v>114.68270088935951</c:v>
                </c:pt>
                <c:pt idx="476">
                  <c:v>114.1568856431127</c:v>
                </c:pt>
                <c:pt idx="477">
                  <c:v>113.64084813914859</c:v>
                </c:pt>
                <c:pt idx="478">
                  <c:v>113.13449095335609</c:v>
                </c:pt>
                <c:pt idx="479">
                  <c:v>112.63771253503305</c:v>
                </c:pt>
                <c:pt idx="480">
                  <c:v>112.15040754372833</c:v>
                </c:pt>
                <c:pt idx="481">
                  <c:v>111.67246717701775</c:v>
                </c:pt>
                <c:pt idx="482">
                  <c:v>111.20377948847889</c:v>
                </c:pt>
                <c:pt idx="483">
                  <c:v>110.74422969527348</c:v>
                </c:pt>
                <c:pt idx="484">
                  <c:v>110.29370047484221</c:v>
                </c:pt>
                <c:pt idx="485">
                  <c:v>109.85207225034017</c:v>
                </c:pt>
                <c:pt idx="486">
                  <c:v>109.41922346453151</c:v>
                </c:pt>
                <c:pt idx="487">
                  <c:v>108.99503084195217</c:v>
                </c:pt>
                <c:pt idx="488">
                  <c:v>108.57936963924273</c:v>
                </c:pt>
                <c:pt idx="489">
                  <c:v>108.172113883606</c:v>
                </c:pt>
                <c:pt idx="490">
                  <c:v>107.7731365994382</c:v>
                </c:pt>
                <c:pt idx="491">
                  <c:v>107.38231002321332</c:v>
                </c:pt>
                <c:pt idx="492">
                  <c:v>106.99950580677552</c:v>
                </c:pt>
                <c:pt idx="493">
                  <c:v>106.62459520922471</c:v>
                </c:pt>
                <c:pt idx="494">
                  <c:v>106.25744927762514</c:v>
                </c:pt>
                <c:pt idx="495">
                  <c:v>105.89793901680144</c:v>
                </c:pt>
                <c:pt idx="496">
                  <c:v>105.54593554851019</c:v>
                </c:pt>
                <c:pt idx="497">
                  <c:v>105.20131026030225</c:v>
                </c:pt>
                <c:pt idx="498">
                  <c:v>104.86393494440642</c:v>
                </c:pt>
                <c:pt idx="499">
                  <c:v>104.53368192698257</c:v>
                </c:pt>
                <c:pt idx="500">
                  <c:v>104.21042418809931</c:v>
                </c:pt>
                <c:pt idx="501">
                  <c:v>103.89403547280259</c:v>
                </c:pt>
                <c:pt idx="502">
                  <c:v>103.58439039364353</c:v>
                </c:pt>
                <c:pt idx="503">
                  <c:v>103.28136452503489</c:v>
                </c:pt>
                <c:pt idx="504">
                  <c:v>102.98483448980939</c:v>
                </c:pt>
                <c:pt idx="505">
                  <c:v>102.69467803834486</c:v>
                </c:pt>
                <c:pt idx="506">
                  <c:v>102.41077412062106</c:v>
                </c:pt>
                <c:pt idx="507">
                  <c:v>102.133002951565</c:v>
                </c:pt>
                <c:pt idx="508">
                  <c:v>101.86124607003573</c:v>
                </c:pt>
                <c:pt idx="509">
                  <c:v>101.59538639179068</c:v>
                </c:pt>
                <c:pt idx="510">
                  <c:v>101.33530825676623</c:v>
                </c:pt>
                <c:pt idx="511">
                  <c:v>101.08089747099626</c:v>
                </c:pt>
                <c:pt idx="512">
                  <c:v>100.83204134348185</c:v>
                </c:pt>
                <c:pt idx="513">
                  <c:v>100.58862871831332</c:v>
                </c:pt>
                <c:pt idx="514">
                  <c:v>100.35055000233638</c:v>
                </c:pt>
                <c:pt idx="515">
                  <c:v>100.11769718864224</c:v>
                </c:pt>
                <c:pt idx="516">
                  <c:v>99.889963876148386</c:v>
                </c:pt>
                <c:pt idx="517">
                  <c:v>99.667245285528395</c:v>
                </c:pt>
                <c:pt idx="518">
                  <c:v>99.449438271735829</c:v>
                </c:pt>
                <c:pt idx="519">
                  <c:v>99.236441333355017</c:v>
                </c:pt>
                <c:pt idx="520">
                  <c:v>99.02815461900272</c:v>
                </c:pt>
                <c:pt idx="521">
                  <c:v>98.82447993099241</c:v>
                </c:pt>
                <c:pt idx="522">
                  <c:v>98.625320726462164</c:v>
                </c:pt>
                <c:pt idx="523">
                  <c:v>98.43058211615633</c:v>
                </c:pt>
                <c:pt idx="524">
                  <c:v>98.240170861043083</c:v>
                </c:pt>
                <c:pt idx="525">
                  <c:v>98.053995366936888</c:v>
                </c:pt>
                <c:pt idx="526">
                  <c:v>97.871965677288955</c:v>
                </c:pt>
                <c:pt idx="527">
                  <c:v>97.693993464296383</c:v>
                </c:pt>
                <c:pt idx="528">
                  <c:v>97.519992018474255</c:v>
                </c:pt>
                <c:pt idx="529">
                  <c:v>97.349876236824898</c:v>
                </c:pt>
                <c:pt idx="530">
                  <c:v>97.183562609732675</c:v>
                </c:pt>
                <c:pt idx="531">
                  <c:v>97.020969206701338</c:v>
                </c:pt>
                <c:pt idx="532">
                  <c:v>96.862015661047451</c:v>
                </c:pt>
                <c:pt idx="533">
                  <c:v>96.706623153653268</c:v>
                </c:pt>
                <c:pt idx="534">
                  <c:v>96.554714395878364</c:v>
                </c:pt>
                <c:pt idx="535">
                  <c:v>96.406213611720588</c:v>
                </c:pt>
                <c:pt idx="536">
                  <c:v>96.261046519312572</c:v>
                </c:pt>
                <c:pt idx="537">
                  <c:v>96.119140311832879</c:v>
                </c:pt>
                <c:pt idx="538">
                  <c:v>95.98042363790745</c:v>
                </c:pt>
                <c:pt idx="539">
                  <c:v>95.844826581569208</c:v>
                </c:pt>
                <c:pt idx="540">
                  <c:v>95.712280641841716</c:v>
                </c:pt>
                <c:pt idx="541">
                  <c:v>95.582718712005345</c:v>
                </c:pt>
              </c:numCache>
            </c:numRef>
          </c:yVal>
          <c:smooth val="1"/>
          <c:extLst>
            <c:ext xmlns:c16="http://schemas.microsoft.com/office/drawing/2014/chart" uri="{C3380CC4-5D6E-409C-BE32-E72D297353CC}">
              <c16:uniqueId val="{00000001-0FB9-4663-91DF-5C8FC461A7AF}"/>
            </c:ext>
          </c:extLst>
        </c:ser>
        <c:dLbls>
          <c:showLegendKey val="0"/>
          <c:showVal val="0"/>
          <c:showCatName val="0"/>
          <c:showSerName val="0"/>
          <c:showPercent val="0"/>
          <c:showBubbleSize val="0"/>
        </c:dLbls>
        <c:axId val="555250048"/>
        <c:axId val="555235968"/>
      </c:scatterChart>
      <c:valAx>
        <c:axId val="555231872"/>
        <c:scaling>
          <c:logBase val="10"/>
          <c:orientation val="minMax"/>
          <c:max val="2200000"/>
          <c:min val="10"/>
        </c:scaling>
        <c:delete val="0"/>
        <c:axPos val="b"/>
        <c:minorGridlines/>
        <c:title>
          <c:tx>
            <c:rich>
              <a:bodyPr/>
              <a:lstStyle/>
              <a:p>
                <a:pPr>
                  <a:defRPr/>
                </a:pPr>
                <a:r>
                  <a:rPr lang="en-US"/>
                  <a:t>Frequency</a:t>
                </a:r>
                <a:r>
                  <a:rPr lang="en-US" baseline="0"/>
                  <a:t> (Hz)</a:t>
                </a:r>
                <a:endParaRPr lang="en-US"/>
              </a:p>
            </c:rich>
          </c:tx>
          <c:overlay val="0"/>
        </c:title>
        <c:numFmt formatCode="0" sourceLinked="0"/>
        <c:majorTickMark val="out"/>
        <c:minorTickMark val="none"/>
        <c:tickLblPos val="low"/>
        <c:crossAx val="555234048"/>
        <c:crosses val="autoZero"/>
        <c:crossBetween val="midCat"/>
      </c:valAx>
      <c:valAx>
        <c:axId val="555234048"/>
        <c:scaling>
          <c:orientation val="minMax"/>
          <c:max val="40"/>
          <c:min val="-40"/>
        </c:scaling>
        <c:delete val="0"/>
        <c:axPos val="l"/>
        <c:majorGridlines/>
        <c:minorGridlines/>
        <c:title>
          <c:tx>
            <c:rich>
              <a:bodyPr rot="-5400000" vert="horz"/>
              <a:lstStyle/>
              <a:p>
                <a:pPr>
                  <a:defRPr/>
                </a:pPr>
                <a:r>
                  <a:rPr lang="en-US"/>
                  <a:t>Gain</a:t>
                </a:r>
                <a:r>
                  <a:rPr lang="en-US" baseline="0"/>
                  <a:t> (dB)</a:t>
                </a:r>
                <a:endParaRPr lang="en-US"/>
              </a:p>
            </c:rich>
          </c:tx>
          <c:overlay val="0"/>
        </c:title>
        <c:numFmt formatCode="General" sourceLinked="0"/>
        <c:majorTickMark val="out"/>
        <c:minorTickMark val="none"/>
        <c:tickLblPos val="nextTo"/>
        <c:crossAx val="555231872"/>
        <c:crosses val="autoZero"/>
        <c:crossBetween val="midCat"/>
        <c:majorUnit val="20"/>
        <c:minorUnit val="10"/>
      </c:valAx>
      <c:valAx>
        <c:axId val="555235968"/>
        <c:scaling>
          <c:orientation val="minMax"/>
          <c:max val="180"/>
          <c:min val="-180"/>
        </c:scaling>
        <c:delete val="0"/>
        <c:axPos val="r"/>
        <c:numFmt formatCode="General" sourceLinked="1"/>
        <c:majorTickMark val="out"/>
        <c:minorTickMark val="none"/>
        <c:tickLblPos val="nextTo"/>
        <c:crossAx val="555250048"/>
        <c:crosses val="max"/>
        <c:crossBetween val="midCat"/>
        <c:majorUnit val="90"/>
        <c:minorUnit val="45"/>
      </c:valAx>
      <c:valAx>
        <c:axId val="555250048"/>
        <c:scaling>
          <c:logBase val="10"/>
          <c:orientation val="minMax"/>
        </c:scaling>
        <c:delete val="1"/>
        <c:axPos val="b"/>
        <c:numFmt formatCode="0.00" sourceLinked="1"/>
        <c:majorTickMark val="out"/>
        <c:minorTickMark val="none"/>
        <c:tickLblPos val="nextTo"/>
        <c:crossAx val="555235968"/>
        <c:crosses val="autoZero"/>
        <c:crossBetween val="midCat"/>
      </c:valAx>
    </c:plotArea>
    <c:legend>
      <c:legendPos val="r"/>
      <c:layout>
        <c:manualLayout>
          <c:xMode val="edge"/>
          <c:yMode val="edge"/>
          <c:x val="0.79880558209512509"/>
          <c:y val="0.14321997959862004"/>
          <c:w val="0.13459449276057311"/>
          <c:h val="0.10691609861199437"/>
        </c:manualLayout>
      </c:layout>
      <c:overlay val="1"/>
      <c:spPr>
        <a:solidFill>
          <a:schemeClr val="bg1"/>
        </a:solidFill>
      </c:spPr>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Error</a:t>
            </a:r>
            <a:r>
              <a:rPr lang="en-US" baseline="0"/>
              <a:t> Amplifier Transfer</a:t>
            </a:r>
          </a:p>
        </c:rich>
      </c:tx>
      <c:overlay val="0"/>
    </c:title>
    <c:autoTitleDeleted val="0"/>
    <c:plotArea>
      <c:layout/>
      <c:scatterChart>
        <c:scatterStyle val="smoothMarker"/>
        <c:varyColors val="0"/>
        <c:ser>
          <c:idx val="0"/>
          <c:order val="0"/>
          <c:tx>
            <c:v>Gain(dB)</c:v>
          </c:tx>
          <c:marker>
            <c:symbol val="none"/>
          </c:marker>
          <c:xVal>
            <c:numRef>
              <c:f>Control_Loop_Tables!$N$19:$N$560</c:f>
              <c:numCache>
                <c:formatCode>0.00</c:formatCode>
                <c:ptCount val="542"/>
                <c:pt idx="0">
                  <c:v>10.232929922807543</c:v>
                </c:pt>
                <c:pt idx="1">
                  <c:v>10.471285480509</c:v>
                </c:pt>
                <c:pt idx="2">
                  <c:v>10.715193052376069</c:v>
                </c:pt>
                <c:pt idx="3">
                  <c:v>10.964781961431854</c:v>
                </c:pt>
                <c:pt idx="4">
                  <c:v>11.220184543019636</c:v>
                </c:pt>
                <c:pt idx="5">
                  <c:v>11.481536214968834</c:v>
                </c:pt>
                <c:pt idx="6">
                  <c:v>11.748975549395301</c:v>
                </c:pt>
                <c:pt idx="7">
                  <c:v>12.022644346174133</c:v>
                </c:pt>
                <c:pt idx="8">
                  <c:v>12.302687708123818</c:v>
                </c:pt>
                <c:pt idx="9">
                  <c:v>12.58925411794168</c:v>
                </c:pt>
                <c:pt idx="10">
                  <c:v>12.882495516931346</c:v>
                </c:pt>
                <c:pt idx="11">
                  <c:v>13.182567385564075</c:v>
                </c:pt>
                <c:pt idx="12">
                  <c:v>13.489628825916535</c:v>
                </c:pt>
                <c:pt idx="13">
                  <c:v>13.803842646028857</c:v>
                </c:pt>
                <c:pt idx="14">
                  <c:v>14.125375446227544</c:v>
                </c:pt>
                <c:pt idx="15">
                  <c:v>14.454397707459275</c:v>
                </c:pt>
                <c:pt idx="16">
                  <c:v>14.791083881682074</c:v>
                </c:pt>
                <c:pt idx="17">
                  <c:v>15.135612484362087</c:v>
                </c:pt>
                <c:pt idx="18">
                  <c:v>15.488166189124817</c:v>
                </c:pt>
                <c:pt idx="19">
                  <c:v>15.848931924611136</c:v>
                </c:pt>
                <c:pt idx="20">
                  <c:v>16.218100973589298</c:v>
                </c:pt>
                <c:pt idx="21">
                  <c:v>16.595869074375614</c:v>
                </c:pt>
                <c:pt idx="22">
                  <c:v>16.982436524617448</c:v>
                </c:pt>
                <c:pt idx="23">
                  <c:v>17.378008287493756</c:v>
                </c:pt>
                <c:pt idx="24">
                  <c:v>17.782794100389236</c:v>
                </c:pt>
                <c:pt idx="25">
                  <c:v>18.197008586099841</c:v>
                </c:pt>
                <c:pt idx="26">
                  <c:v>18.62087136662868</c:v>
                </c:pt>
                <c:pt idx="27">
                  <c:v>19.054607179632477</c:v>
                </c:pt>
                <c:pt idx="28">
                  <c:v>19.498445997580465</c:v>
                </c:pt>
                <c:pt idx="29">
                  <c:v>19.952623149688804</c:v>
                </c:pt>
                <c:pt idx="30">
                  <c:v>20.4173794466953</c:v>
                </c:pt>
                <c:pt idx="31">
                  <c:v>20.8929613085404</c:v>
                </c:pt>
                <c:pt idx="32">
                  <c:v>21.379620895022335</c:v>
                </c:pt>
                <c:pt idx="33">
                  <c:v>21.877616239495538</c:v>
                </c:pt>
                <c:pt idx="34">
                  <c:v>22.387211385683404</c:v>
                </c:pt>
                <c:pt idx="35">
                  <c:v>22.908676527677727</c:v>
                </c:pt>
                <c:pt idx="36">
                  <c:v>23.442288153199236</c:v>
                </c:pt>
                <c:pt idx="37">
                  <c:v>23.988329190194907</c:v>
                </c:pt>
                <c:pt idx="38">
                  <c:v>24.547089156850316</c:v>
                </c:pt>
                <c:pt idx="39">
                  <c:v>25.118864315095799</c:v>
                </c:pt>
                <c:pt idx="40">
                  <c:v>25.703957827688647</c:v>
                </c:pt>
                <c:pt idx="41">
                  <c:v>26.302679918953825</c:v>
                </c:pt>
                <c:pt idx="42">
                  <c:v>26.915348039269158</c:v>
                </c:pt>
                <c:pt idx="43">
                  <c:v>27.542287033381665</c:v>
                </c:pt>
                <c:pt idx="44">
                  <c:v>28.183829312644548</c:v>
                </c:pt>
                <c:pt idx="45">
                  <c:v>28.840315031266066</c:v>
                </c:pt>
                <c:pt idx="46">
                  <c:v>29.512092266663863</c:v>
                </c:pt>
                <c:pt idx="47">
                  <c:v>30.199517204020164</c:v>
                </c:pt>
                <c:pt idx="48">
                  <c:v>30.902954325135919</c:v>
                </c:pt>
                <c:pt idx="49">
                  <c:v>31.622776601683803</c:v>
                </c:pt>
                <c:pt idx="50">
                  <c:v>32.359365692962832</c:v>
                </c:pt>
                <c:pt idx="51">
                  <c:v>33.113112148259127</c:v>
                </c:pt>
                <c:pt idx="52">
                  <c:v>33.884415613920268</c:v>
                </c:pt>
                <c:pt idx="53">
                  <c:v>34.67368504525318</c:v>
                </c:pt>
                <c:pt idx="54">
                  <c:v>35.481338923357555</c:v>
                </c:pt>
                <c:pt idx="55">
                  <c:v>36.307805477010156</c:v>
                </c:pt>
                <c:pt idx="56">
                  <c:v>37.15352290971726</c:v>
                </c:pt>
                <c:pt idx="57">
                  <c:v>38.018939632056139</c:v>
                </c:pt>
                <c:pt idx="58">
                  <c:v>38.904514499428053</c:v>
                </c:pt>
                <c:pt idx="59">
                  <c:v>39.810717055349755</c:v>
                </c:pt>
                <c:pt idx="60">
                  <c:v>40.738027780411279</c:v>
                </c:pt>
                <c:pt idx="61">
                  <c:v>41.686938347033561</c:v>
                </c:pt>
                <c:pt idx="62">
                  <c:v>42.657951880159267</c:v>
                </c:pt>
                <c:pt idx="63">
                  <c:v>43.651583224016633</c:v>
                </c:pt>
                <c:pt idx="64">
                  <c:v>44.668359215096324</c:v>
                </c:pt>
                <c:pt idx="65">
                  <c:v>45.70881896148753</c:v>
                </c:pt>
                <c:pt idx="66">
                  <c:v>46.773514128719818</c:v>
                </c:pt>
                <c:pt idx="67">
                  <c:v>47.863009232263877</c:v>
                </c:pt>
                <c:pt idx="68">
                  <c:v>48.977881936844632</c:v>
                </c:pt>
                <c:pt idx="69">
                  <c:v>50.118723362727238</c:v>
                </c:pt>
                <c:pt idx="70">
                  <c:v>51.28613839913649</c:v>
                </c:pt>
                <c:pt idx="71">
                  <c:v>52.480746024977286</c:v>
                </c:pt>
                <c:pt idx="72">
                  <c:v>53.703179637025293</c:v>
                </c:pt>
                <c:pt idx="73">
                  <c:v>54.95408738576247</c:v>
                </c:pt>
                <c:pt idx="74">
                  <c:v>56.234132519034915</c:v>
                </c:pt>
                <c:pt idx="75">
                  <c:v>57.543993733715695</c:v>
                </c:pt>
                <c:pt idx="76">
                  <c:v>58.884365535558949</c:v>
                </c:pt>
                <c:pt idx="77">
                  <c:v>60.255958607435822</c:v>
                </c:pt>
                <c:pt idx="78">
                  <c:v>61.659500186148257</c:v>
                </c:pt>
                <c:pt idx="79">
                  <c:v>63.095734448019364</c:v>
                </c:pt>
                <c:pt idx="80">
                  <c:v>64.565422903465588</c:v>
                </c:pt>
                <c:pt idx="81">
                  <c:v>66.069344800759623</c:v>
                </c:pt>
                <c:pt idx="82">
                  <c:v>67.60829753919819</c:v>
                </c:pt>
                <c:pt idx="83">
                  <c:v>69.183097091893657</c:v>
                </c:pt>
                <c:pt idx="84">
                  <c:v>70.794578438413865</c:v>
                </c:pt>
                <c:pt idx="85">
                  <c:v>72.443596007499011</c:v>
                </c:pt>
                <c:pt idx="86">
                  <c:v>74.131024130091816</c:v>
                </c:pt>
                <c:pt idx="87">
                  <c:v>75.857757502918361</c:v>
                </c:pt>
                <c:pt idx="88">
                  <c:v>77.624711662869217</c:v>
                </c:pt>
                <c:pt idx="89">
                  <c:v>79.432823472428197</c:v>
                </c:pt>
                <c:pt idx="90">
                  <c:v>81.283051616409963</c:v>
                </c:pt>
                <c:pt idx="91">
                  <c:v>83.176377110267126</c:v>
                </c:pt>
                <c:pt idx="92">
                  <c:v>85.113803820237734</c:v>
                </c:pt>
                <c:pt idx="93">
                  <c:v>87.096358995608071</c:v>
                </c:pt>
                <c:pt idx="94">
                  <c:v>89.125093813374562</c:v>
                </c:pt>
                <c:pt idx="95">
                  <c:v>91.201083935590972</c:v>
                </c:pt>
                <c:pt idx="96">
                  <c:v>93.325430079699174</c:v>
                </c:pt>
                <c:pt idx="97">
                  <c:v>95.499258602143655</c:v>
                </c:pt>
                <c:pt idx="98">
                  <c:v>97.723722095581124</c:v>
                </c:pt>
                <c:pt idx="99">
                  <c:v>100</c:v>
                </c:pt>
                <c:pt idx="100">
                  <c:v>102.32929922807544</c:v>
                </c:pt>
                <c:pt idx="101">
                  <c:v>104.71285480508998</c:v>
                </c:pt>
                <c:pt idx="102">
                  <c:v>107.15193052376065</c:v>
                </c:pt>
                <c:pt idx="103">
                  <c:v>109.64781961431861</c:v>
                </c:pt>
                <c:pt idx="104">
                  <c:v>112.20184543019634</c:v>
                </c:pt>
                <c:pt idx="105">
                  <c:v>114.81536214968835</c:v>
                </c:pt>
                <c:pt idx="106">
                  <c:v>117.48975549395293</c:v>
                </c:pt>
                <c:pt idx="107">
                  <c:v>120.22644346174135</c:v>
                </c:pt>
                <c:pt idx="108">
                  <c:v>123.02687708123821</c:v>
                </c:pt>
                <c:pt idx="109">
                  <c:v>125.89254117941677</c:v>
                </c:pt>
                <c:pt idx="110">
                  <c:v>128.82495516931343</c:v>
                </c:pt>
                <c:pt idx="111">
                  <c:v>131.82567385564084</c:v>
                </c:pt>
                <c:pt idx="112">
                  <c:v>134.89628825916537</c:v>
                </c:pt>
                <c:pt idx="113">
                  <c:v>138.0384264602886</c:v>
                </c:pt>
                <c:pt idx="114">
                  <c:v>141.25375446227542</c:v>
                </c:pt>
                <c:pt idx="115">
                  <c:v>144.54397707459285</c:v>
                </c:pt>
                <c:pt idx="116">
                  <c:v>147.91083881682084</c:v>
                </c:pt>
                <c:pt idx="117">
                  <c:v>151.3561248436209</c:v>
                </c:pt>
                <c:pt idx="118">
                  <c:v>154.8816618912482</c:v>
                </c:pt>
                <c:pt idx="119">
                  <c:v>158.48931924611153</c:v>
                </c:pt>
                <c:pt idx="120">
                  <c:v>162.18100973589304</c:v>
                </c:pt>
                <c:pt idx="121">
                  <c:v>165.95869074375622</c:v>
                </c:pt>
                <c:pt idx="122">
                  <c:v>169.82436524617444</c:v>
                </c:pt>
                <c:pt idx="123">
                  <c:v>173.78008287493768</c:v>
                </c:pt>
                <c:pt idx="124">
                  <c:v>177.82794100389242</c:v>
                </c:pt>
                <c:pt idx="125">
                  <c:v>181.9700858609983</c:v>
                </c:pt>
                <c:pt idx="126">
                  <c:v>186.20871366628685</c:v>
                </c:pt>
                <c:pt idx="127">
                  <c:v>190.54607179632498</c:v>
                </c:pt>
                <c:pt idx="128">
                  <c:v>194.98445997580458</c:v>
                </c:pt>
                <c:pt idx="129">
                  <c:v>199.52623149688802</c:v>
                </c:pt>
                <c:pt idx="130">
                  <c:v>204.17379446695315</c:v>
                </c:pt>
                <c:pt idx="131">
                  <c:v>208.92961308540396</c:v>
                </c:pt>
                <c:pt idx="132">
                  <c:v>213.79620895022339</c:v>
                </c:pt>
                <c:pt idx="133">
                  <c:v>218.77616239495524</c:v>
                </c:pt>
                <c:pt idx="134">
                  <c:v>223.87211385683412</c:v>
                </c:pt>
                <c:pt idx="135">
                  <c:v>229.08676527677744</c:v>
                </c:pt>
                <c:pt idx="136">
                  <c:v>234.42288153199232</c:v>
                </c:pt>
                <c:pt idx="137">
                  <c:v>239.88329190194912</c:v>
                </c:pt>
                <c:pt idx="138">
                  <c:v>245.4708915685033</c:v>
                </c:pt>
                <c:pt idx="139">
                  <c:v>251.18864315095806</c:v>
                </c:pt>
                <c:pt idx="140">
                  <c:v>257.03957827688663</c:v>
                </c:pt>
                <c:pt idx="141">
                  <c:v>263.02679918953817</c:v>
                </c:pt>
                <c:pt idx="142">
                  <c:v>269.15348039269179</c:v>
                </c:pt>
                <c:pt idx="143">
                  <c:v>275.42287033381683</c:v>
                </c:pt>
                <c:pt idx="144">
                  <c:v>281.83829312644554</c:v>
                </c:pt>
                <c:pt idx="145">
                  <c:v>288.40315031266073</c:v>
                </c:pt>
                <c:pt idx="146">
                  <c:v>295.12092266663871</c:v>
                </c:pt>
                <c:pt idx="147">
                  <c:v>301.99517204020168</c:v>
                </c:pt>
                <c:pt idx="148">
                  <c:v>309.02954325135937</c:v>
                </c:pt>
                <c:pt idx="149">
                  <c:v>316.22776601683825</c:v>
                </c:pt>
                <c:pt idx="150">
                  <c:v>323.59365692962825</c:v>
                </c:pt>
                <c:pt idx="151">
                  <c:v>331.13112148259137</c:v>
                </c:pt>
                <c:pt idx="152">
                  <c:v>338.84415613920277</c:v>
                </c:pt>
                <c:pt idx="153">
                  <c:v>346.73685045253183</c:v>
                </c:pt>
                <c:pt idx="154">
                  <c:v>354.81338923357566</c:v>
                </c:pt>
                <c:pt idx="155">
                  <c:v>363.07805477010152</c:v>
                </c:pt>
                <c:pt idx="156">
                  <c:v>371.53522909717265</c:v>
                </c:pt>
                <c:pt idx="157">
                  <c:v>380.18939632056163</c:v>
                </c:pt>
                <c:pt idx="158">
                  <c:v>389.04514499428063</c:v>
                </c:pt>
                <c:pt idx="159">
                  <c:v>398.10717055349761</c:v>
                </c:pt>
                <c:pt idx="160">
                  <c:v>407.38027780411272</c:v>
                </c:pt>
                <c:pt idx="161">
                  <c:v>416.86938347033572</c:v>
                </c:pt>
                <c:pt idx="162">
                  <c:v>426.57951880159294</c:v>
                </c:pt>
                <c:pt idx="163">
                  <c:v>436.51583224016622</c:v>
                </c:pt>
                <c:pt idx="164">
                  <c:v>446.68359215096331</c:v>
                </c:pt>
                <c:pt idx="165">
                  <c:v>457.0881896148756</c:v>
                </c:pt>
                <c:pt idx="166">
                  <c:v>467.7351412871983</c:v>
                </c:pt>
                <c:pt idx="167">
                  <c:v>478.63009232263886</c:v>
                </c:pt>
                <c:pt idx="168">
                  <c:v>489.77881936844625</c:v>
                </c:pt>
                <c:pt idx="169">
                  <c:v>501.18723362727269</c:v>
                </c:pt>
                <c:pt idx="170">
                  <c:v>512.86138399136519</c:v>
                </c:pt>
                <c:pt idx="171">
                  <c:v>524.80746024977248</c:v>
                </c:pt>
                <c:pt idx="172">
                  <c:v>537.03179637025301</c:v>
                </c:pt>
                <c:pt idx="173">
                  <c:v>549.54087385762534</c:v>
                </c:pt>
                <c:pt idx="174">
                  <c:v>562.34132519034927</c:v>
                </c:pt>
                <c:pt idx="175">
                  <c:v>575.43993733715706</c:v>
                </c:pt>
                <c:pt idx="176">
                  <c:v>588.84365535558959</c:v>
                </c:pt>
                <c:pt idx="177">
                  <c:v>602.55958607435832</c:v>
                </c:pt>
                <c:pt idx="178">
                  <c:v>616.59500186148273</c:v>
                </c:pt>
                <c:pt idx="179">
                  <c:v>630.95734448019323</c:v>
                </c:pt>
                <c:pt idx="180">
                  <c:v>645.65422903465594</c:v>
                </c:pt>
                <c:pt idx="181">
                  <c:v>660.69344800759643</c:v>
                </c:pt>
                <c:pt idx="182">
                  <c:v>676.08297539198213</c:v>
                </c:pt>
                <c:pt idx="183">
                  <c:v>691.83097091893671</c:v>
                </c:pt>
                <c:pt idx="184">
                  <c:v>707.94578438413873</c:v>
                </c:pt>
                <c:pt idx="185">
                  <c:v>724.43596007499025</c:v>
                </c:pt>
                <c:pt idx="186">
                  <c:v>741.31024130091828</c:v>
                </c:pt>
                <c:pt idx="187">
                  <c:v>758.57757502918378</c:v>
                </c:pt>
                <c:pt idx="188">
                  <c:v>776.24711662869231</c:v>
                </c:pt>
                <c:pt idx="189">
                  <c:v>794.32823472428208</c:v>
                </c:pt>
                <c:pt idx="190">
                  <c:v>812.83051616409978</c:v>
                </c:pt>
                <c:pt idx="191">
                  <c:v>831.7637711026714</c:v>
                </c:pt>
                <c:pt idx="192">
                  <c:v>851.13803820237763</c:v>
                </c:pt>
                <c:pt idx="193">
                  <c:v>870.96358995608091</c:v>
                </c:pt>
                <c:pt idx="194">
                  <c:v>891.25093813374656</c:v>
                </c:pt>
                <c:pt idx="195">
                  <c:v>912.01083935590987</c:v>
                </c:pt>
                <c:pt idx="196">
                  <c:v>933.25430079699106</c:v>
                </c:pt>
                <c:pt idx="197">
                  <c:v>954.99258602143675</c:v>
                </c:pt>
                <c:pt idx="198">
                  <c:v>977.23722095581138</c:v>
                </c:pt>
                <c:pt idx="199">
                  <c:v>1000</c:v>
                </c:pt>
                <c:pt idx="200">
                  <c:v>1023.2929922807547</c:v>
                </c:pt>
                <c:pt idx="201">
                  <c:v>1047.1285480509</c:v>
                </c:pt>
                <c:pt idx="202">
                  <c:v>1071.5193052376069</c:v>
                </c:pt>
                <c:pt idx="203">
                  <c:v>1096.4781961431863</c:v>
                </c:pt>
                <c:pt idx="204">
                  <c:v>1122.0184543019636</c:v>
                </c:pt>
                <c:pt idx="205">
                  <c:v>1148.1536214968839</c:v>
                </c:pt>
                <c:pt idx="206">
                  <c:v>1174.8975549395295</c:v>
                </c:pt>
                <c:pt idx="207">
                  <c:v>1202.2644346174138</c:v>
                </c:pt>
                <c:pt idx="208">
                  <c:v>1230.2687708123824</c:v>
                </c:pt>
                <c:pt idx="209">
                  <c:v>1258.925411794168</c:v>
                </c:pt>
                <c:pt idx="210">
                  <c:v>1288.2495516931347</c:v>
                </c:pt>
                <c:pt idx="211">
                  <c:v>1318.2567385564089</c:v>
                </c:pt>
                <c:pt idx="212">
                  <c:v>1348.9628825916541</c:v>
                </c:pt>
                <c:pt idx="213">
                  <c:v>1380.3842646028863</c:v>
                </c:pt>
                <c:pt idx="214">
                  <c:v>1412.5375446227545</c:v>
                </c:pt>
                <c:pt idx="215">
                  <c:v>1445.4397707459289</c:v>
                </c:pt>
                <c:pt idx="216">
                  <c:v>1479.1083881682086</c:v>
                </c:pt>
                <c:pt idx="217">
                  <c:v>1513.5612484362093</c:v>
                </c:pt>
                <c:pt idx="218">
                  <c:v>1548.8166189124822</c:v>
                </c:pt>
                <c:pt idx="219">
                  <c:v>1584.8931924611156</c:v>
                </c:pt>
                <c:pt idx="220">
                  <c:v>1621.8100973589308</c:v>
                </c:pt>
                <c:pt idx="221">
                  <c:v>1659.5869074375626</c:v>
                </c:pt>
                <c:pt idx="222">
                  <c:v>1698.2436524617447</c:v>
                </c:pt>
                <c:pt idx="223">
                  <c:v>1737.8008287493772</c:v>
                </c:pt>
                <c:pt idx="224">
                  <c:v>1778.2794100389244</c:v>
                </c:pt>
                <c:pt idx="225">
                  <c:v>1819.7008586099832</c:v>
                </c:pt>
                <c:pt idx="226">
                  <c:v>1862.0871366628687</c:v>
                </c:pt>
                <c:pt idx="227">
                  <c:v>1905.4607179632501</c:v>
                </c:pt>
                <c:pt idx="228">
                  <c:v>1949.8445997580463</c:v>
                </c:pt>
                <c:pt idx="229">
                  <c:v>1995.2623149688804</c:v>
                </c:pt>
                <c:pt idx="230">
                  <c:v>2041.7379446695318</c:v>
                </c:pt>
                <c:pt idx="231">
                  <c:v>2089.2961308540398</c:v>
                </c:pt>
                <c:pt idx="232">
                  <c:v>2137.9620895022344</c:v>
                </c:pt>
                <c:pt idx="233">
                  <c:v>2187.7616239495528</c:v>
                </c:pt>
                <c:pt idx="234">
                  <c:v>2238.7211385683418</c:v>
                </c:pt>
                <c:pt idx="235">
                  <c:v>2290.8676527677749</c:v>
                </c:pt>
                <c:pt idx="236">
                  <c:v>2344.2288153199238</c:v>
                </c:pt>
                <c:pt idx="237">
                  <c:v>2398.8329190194918</c:v>
                </c:pt>
                <c:pt idx="238">
                  <c:v>2454.7089156850338</c:v>
                </c:pt>
                <c:pt idx="239">
                  <c:v>2511.8864315095811</c:v>
                </c:pt>
                <c:pt idx="240">
                  <c:v>2570.3957827688669</c:v>
                </c:pt>
                <c:pt idx="241">
                  <c:v>2630.2679918953822</c:v>
                </c:pt>
                <c:pt idx="242">
                  <c:v>2691.5348039269184</c:v>
                </c:pt>
                <c:pt idx="243">
                  <c:v>2754.228703338169</c:v>
                </c:pt>
                <c:pt idx="244">
                  <c:v>2818.3829312644561</c:v>
                </c:pt>
                <c:pt idx="245">
                  <c:v>2884.0315031266077</c:v>
                </c:pt>
                <c:pt idx="246">
                  <c:v>2951.2092266663876</c:v>
                </c:pt>
                <c:pt idx="247">
                  <c:v>3019.9517204020176</c:v>
                </c:pt>
                <c:pt idx="248">
                  <c:v>3090.295432513592</c:v>
                </c:pt>
                <c:pt idx="249">
                  <c:v>3162.2776601683804</c:v>
                </c:pt>
                <c:pt idx="250">
                  <c:v>3235.9365692962833</c:v>
                </c:pt>
                <c:pt idx="251">
                  <c:v>3311.3112148259115</c:v>
                </c:pt>
                <c:pt idx="252">
                  <c:v>3388.4415613920314</c:v>
                </c:pt>
                <c:pt idx="253">
                  <c:v>3467.3685045253224</c:v>
                </c:pt>
                <c:pt idx="254">
                  <c:v>3548.1338923357539</c:v>
                </c:pt>
                <c:pt idx="255">
                  <c:v>3630.7805477010188</c:v>
                </c:pt>
                <c:pt idx="256">
                  <c:v>3715.352290971724</c:v>
                </c:pt>
                <c:pt idx="257">
                  <c:v>3801.8939632056172</c:v>
                </c:pt>
                <c:pt idx="258">
                  <c:v>3890.451449942811</c:v>
                </c:pt>
                <c:pt idx="259">
                  <c:v>3981.0717055349769</c:v>
                </c:pt>
                <c:pt idx="260">
                  <c:v>4073.8027780411317</c:v>
                </c:pt>
                <c:pt idx="261">
                  <c:v>4168.6938347033583</c:v>
                </c:pt>
                <c:pt idx="262">
                  <c:v>4265.7951880159299</c:v>
                </c:pt>
                <c:pt idx="263">
                  <c:v>4365.1583224016631</c:v>
                </c:pt>
                <c:pt idx="264">
                  <c:v>4466.8359215096343</c:v>
                </c:pt>
                <c:pt idx="265">
                  <c:v>4570.8818961487532</c:v>
                </c:pt>
                <c:pt idx="266">
                  <c:v>4677.3514128719844</c:v>
                </c:pt>
                <c:pt idx="267">
                  <c:v>4786.3009232263848</c:v>
                </c:pt>
                <c:pt idx="268">
                  <c:v>4897.7881936844633</c:v>
                </c:pt>
                <c:pt idx="269">
                  <c:v>5011.8723362727324</c:v>
                </c:pt>
                <c:pt idx="270">
                  <c:v>5128.6138399136489</c:v>
                </c:pt>
                <c:pt idx="271">
                  <c:v>5248.0746024977261</c:v>
                </c:pt>
                <c:pt idx="272">
                  <c:v>5370.3179637025269</c:v>
                </c:pt>
                <c:pt idx="273">
                  <c:v>5495.4087385762541</c:v>
                </c:pt>
                <c:pt idx="274">
                  <c:v>5623.4132519034993</c:v>
                </c:pt>
                <c:pt idx="275">
                  <c:v>5754.399373371567</c:v>
                </c:pt>
                <c:pt idx="276">
                  <c:v>5888.4365535558973</c:v>
                </c:pt>
                <c:pt idx="277">
                  <c:v>6025.595860743585</c:v>
                </c:pt>
                <c:pt idx="278">
                  <c:v>6165.9500186148289</c:v>
                </c:pt>
                <c:pt idx="279">
                  <c:v>6309.5734448019384</c:v>
                </c:pt>
                <c:pt idx="280">
                  <c:v>6456.5422903465615</c:v>
                </c:pt>
                <c:pt idx="281">
                  <c:v>6606.9344800759654</c:v>
                </c:pt>
                <c:pt idx="282">
                  <c:v>6760.8297539198229</c:v>
                </c:pt>
                <c:pt idx="283">
                  <c:v>6918.3097091893687</c:v>
                </c:pt>
                <c:pt idx="284">
                  <c:v>7079.4578438413828</c:v>
                </c:pt>
                <c:pt idx="285">
                  <c:v>7244.3596007499036</c:v>
                </c:pt>
                <c:pt idx="286">
                  <c:v>7413.1024130091773</c:v>
                </c:pt>
                <c:pt idx="287">
                  <c:v>7585.7757502918394</c:v>
                </c:pt>
                <c:pt idx="288">
                  <c:v>7762.4711662869322</c:v>
                </c:pt>
                <c:pt idx="289">
                  <c:v>7943.2823472428154</c:v>
                </c:pt>
                <c:pt idx="290">
                  <c:v>8128.3051616410066</c:v>
                </c:pt>
                <c:pt idx="291">
                  <c:v>8317.6377110267094</c:v>
                </c:pt>
                <c:pt idx="292">
                  <c:v>8511.3803820237772</c:v>
                </c:pt>
                <c:pt idx="293">
                  <c:v>8709.6358995608189</c:v>
                </c:pt>
                <c:pt idx="294">
                  <c:v>8912.5093813374679</c:v>
                </c:pt>
                <c:pt idx="295">
                  <c:v>9120.1083935591087</c:v>
                </c:pt>
                <c:pt idx="296">
                  <c:v>9332.5430079699217</c:v>
                </c:pt>
                <c:pt idx="297">
                  <c:v>9549.9258602143691</c:v>
                </c:pt>
                <c:pt idx="298">
                  <c:v>9772.3722095581161</c:v>
                </c:pt>
                <c:pt idx="299">
                  <c:v>10000</c:v>
                </c:pt>
                <c:pt idx="300">
                  <c:v>10232.929922807549</c:v>
                </c:pt>
                <c:pt idx="301">
                  <c:v>10471.285480509003</c:v>
                </c:pt>
                <c:pt idx="302">
                  <c:v>10715.193052376071</c:v>
                </c:pt>
                <c:pt idx="303">
                  <c:v>10964.781961431856</c:v>
                </c:pt>
                <c:pt idx="304">
                  <c:v>11220.184543019639</c:v>
                </c:pt>
                <c:pt idx="305">
                  <c:v>11481.536214968832</c:v>
                </c:pt>
                <c:pt idx="306">
                  <c:v>11748.975549395318</c:v>
                </c:pt>
                <c:pt idx="307">
                  <c:v>12022.644346174151</c:v>
                </c:pt>
                <c:pt idx="308">
                  <c:v>12302.687708123816</c:v>
                </c:pt>
                <c:pt idx="309">
                  <c:v>12589.254117941671</c:v>
                </c:pt>
                <c:pt idx="310">
                  <c:v>12882.49551693136</c:v>
                </c:pt>
                <c:pt idx="311">
                  <c:v>13182.567385564091</c:v>
                </c:pt>
                <c:pt idx="312">
                  <c:v>13489.628825916556</c:v>
                </c:pt>
                <c:pt idx="313">
                  <c:v>13803.842646028841</c:v>
                </c:pt>
                <c:pt idx="314">
                  <c:v>14125.375446227561</c:v>
                </c:pt>
                <c:pt idx="315">
                  <c:v>14454.397707459291</c:v>
                </c:pt>
                <c:pt idx="316">
                  <c:v>14791.083881682089</c:v>
                </c:pt>
                <c:pt idx="317">
                  <c:v>15135.612484362096</c:v>
                </c:pt>
                <c:pt idx="318">
                  <c:v>15488.166189124853</c:v>
                </c:pt>
                <c:pt idx="319">
                  <c:v>15848.931924611146</c:v>
                </c:pt>
                <c:pt idx="320">
                  <c:v>16218.100973589309</c:v>
                </c:pt>
                <c:pt idx="321">
                  <c:v>16595.869074375616</c:v>
                </c:pt>
                <c:pt idx="322">
                  <c:v>16982.436524617482</c:v>
                </c:pt>
                <c:pt idx="323">
                  <c:v>17378.008287493791</c:v>
                </c:pt>
                <c:pt idx="324">
                  <c:v>17782.794100389234</c:v>
                </c:pt>
                <c:pt idx="325">
                  <c:v>18197.008586099837</c:v>
                </c:pt>
                <c:pt idx="326">
                  <c:v>18620.871366628675</c:v>
                </c:pt>
                <c:pt idx="327">
                  <c:v>19054.607179632505</c:v>
                </c:pt>
                <c:pt idx="328">
                  <c:v>19498.445997580486</c:v>
                </c:pt>
                <c:pt idx="329">
                  <c:v>19952.623149688792</c:v>
                </c:pt>
                <c:pt idx="330">
                  <c:v>20417.379446695286</c:v>
                </c:pt>
                <c:pt idx="331">
                  <c:v>20892.961308540423</c:v>
                </c:pt>
                <c:pt idx="332">
                  <c:v>21379.620895022348</c:v>
                </c:pt>
                <c:pt idx="333">
                  <c:v>21877.61623949555</c:v>
                </c:pt>
                <c:pt idx="334">
                  <c:v>22387.211385683382</c:v>
                </c:pt>
                <c:pt idx="335">
                  <c:v>22908.676527677751</c:v>
                </c:pt>
                <c:pt idx="336">
                  <c:v>23442.288153199243</c:v>
                </c:pt>
                <c:pt idx="337">
                  <c:v>23988.329190194923</c:v>
                </c:pt>
                <c:pt idx="338">
                  <c:v>24547.089156850321</c:v>
                </c:pt>
                <c:pt idx="339">
                  <c:v>25118.86431509586</c:v>
                </c:pt>
                <c:pt idx="340">
                  <c:v>25703.95782768865</c:v>
                </c:pt>
                <c:pt idx="341">
                  <c:v>26302.679918953829</c:v>
                </c:pt>
                <c:pt idx="342">
                  <c:v>26915.348039269167</c:v>
                </c:pt>
                <c:pt idx="343">
                  <c:v>27542.287033381719</c:v>
                </c:pt>
                <c:pt idx="344">
                  <c:v>28183.829312644593</c:v>
                </c:pt>
                <c:pt idx="345">
                  <c:v>28840.315031266062</c:v>
                </c:pt>
                <c:pt idx="346">
                  <c:v>29512.092266663854</c:v>
                </c:pt>
                <c:pt idx="347">
                  <c:v>30199.517204020212</c:v>
                </c:pt>
                <c:pt idx="348">
                  <c:v>30902.954325135954</c:v>
                </c:pt>
                <c:pt idx="349">
                  <c:v>31622.77660168384</c:v>
                </c:pt>
                <c:pt idx="350">
                  <c:v>32359.365692962871</c:v>
                </c:pt>
                <c:pt idx="351">
                  <c:v>33113.11214825909</c:v>
                </c:pt>
                <c:pt idx="352">
                  <c:v>33884.41561392029</c:v>
                </c:pt>
                <c:pt idx="353">
                  <c:v>34673.685045253202</c:v>
                </c:pt>
                <c:pt idx="354">
                  <c:v>35481.33892335758</c:v>
                </c:pt>
                <c:pt idx="355">
                  <c:v>36307.805477010232</c:v>
                </c:pt>
                <c:pt idx="356">
                  <c:v>37153.522909717351</c:v>
                </c:pt>
                <c:pt idx="357">
                  <c:v>38018.939632056143</c:v>
                </c:pt>
                <c:pt idx="358">
                  <c:v>38904.514499428085</c:v>
                </c:pt>
                <c:pt idx="359">
                  <c:v>39810.717055349742</c:v>
                </c:pt>
                <c:pt idx="360">
                  <c:v>40738.027780411358</c:v>
                </c:pt>
                <c:pt idx="361">
                  <c:v>41686.938347033625</c:v>
                </c:pt>
                <c:pt idx="362">
                  <c:v>42657.951880159271</c:v>
                </c:pt>
                <c:pt idx="363">
                  <c:v>43651.583224016598</c:v>
                </c:pt>
                <c:pt idx="364">
                  <c:v>44668.359215096389</c:v>
                </c:pt>
                <c:pt idx="365">
                  <c:v>45708.818961487581</c:v>
                </c:pt>
                <c:pt idx="366">
                  <c:v>46773.514128719893</c:v>
                </c:pt>
                <c:pt idx="367">
                  <c:v>47863.009232263823</c:v>
                </c:pt>
                <c:pt idx="368">
                  <c:v>48977.881936844598</c:v>
                </c:pt>
                <c:pt idx="369">
                  <c:v>50118.723362727294</c:v>
                </c:pt>
                <c:pt idx="370">
                  <c:v>51286.138399136544</c:v>
                </c:pt>
                <c:pt idx="371">
                  <c:v>52480.746024977314</c:v>
                </c:pt>
                <c:pt idx="372">
                  <c:v>53703.179637025423</c:v>
                </c:pt>
                <c:pt idx="373">
                  <c:v>54954.087385762505</c:v>
                </c:pt>
                <c:pt idx="374">
                  <c:v>56234.132519034953</c:v>
                </c:pt>
                <c:pt idx="375">
                  <c:v>57543.993733715732</c:v>
                </c:pt>
                <c:pt idx="376">
                  <c:v>58884.365535558936</c:v>
                </c:pt>
                <c:pt idx="377">
                  <c:v>60255.95860743591</c:v>
                </c:pt>
                <c:pt idx="378">
                  <c:v>61659.500186148245</c:v>
                </c:pt>
                <c:pt idx="379">
                  <c:v>63095.734448019342</c:v>
                </c:pt>
                <c:pt idx="380">
                  <c:v>64565.422903465682</c:v>
                </c:pt>
                <c:pt idx="381">
                  <c:v>66069.344800759733</c:v>
                </c:pt>
                <c:pt idx="382">
                  <c:v>67608.297539198305</c:v>
                </c:pt>
                <c:pt idx="383">
                  <c:v>69183.097091893651</c:v>
                </c:pt>
                <c:pt idx="384">
                  <c:v>70794.578438413781</c:v>
                </c:pt>
                <c:pt idx="385">
                  <c:v>72443.596007499116</c:v>
                </c:pt>
                <c:pt idx="386">
                  <c:v>74131.024130091857</c:v>
                </c:pt>
                <c:pt idx="387">
                  <c:v>75857.757502918481</c:v>
                </c:pt>
                <c:pt idx="388">
                  <c:v>77624.711662869129</c:v>
                </c:pt>
                <c:pt idx="389">
                  <c:v>79432.823472428237</c:v>
                </c:pt>
                <c:pt idx="390">
                  <c:v>81283.051616410012</c:v>
                </c:pt>
                <c:pt idx="391">
                  <c:v>83176.377110267174</c:v>
                </c:pt>
                <c:pt idx="392">
                  <c:v>85113.803820237721</c:v>
                </c:pt>
                <c:pt idx="393">
                  <c:v>87096.358995608127</c:v>
                </c:pt>
                <c:pt idx="394">
                  <c:v>89125.093813374609</c:v>
                </c:pt>
                <c:pt idx="395">
                  <c:v>91201.083935591028</c:v>
                </c:pt>
                <c:pt idx="396">
                  <c:v>93325.430079699145</c:v>
                </c:pt>
                <c:pt idx="397">
                  <c:v>95499.258602143804</c:v>
                </c:pt>
                <c:pt idx="398">
                  <c:v>97723.722095581266</c:v>
                </c:pt>
                <c:pt idx="399">
                  <c:v>100000</c:v>
                </c:pt>
                <c:pt idx="400">
                  <c:v>102329.29922807543</c:v>
                </c:pt>
                <c:pt idx="401">
                  <c:v>104712.85480508996</c:v>
                </c:pt>
                <c:pt idx="402">
                  <c:v>107151.93052376082</c:v>
                </c:pt>
                <c:pt idx="403">
                  <c:v>109647.81961431868</c:v>
                </c:pt>
                <c:pt idx="404">
                  <c:v>112201.84543019651</c:v>
                </c:pt>
                <c:pt idx="405">
                  <c:v>114815.36214968823</c:v>
                </c:pt>
                <c:pt idx="406">
                  <c:v>117489.75549395311</c:v>
                </c:pt>
                <c:pt idx="407">
                  <c:v>120226.44346174144</c:v>
                </c:pt>
                <c:pt idx="408">
                  <c:v>123026.87708123829</c:v>
                </c:pt>
                <c:pt idx="409">
                  <c:v>125892.54117941685</c:v>
                </c:pt>
                <c:pt idx="410">
                  <c:v>128824.95516931375</c:v>
                </c:pt>
                <c:pt idx="411">
                  <c:v>131825.67385564081</c:v>
                </c:pt>
                <c:pt idx="412">
                  <c:v>134896.28825916545</c:v>
                </c:pt>
                <c:pt idx="413">
                  <c:v>138038.42646028858</c:v>
                </c:pt>
                <c:pt idx="414">
                  <c:v>141253.75446227577</c:v>
                </c:pt>
                <c:pt idx="415">
                  <c:v>144543.97707459307</c:v>
                </c:pt>
                <c:pt idx="416">
                  <c:v>147910.83881682079</c:v>
                </c:pt>
                <c:pt idx="417">
                  <c:v>151356.12484362084</c:v>
                </c:pt>
                <c:pt idx="418">
                  <c:v>154881.66189124843</c:v>
                </c:pt>
                <c:pt idx="419">
                  <c:v>158489.31924611164</c:v>
                </c:pt>
                <c:pt idx="420">
                  <c:v>162181.00973589328</c:v>
                </c:pt>
                <c:pt idx="421">
                  <c:v>165958.69074375604</c:v>
                </c:pt>
                <c:pt idx="422">
                  <c:v>169824.36524617471</c:v>
                </c:pt>
                <c:pt idx="423">
                  <c:v>173780.0828749378</c:v>
                </c:pt>
                <c:pt idx="424">
                  <c:v>177827.94100389251</c:v>
                </c:pt>
                <c:pt idx="425">
                  <c:v>181970.08586099857</c:v>
                </c:pt>
                <c:pt idx="426">
                  <c:v>186208.71366628664</c:v>
                </c:pt>
                <c:pt idx="427">
                  <c:v>190546.07179632492</c:v>
                </c:pt>
                <c:pt idx="428">
                  <c:v>194984.45997580473</c:v>
                </c:pt>
                <c:pt idx="429">
                  <c:v>199526.23149688813</c:v>
                </c:pt>
                <c:pt idx="430">
                  <c:v>204173.79446695308</c:v>
                </c:pt>
                <c:pt idx="431">
                  <c:v>208929.61308540447</c:v>
                </c:pt>
                <c:pt idx="432">
                  <c:v>213796.20895022334</c:v>
                </c:pt>
                <c:pt idx="433">
                  <c:v>218776.16239495538</c:v>
                </c:pt>
                <c:pt idx="434">
                  <c:v>223872.11385683404</c:v>
                </c:pt>
                <c:pt idx="435">
                  <c:v>229086.76527677779</c:v>
                </c:pt>
                <c:pt idx="436">
                  <c:v>234422.88153199267</c:v>
                </c:pt>
                <c:pt idx="437">
                  <c:v>239883.29190194907</c:v>
                </c:pt>
                <c:pt idx="438">
                  <c:v>245470.89156850305</c:v>
                </c:pt>
                <c:pt idx="439">
                  <c:v>251188.64315095844</c:v>
                </c:pt>
                <c:pt idx="440">
                  <c:v>257039.57827688678</c:v>
                </c:pt>
                <c:pt idx="441">
                  <c:v>263026.79918953858</c:v>
                </c:pt>
                <c:pt idx="442">
                  <c:v>269153.48039269145</c:v>
                </c:pt>
                <c:pt idx="443">
                  <c:v>275422.87033381703</c:v>
                </c:pt>
                <c:pt idx="444">
                  <c:v>281838.29312644573</c:v>
                </c:pt>
                <c:pt idx="445">
                  <c:v>288403.1503126609</c:v>
                </c:pt>
                <c:pt idx="446">
                  <c:v>295120.92266663886</c:v>
                </c:pt>
                <c:pt idx="447">
                  <c:v>301995.17204020242</c:v>
                </c:pt>
                <c:pt idx="448">
                  <c:v>309029.54325135931</c:v>
                </c:pt>
                <c:pt idx="449">
                  <c:v>316227.7660168382</c:v>
                </c:pt>
                <c:pt idx="450">
                  <c:v>323593.65692962846</c:v>
                </c:pt>
                <c:pt idx="451">
                  <c:v>331131.12148259126</c:v>
                </c:pt>
                <c:pt idx="452">
                  <c:v>338844.15613920329</c:v>
                </c:pt>
                <c:pt idx="453">
                  <c:v>346736.85045253241</c:v>
                </c:pt>
                <c:pt idx="454">
                  <c:v>354813.38923357555</c:v>
                </c:pt>
                <c:pt idx="455">
                  <c:v>363078.05477010203</c:v>
                </c:pt>
                <c:pt idx="456">
                  <c:v>371535.2290971732</c:v>
                </c:pt>
                <c:pt idx="457">
                  <c:v>380189.39632056188</c:v>
                </c:pt>
                <c:pt idx="458">
                  <c:v>389045.14499428123</c:v>
                </c:pt>
                <c:pt idx="459">
                  <c:v>398107.17055349716</c:v>
                </c:pt>
                <c:pt idx="460">
                  <c:v>407380.27780411334</c:v>
                </c:pt>
                <c:pt idx="461">
                  <c:v>416869.38347033598</c:v>
                </c:pt>
                <c:pt idx="462">
                  <c:v>426579.51880159322</c:v>
                </c:pt>
                <c:pt idx="463">
                  <c:v>436515.83224016649</c:v>
                </c:pt>
                <c:pt idx="464">
                  <c:v>446683.59215096442</c:v>
                </c:pt>
                <c:pt idx="465">
                  <c:v>457088.18961487547</c:v>
                </c:pt>
                <c:pt idx="466">
                  <c:v>467735.14128719864</c:v>
                </c:pt>
                <c:pt idx="467">
                  <c:v>478630.09232263872</c:v>
                </c:pt>
                <c:pt idx="468">
                  <c:v>489778.81936844654</c:v>
                </c:pt>
                <c:pt idx="469">
                  <c:v>501187.23362727347</c:v>
                </c:pt>
                <c:pt idx="470">
                  <c:v>512861.38399136515</c:v>
                </c:pt>
                <c:pt idx="471">
                  <c:v>524807.46024977288</c:v>
                </c:pt>
                <c:pt idx="472">
                  <c:v>537031.7963702539</c:v>
                </c:pt>
                <c:pt idx="473">
                  <c:v>549540.87385762564</c:v>
                </c:pt>
                <c:pt idx="474">
                  <c:v>562341.32519035018</c:v>
                </c:pt>
                <c:pt idx="475">
                  <c:v>575439.93733715697</c:v>
                </c:pt>
                <c:pt idx="476">
                  <c:v>588843.65535558888</c:v>
                </c:pt>
                <c:pt idx="477">
                  <c:v>602559.58607435878</c:v>
                </c:pt>
                <c:pt idx="478">
                  <c:v>616595.00186148309</c:v>
                </c:pt>
                <c:pt idx="479">
                  <c:v>630957.34448019415</c:v>
                </c:pt>
                <c:pt idx="480">
                  <c:v>645654.22903465747</c:v>
                </c:pt>
                <c:pt idx="481">
                  <c:v>660693.44800759677</c:v>
                </c:pt>
                <c:pt idx="482">
                  <c:v>676082.97539198259</c:v>
                </c:pt>
                <c:pt idx="483">
                  <c:v>691830.97091893724</c:v>
                </c:pt>
                <c:pt idx="484">
                  <c:v>707945.78438413853</c:v>
                </c:pt>
                <c:pt idx="485">
                  <c:v>724435.96007499192</c:v>
                </c:pt>
                <c:pt idx="486">
                  <c:v>741310.24130091805</c:v>
                </c:pt>
                <c:pt idx="487">
                  <c:v>758577.57502918423</c:v>
                </c:pt>
                <c:pt idx="488">
                  <c:v>776247.11662869214</c:v>
                </c:pt>
                <c:pt idx="489">
                  <c:v>794328.23472428333</c:v>
                </c:pt>
                <c:pt idx="490">
                  <c:v>812830.51616410096</c:v>
                </c:pt>
                <c:pt idx="491">
                  <c:v>831763.77110267128</c:v>
                </c:pt>
                <c:pt idx="492">
                  <c:v>851138.03820237669</c:v>
                </c:pt>
                <c:pt idx="493">
                  <c:v>870963.58995608077</c:v>
                </c:pt>
                <c:pt idx="494">
                  <c:v>891250.93813374708</c:v>
                </c:pt>
                <c:pt idx="495">
                  <c:v>912010.83935591124</c:v>
                </c:pt>
                <c:pt idx="496">
                  <c:v>933254.30079699249</c:v>
                </c:pt>
                <c:pt idx="497">
                  <c:v>954992.58602143743</c:v>
                </c:pt>
                <c:pt idx="498">
                  <c:v>977237.22095581202</c:v>
                </c:pt>
                <c:pt idx="499">
                  <c:v>1000000</c:v>
                </c:pt>
                <c:pt idx="500">
                  <c:v>1023292.9922807553</c:v>
                </c:pt>
                <c:pt idx="501">
                  <c:v>1047128.5480509007</c:v>
                </c:pt>
                <c:pt idx="502">
                  <c:v>1071519.3052376076</c:v>
                </c:pt>
                <c:pt idx="503">
                  <c:v>1096478.196143186</c:v>
                </c:pt>
                <c:pt idx="504">
                  <c:v>1122018.4543019643</c:v>
                </c:pt>
                <c:pt idx="505">
                  <c:v>1148153.6214968837</c:v>
                </c:pt>
                <c:pt idx="506">
                  <c:v>1174897.5549395324</c:v>
                </c:pt>
                <c:pt idx="507">
                  <c:v>1202264.4346174158</c:v>
                </c:pt>
                <c:pt idx="508">
                  <c:v>1230268.770812382</c:v>
                </c:pt>
                <c:pt idx="509">
                  <c:v>1258925.4117941677</c:v>
                </c:pt>
                <c:pt idx="510">
                  <c:v>1288249.5516931366</c:v>
                </c:pt>
                <c:pt idx="511">
                  <c:v>1318256.7385564097</c:v>
                </c:pt>
                <c:pt idx="512">
                  <c:v>1348962.8825916562</c:v>
                </c:pt>
                <c:pt idx="513">
                  <c:v>1380384.2646028849</c:v>
                </c:pt>
                <c:pt idx="514">
                  <c:v>1412537.5446227565</c:v>
                </c:pt>
                <c:pt idx="515">
                  <c:v>1445439.7707459298</c:v>
                </c:pt>
                <c:pt idx="516">
                  <c:v>1479108.3881682095</c:v>
                </c:pt>
                <c:pt idx="517">
                  <c:v>1513561.2484362102</c:v>
                </c:pt>
                <c:pt idx="518">
                  <c:v>1548816.6189124861</c:v>
                </c:pt>
                <c:pt idx="519">
                  <c:v>1584893.1924611153</c:v>
                </c:pt>
                <c:pt idx="520">
                  <c:v>1621810.0973589318</c:v>
                </c:pt>
                <c:pt idx="521">
                  <c:v>1659586.9074375622</c:v>
                </c:pt>
                <c:pt idx="522">
                  <c:v>1698243.6524617488</c:v>
                </c:pt>
                <c:pt idx="523">
                  <c:v>1737800.8287493798</c:v>
                </c:pt>
                <c:pt idx="524">
                  <c:v>1778279.4100389241</c:v>
                </c:pt>
                <c:pt idx="525">
                  <c:v>1819700.8586099846</c:v>
                </c:pt>
                <c:pt idx="526">
                  <c:v>1862087.1366628683</c:v>
                </c:pt>
                <c:pt idx="527">
                  <c:v>1905460.7179632513</c:v>
                </c:pt>
                <c:pt idx="528">
                  <c:v>1949844.5997580495</c:v>
                </c:pt>
                <c:pt idx="529">
                  <c:v>1995262.31496888</c:v>
                </c:pt>
                <c:pt idx="530">
                  <c:v>2041737.9446695296</c:v>
                </c:pt>
                <c:pt idx="531">
                  <c:v>2089296.1308540432</c:v>
                </c:pt>
                <c:pt idx="532">
                  <c:v>2137962.0895022359</c:v>
                </c:pt>
                <c:pt idx="533">
                  <c:v>2187761.6239495561</c:v>
                </c:pt>
                <c:pt idx="534">
                  <c:v>2238721.1385683389</c:v>
                </c:pt>
                <c:pt idx="535">
                  <c:v>2290867.6527677765</c:v>
                </c:pt>
                <c:pt idx="536">
                  <c:v>2344228.8153199251</c:v>
                </c:pt>
                <c:pt idx="537">
                  <c:v>2398832.9190194933</c:v>
                </c:pt>
                <c:pt idx="538">
                  <c:v>2454708.915685033</c:v>
                </c:pt>
                <c:pt idx="539">
                  <c:v>2511886.431509587</c:v>
                </c:pt>
                <c:pt idx="540">
                  <c:v>2570395.782768866</c:v>
                </c:pt>
                <c:pt idx="541">
                  <c:v>2630267.9918953842</c:v>
                </c:pt>
              </c:numCache>
            </c:numRef>
          </c:xVal>
          <c:yVal>
            <c:numRef>
              <c:f>Control_Loop_Tables!$BC$19:$BC$560</c:f>
              <c:numCache>
                <c:formatCode>General</c:formatCode>
                <c:ptCount val="542"/>
                <c:pt idx="0">
                  <c:v>7.076602948532611</c:v>
                </c:pt>
                <c:pt idx="1">
                  <c:v>7.0257136445223445</c:v>
                </c:pt>
                <c:pt idx="2">
                  <c:v>6.9765514932804091</c:v>
                </c:pt>
                <c:pt idx="3">
                  <c:v>6.9290765257121247</c:v>
                </c:pt>
                <c:pt idx="4">
                  <c:v>6.8832484168479624</c:v>
                </c:pt>
                <c:pt idx="5">
                  <c:v>6.8390265860181358</c:v>
                </c:pt>
                <c:pt idx="6">
                  <c:v>6.796370293133883</c:v>
                </c:pt>
                <c:pt idx="7">
                  <c:v>6.7552387307756483</c:v>
                </c:pt>
                <c:pt idx="8">
                  <c:v>6.7155911118424445</c:v>
                </c:pt>
                <c:pt idx="9">
                  <c:v>6.6773867525656456</c:v>
                </c:pt>
                <c:pt idx="10">
                  <c:v>6.6405851507385281</c:v>
                </c:pt>
                <c:pt idx="11">
                  <c:v>6.6051460590592859</c:v>
                </c:pt>
                <c:pt idx="12">
                  <c:v>6.5710295535268646</c:v>
                </c:pt>
                <c:pt idx="13">
                  <c:v>6.5381960968701511</c:v>
                </c:pt>
                <c:pt idx="14">
                  <c:v>6.5066065970260301</c:v>
                </c:pt>
                <c:pt idx="15">
                  <c:v>6.4762224607163965</c:v>
                </c:pt>
                <c:pt idx="16">
                  <c:v>6.4470056422024165</c:v>
                </c:pt>
                <c:pt idx="17">
                  <c:v>6.4189186873219519</c:v>
                </c:pt>
                <c:pt idx="18">
                  <c:v>6.391924772938208</c:v>
                </c:pt>
                <c:pt idx="19">
                  <c:v>6.3659877419470456</c:v>
                </c:pt>
                <c:pt idx="20">
                  <c:v>6.3410721340079501</c:v>
                </c:pt>
                <c:pt idx="21">
                  <c:v>6.3171432121754805</c:v>
                </c:pt>
                <c:pt idx="22">
                  <c:v>6.2941669856205573</c:v>
                </c:pt>
                <c:pt idx="23">
                  <c:v>6.2721102286371462</c:v>
                </c:pt>
                <c:pt idx="24">
                  <c:v>6.2509404961366419</c:v>
                </c:pt>
                <c:pt idx="25">
                  <c:v>6.2306261358355597</c:v>
                </c:pt>
                <c:pt idx="26">
                  <c:v>6.2111362973430069</c:v>
                </c:pt>
                <c:pt idx="27">
                  <c:v>6.192440938354232</c:v>
                </c:pt>
                <c:pt idx="28">
                  <c:v>6.1745108281551122</c:v>
                </c:pt>
                <c:pt idx="29">
                  <c:v>6.1573175486382681</c:v>
                </c:pt>
                <c:pt idx="30">
                  <c:v>6.1408334930278627</c:v>
                </c:pt>
                <c:pt idx="31">
                  <c:v>6.1250318625036488</c:v>
                </c:pt>
                <c:pt idx="32">
                  <c:v>6.1098866609094973</c:v>
                </c:pt>
                <c:pt idx="33">
                  <c:v>6.0953726877241357</c:v>
                </c:pt>
                <c:pt idx="34">
                  <c:v>6.0814655294641451</c:v>
                </c:pt>
                <c:pt idx="35">
                  <c:v>6.0681415496817959</c:v>
                </c:pt>
                <c:pt idx="36">
                  <c:v>6.055377877711865</c:v>
                </c:pt>
                <c:pt idx="37">
                  <c:v>6.0431523963128839</c:v>
                </c:pt>
                <c:pt idx="38">
                  <c:v>6.0314437283406876</c:v>
                </c:pt>
                <c:pt idx="39">
                  <c:v>6.0202312225828711</c:v>
                </c:pt>
                <c:pt idx="40">
                  <c:v>6.0094949388748029</c:v>
                </c:pt>
                <c:pt idx="41">
                  <c:v>5.9992156326089709</c:v>
                </c:pt>
                <c:pt idx="42">
                  <c:v>5.9893747387430851</c:v>
                </c:pt>
                <c:pt idx="43">
                  <c:v>5.9799543554022385</c:v>
                </c:pt>
                <c:pt idx="44">
                  <c:v>5.9709372271645256</c:v>
                </c:pt>
                <c:pt idx="45">
                  <c:v>5.9623067281116509</c:v>
                </c:pt>
                <c:pt idx="46">
                  <c:v>5.9540468447194295</c:v>
                </c:pt>
                <c:pt idx="47">
                  <c:v>5.9461421586556753</c:v>
                </c:pt>
                <c:pt idx="48">
                  <c:v>5.9385778295478096</c:v>
                </c:pt>
                <c:pt idx="49">
                  <c:v>5.9313395777753906</c:v>
                </c:pt>
                <c:pt idx="50">
                  <c:v>5.9244136673383627</c:v>
                </c:pt>
                <c:pt idx="51">
                  <c:v>5.9177868888451632</c:v>
                </c:pt>
                <c:pt idx="52">
                  <c:v>5.9114465426613432</c:v>
                </c:pt>
                <c:pt idx="53">
                  <c:v>5.9053804222530708</c:v>
                </c:pt>
                <c:pt idx="54">
                  <c:v>5.8995767977578915</c:v>
                </c:pt>
                <c:pt idx="55">
                  <c:v>5.8940243998080311</c:v>
                </c:pt>
                <c:pt idx="56">
                  <c:v>5.888712403631243</c:v>
                </c:pt>
                <c:pt idx="57">
                  <c:v>5.8836304134477047</c:v>
                </c:pt>
                <c:pt idx="58">
                  <c:v>5.8787684471806498</c:v>
                </c:pt>
                <c:pt idx="59">
                  <c:v>5.8741169214941999</c:v>
                </c:pt>
                <c:pt idx="60">
                  <c:v>5.8696666371696713</c:v>
                </c:pt>
                <c:pt idx="61">
                  <c:v>5.8654087648290503</c:v>
                </c:pt>
                <c:pt idx="62">
                  <c:v>5.8613348310127371</c:v>
                </c:pt>
                <c:pt idx="63">
                  <c:v>5.8574367046156688</c:v>
                </c:pt>
                <c:pt idx="64">
                  <c:v>5.8537065836850042</c:v>
                </c:pt>
                <c:pt idx="65">
                  <c:v>5.8501369825803629</c:v>
                </c:pt>
                <c:pt idx="66">
                  <c:v>5.8467207194966599</c:v>
                </c:pt>
                <c:pt idx="67">
                  <c:v>5.8434509043478213</c:v>
                </c:pt>
                <c:pt idx="68">
                  <c:v>5.8403209270087935</c:v>
                </c:pt>
                <c:pt idx="69">
                  <c:v>5.8373244459121594</c:v>
                </c:pt>
                <c:pt idx="70">
                  <c:v>5.8344553769944918</c:v>
                </c:pt>
                <c:pt idx="71">
                  <c:v>5.8317078829875886</c:v>
                </c:pt>
                <c:pt idx="72">
                  <c:v>5.8290763630477063</c:v>
                </c:pt>
                <c:pt idx="73">
                  <c:v>5.8265554427171038</c:v>
                </c:pt>
                <c:pt idx="74">
                  <c:v>5.8241399642094365</c:v>
                </c:pt>
                <c:pt idx="75">
                  <c:v>5.8218249770126951</c:v>
                </c:pt>
                <c:pt idx="76">
                  <c:v>5.8196057288004708</c:v>
                </c:pt>
                <c:pt idx="77">
                  <c:v>5.8174776566439759</c:v>
                </c:pt>
                <c:pt idx="78">
                  <c:v>5.8154363785158658</c:v>
                </c:pt>
                <c:pt idx="79">
                  <c:v>5.8134776850774195</c:v>
                </c:pt>
                <c:pt idx="80">
                  <c:v>5.8115975317397393</c:v>
                </c:pt>
                <c:pt idx="81">
                  <c:v>5.8097920309900486</c:v>
                </c:pt>
                <c:pt idx="82">
                  <c:v>5.8080574449744358</c:v>
                </c:pt>
                <c:pt idx="83">
                  <c:v>5.8063901783268745</c:v>
                </c:pt>
                <c:pt idx="84">
                  <c:v>5.8047867712366221</c:v>
                </c:pt>
                <c:pt idx="85">
                  <c:v>5.8032438927435415</c:v>
                </c:pt>
                <c:pt idx="86">
                  <c:v>5.8017583342531154</c:v>
                </c:pt>
                <c:pt idx="87">
                  <c:v>5.8003270032618275</c:v>
                </c:pt>
                <c:pt idx="88">
                  <c:v>5.7989469172833674</c:v>
                </c:pt>
                <c:pt idx="89">
                  <c:v>5.7976151979675761</c:v>
                </c:pt>
                <c:pt idx="90">
                  <c:v>5.7963290654025723</c:v>
                </c:pt>
                <c:pt idx="91">
                  <c:v>5.7950858325913206</c:v>
                </c:pt>
                <c:pt idx="92">
                  <c:v>5.7938829000945855</c:v>
                </c:pt>
                <c:pt idx="93">
                  <c:v>5.7927177508307262</c:v>
                </c:pt>
                <c:pt idx="94">
                  <c:v>5.7915879450247747</c:v>
                </c:pt>
                <c:pt idx="95">
                  <c:v>5.7904911152977139</c:v>
                </c:pt>
                <c:pt idx="96">
                  <c:v>5.7894249618882956</c:v>
                </c:pt>
                <c:pt idx="97">
                  <c:v>5.7883872479988172</c:v>
                </c:pt>
                <c:pt idx="98">
                  <c:v>5.7873757952569536</c:v>
                </c:pt>
                <c:pt idx="99">
                  <c:v>5.7863884792859146</c:v>
                </c:pt>
                <c:pt idx="100">
                  <c:v>5.7854232253748838</c:v>
                </c:pt>
                <c:pt idx="101">
                  <c:v>5.7844780042419828</c:v>
                </c:pt>
                <c:pt idx="102">
                  <c:v>5.7835508278823262</c:v>
                </c:pt>
                <c:pt idx="103">
                  <c:v>5.7826397454933058</c:v>
                </c:pt>
                <c:pt idx="104">
                  <c:v>5.7817428394703585</c:v>
                </c:pt>
                <c:pt idx="105">
                  <c:v>5.7808582214645901</c:v>
                </c:pt>
                <c:pt idx="106">
                  <c:v>5.7799840284962958</c:v>
                </c:pt>
                <c:pt idx="107">
                  <c:v>5.7791184191161094</c:v>
                </c:pt>
                <c:pt idx="108">
                  <c:v>5.7782595696071128</c:v>
                </c:pt>
                <c:pt idx="109">
                  <c:v>5.7774056702206611</c:v>
                </c:pt>
                <c:pt idx="110">
                  <c:v>5.7765549214385388</c:v>
                </c:pt>
                <c:pt idx="111">
                  <c:v>5.7757055302546707</c:v>
                </c:pt>
                <c:pt idx="112">
                  <c:v>5.7748557064693706</c:v>
                </c:pt>
                <c:pt idx="113">
                  <c:v>5.774003658988681</c:v>
                </c:pt>
                <c:pt idx="114">
                  <c:v>5.7731475921220969</c:v>
                </c:pt>
                <c:pt idx="115">
                  <c:v>5.77228570187164</c:v>
                </c:pt>
                <c:pt idx="116">
                  <c:v>5.7714161722051163</c:v>
                </c:pt>
                <c:pt idx="117">
                  <c:v>5.7705371713062732</c:v>
                </c:pt>
                <c:pt idx="118">
                  <c:v>5.7696468477952845</c:v>
                </c:pt>
                <c:pt idx="119">
                  <c:v>5.7687433269120003</c:v>
                </c:pt>
                <c:pt idx="120">
                  <c:v>5.7678247066548574</c:v>
                </c:pt>
                <c:pt idx="121">
                  <c:v>5.7668890538684696</c:v>
                </c:pt>
                <c:pt idx="122">
                  <c:v>5.76593440027212</c:v>
                </c:pt>
                <c:pt idx="123">
                  <c:v>5.7649587384224654</c:v>
                </c:pt>
                <c:pt idx="124">
                  <c:v>5.7639600176022991</c:v>
                </c:pt>
                <c:pt idx="125">
                  <c:v>5.7629361396285974</c:v>
                </c:pt>
                <c:pt idx="126">
                  <c:v>5.7618849545716531</c:v>
                </c:pt>
                <c:pt idx="127">
                  <c:v>5.7608042563779884</c:v>
                </c:pt>
                <c:pt idx="128">
                  <c:v>5.7596917783892128</c:v>
                </c:pt>
                <c:pt idx="129">
                  <c:v>5.7585451887484975</c:v>
                </c:pt>
                <c:pt idx="130">
                  <c:v>5.7573620856878849</c:v>
                </c:pt>
                <c:pt idx="131">
                  <c:v>5.7561399926866255</c:v>
                </c:pt>
                <c:pt idx="132">
                  <c:v>5.7548763534940619</c:v>
                </c:pt>
                <c:pt idx="133">
                  <c:v>5.7535685270073067</c:v>
                </c:pt>
                <c:pt idx="134">
                  <c:v>5.7522137819965877</c:v>
                </c:pt>
                <c:pt idx="135">
                  <c:v>5.7508092916685793</c:v>
                </c:pt>
                <c:pt idx="136">
                  <c:v>5.7493521280599573</c:v>
                </c:pt>
                <c:pt idx="137">
                  <c:v>5.7478392562519529</c:v>
                </c:pt>
                <c:pt idx="138">
                  <c:v>5.7462675283973379</c:v>
                </c:pt>
                <c:pt idx="139">
                  <c:v>5.7446336775505724</c:v>
                </c:pt>
                <c:pt idx="140">
                  <c:v>5.7429343112926778</c:v>
                </c:pt>
                <c:pt idx="141">
                  <c:v>5.7411659051413588</c:v>
                </c:pt>
                <c:pt idx="142">
                  <c:v>5.7393247957370424</c:v>
                </c:pt>
                <c:pt idx="143">
                  <c:v>5.7374071737963206</c:v>
                </c:pt>
                <c:pt idx="144">
                  <c:v>5.7354090768231192</c:v>
                </c:pt>
                <c:pt idx="145">
                  <c:v>5.7333263815685287</c:v>
                </c:pt>
                <c:pt idx="146">
                  <c:v>5.7311547962301752</c:v>
                </c:pt>
                <c:pt idx="147">
                  <c:v>5.7288898523821512</c:v>
                </c:pt>
                <c:pt idx="148">
                  <c:v>5.72652689662611</c:v>
                </c:pt>
                <c:pt idx="149">
                  <c:v>5.7240610819552842</c:v>
                </c:pt>
                <c:pt idx="150">
                  <c:v>5.7214873588222828</c:v>
                </c:pt>
                <c:pt idx="151">
                  <c:v>5.7188004659021772</c:v>
                </c:pt>
                <c:pt idx="152">
                  <c:v>5.7159949205429221</c:v>
                </c:pt>
                <c:pt idx="153">
                  <c:v>5.7130650088953576</c:v>
                </c:pt>
                <c:pt idx="154">
                  <c:v>5.7100047757147259</c:v>
                </c:pt>
                <c:pt idx="155">
                  <c:v>5.7068080138274464</c:v>
                </c:pt>
                <c:pt idx="156">
                  <c:v>5.7034682532564958</c:v>
                </c:pt>
                <c:pt idx="157">
                  <c:v>5.6999787499990431</c:v>
                </c:pt>
                <c:pt idx="158">
                  <c:v>5.6963324744525714</c:v>
                </c:pt>
                <c:pt idx="159">
                  <c:v>5.6925220994837824</c:v>
                </c:pt>
                <c:pt idx="160">
                  <c:v>5.6885399881381478</c:v>
                </c:pt>
                <c:pt idx="161">
                  <c:v>5.6843781809878617</c:v>
                </c:pt>
                <c:pt idx="162">
                  <c:v>5.6800283831165181</c:v>
                </c:pt>
                <c:pt idx="163">
                  <c:v>5.6754819507418759</c:v>
                </c:pt>
                <c:pt idx="164">
                  <c:v>5.6707298774783741</c:v>
                </c:pt>
                <c:pt idx="165">
                  <c:v>5.665762780242626</c:v>
                </c:pt>
                <c:pt idx="166">
                  <c:v>5.6605708848085712</c:v>
                </c:pt>
                <c:pt idx="167">
                  <c:v>5.655144011018657</c:v>
                </c:pt>
                <c:pt idx="168">
                  <c:v>5.6494715576619026</c:v>
                </c:pt>
                <c:pt idx="169">
                  <c:v>5.6435424870311799</c:v>
                </c:pt>
                <c:pt idx="170">
                  <c:v>5.637345309174556</c:v>
                </c:pt>
                <c:pt idx="171">
                  <c:v>5.6308680658594765</c:v>
                </c:pt>
                <c:pt idx="172">
                  <c:v>5.6240983142706416</c:v>
                </c:pt>
                <c:pt idx="173">
                  <c:v>5.6170231104674597</c:v>
                </c:pt>
                <c:pt idx="174">
                  <c:v>5.6096289926292506</c:v>
                </c:pt>
                <c:pt idx="175">
                  <c:v>5.6019019641214243</c:v>
                </c:pt>
                <c:pt idx="176">
                  <c:v>5.593827476420616</c:v>
                </c:pt>
                <c:pt idx="177">
                  <c:v>5.5853904119402014</c:v>
                </c:pt>
                <c:pt idx="178">
                  <c:v>5.5765750668042315</c:v>
                </c:pt>
                <c:pt idx="179">
                  <c:v>5.5673651336223742</c:v>
                </c:pt>
                <c:pt idx="180">
                  <c:v>5.5577436843246115</c:v>
                </c:pt>
                <c:pt idx="181">
                  <c:v>5.5476931531198925</c:v>
                </c:pt>
                <c:pt idx="182">
                  <c:v>5.5371953196509773</c:v>
                </c:pt>
                <c:pt idx="183">
                  <c:v>5.5262312924222181</c:v>
                </c:pt>
                <c:pt idx="184">
                  <c:v>5.5147814925864473</c:v>
                </c:pt>
                <c:pt idx="185">
                  <c:v>5.5028256381826681</c:v>
                </c:pt>
                <c:pt idx="186">
                  <c:v>5.4903427289254383</c:v>
                </c:pt>
                <c:pt idx="187">
                  <c:v>5.4773110316534233</c:v>
                </c:pt>
                <c:pt idx="188">
                  <c:v>5.4637080665539131</c:v>
                </c:pt>
                <c:pt idx="189">
                  <c:v>5.4495105942874815</c:v>
                </c:pt>
                <c:pt idx="190">
                  <c:v>5.4346946041460047</c:v>
                </c:pt>
                <c:pt idx="191">
                  <c:v>5.419235303385511</c:v>
                </c:pt>
                <c:pt idx="192">
                  <c:v>5.4031071078832866</c:v>
                </c:pt>
                <c:pt idx="193">
                  <c:v>5.386283634278076</c:v>
                </c:pt>
                <c:pt idx="194">
                  <c:v>5.3687376937589724</c:v>
                </c:pt>
                <c:pt idx="195">
                  <c:v>5.3504412876771426</c:v>
                </c:pt>
                <c:pt idx="196">
                  <c:v>5.3313656051620217</c:v>
                </c:pt>
                <c:pt idx="197">
                  <c:v>5.3114810229292653</c:v>
                </c:pt>
                <c:pt idx="198">
                  <c:v>5.2907571074747555</c:v>
                </c:pt>
                <c:pt idx="199">
                  <c:v>5.2691626198537511</c:v>
                </c:pt>
                <c:pt idx="200">
                  <c:v>5.2466655232474153</c:v>
                </c:pt>
                <c:pt idx="201">
                  <c:v>5.2232329935230233</c:v>
                </c:pt>
                <c:pt idx="202">
                  <c:v>5.1988314329941172</c:v>
                </c:pt>
                <c:pt idx="203">
                  <c:v>5.1734264875874096</c:v>
                </c:pt>
                <c:pt idx="204">
                  <c:v>5.1469830676197894</c:v>
                </c:pt>
                <c:pt idx="205">
                  <c:v>5.1194653723856156</c:v>
                </c:pt>
                <c:pt idx="206">
                  <c:v>5.0908369187468159</c:v>
                </c:pt>
                <c:pt idx="207">
                  <c:v>5.0610605739095726</c:v>
                </c:pt>
                <c:pt idx="208">
                  <c:v>5.0300985925586694</c:v>
                </c:pt>
                <c:pt idx="209">
                  <c:v>4.997912658506916</c:v>
                </c:pt>
                <c:pt idx="210">
                  <c:v>4.9644639309980025</c:v>
                </c:pt>
                <c:pt idx="211">
                  <c:v>4.9297130957801425</c:v>
                </c:pt>
                <c:pt idx="212">
                  <c:v>4.8936204210439804</c:v>
                </c:pt>
                <c:pt idx="213">
                  <c:v>4.8561458182897423</c:v>
                </c:pt>
                <c:pt idx="214">
                  <c:v>4.817248908157084</c:v>
                </c:pt>
                <c:pt idx="215">
                  <c:v>4.7768890912174209</c:v>
                </c:pt>
                <c:pt idx="216">
                  <c:v>4.7350256236886823</c:v>
                </c:pt>
                <c:pt idx="217">
                  <c:v>4.6916176979932525</c:v>
                </c:pt>
                <c:pt idx="218">
                  <c:v>4.6466245280334864</c:v>
                </c:pt>
                <c:pt idx="219">
                  <c:v>4.6000054390146872</c:v>
                </c:pt>
                <c:pt idx="220">
                  <c:v>4.5517199615938511</c:v>
                </c:pt>
                <c:pt idx="221">
                  <c:v>4.5017279300832502</c:v>
                </c:pt>
                <c:pt idx="222">
                  <c:v>4.4499895843849133</c:v>
                </c:pt>
                <c:pt idx="223">
                  <c:v>4.3964656752793587</c:v>
                </c:pt>
                <c:pt idx="224">
                  <c:v>4.3411175726384474</c:v>
                </c:pt>
                <c:pt idx="225">
                  <c:v>4.2839073760806325</c:v>
                </c:pt>
                <c:pt idx="226">
                  <c:v>4.2247980275360959</c:v>
                </c:pt>
                <c:pt idx="227">
                  <c:v>4.1637534251402819</c:v>
                </c:pt>
                <c:pt idx="228">
                  <c:v>4.1007385378310985</c:v>
                </c:pt>
                <c:pt idx="229">
                  <c:v>4.0357195199821678</c:v>
                </c:pt>
                <c:pt idx="230">
                  <c:v>3.9686638253713258</c:v>
                </c:pt>
                <c:pt idx="231">
                  <c:v>3.899540319751984</c:v>
                </c:pt>
                <c:pt idx="232">
                  <c:v>3.8283193912739026</c:v>
                </c:pt>
                <c:pt idx="233">
                  <c:v>3.7549730579836189</c:v>
                </c:pt>
                <c:pt idx="234">
                  <c:v>3.6794750716292102</c:v>
                </c:pt>
                <c:pt idx="235">
                  <c:v>3.6018010169943482</c:v>
                </c:pt>
                <c:pt idx="236">
                  <c:v>3.5219284060001637</c:v>
                </c:pt>
                <c:pt idx="237">
                  <c:v>3.439836765832248</c:v>
                </c:pt>
                <c:pt idx="238">
                  <c:v>3.3555077203808157</c:v>
                </c:pt>
                <c:pt idx="239">
                  <c:v>3.2689250643238394</c:v>
                </c:pt>
                <c:pt idx="240">
                  <c:v>3.180074829228773</c:v>
                </c:pt>
                <c:pt idx="241">
                  <c:v>3.08894534110948</c:v>
                </c:pt>
                <c:pt idx="242">
                  <c:v>2.9955272689394126</c:v>
                </c:pt>
                <c:pt idx="243">
                  <c:v>2.8998136636960274</c:v>
                </c:pt>
                <c:pt idx="244">
                  <c:v>2.8017999875905044</c:v>
                </c:pt>
                <c:pt idx="245">
                  <c:v>2.7014841332227468</c:v>
                </c:pt>
                <c:pt idx="246">
                  <c:v>2.5988664324901984</c:v>
                </c:pt>
                <c:pt idx="247">
                  <c:v>2.4939496551695859</c:v>
                </c:pt>
                <c:pt idx="248">
                  <c:v>2.3867389971853177</c:v>
                </c:pt>
                <c:pt idx="249">
                  <c:v>2.2772420586691098</c:v>
                </c:pt>
                <c:pt idx="250">
                  <c:v>2.1654688120071555</c:v>
                </c:pt>
                <c:pt idx="251">
                  <c:v>2.0514315601594371</c:v>
                </c:pt>
                <c:pt idx="252">
                  <c:v>1.935144885618536</c:v>
                </c:pt>
                <c:pt idx="253">
                  <c:v>1.816625590453842</c:v>
                </c:pt>
                <c:pt idx="254">
                  <c:v>1.6958926279591504</c:v>
                </c:pt>
                <c:pt idx="255">
                  <c:v>1.572967026483993</c:v>
                </c:pt>
                <c:pt idx="256">
                  <c:v>1.4478718060865692</c:v>
                </c:pt>
                <c:pt idx="257">
                  <c:v>1.3206318886908823</c:v>
                </c:pt>
                <c:pt idx="258">
                  <c:v>1.1912740024696498</c:v>
                </c:pt>
                <c:pt idx="259">
                  <c:v>1.0598265812009249</c:v>
                </c:pt>
                <c:pt idx="260">
                  <c:v>0.92631965936580463</c:v>
                </c:pt>
                <c:pt idx="261">
                  <c:v>0.79078476376183315</c:v>
                </c:pt>
                <c:pt idx="262">
                  <c:v>0.65325480240792311</c:v>
                </c:pt>
                <c:pt idx="263">
                  <c:v>0.51376395150609999</c:v>
                </c:pt>
                <c:pt idx="264">
                  <c:v>0.37234754120871516</c:v>
                </c:pt>
                <c:pt idx="265">
                  <c:v>0.22904194091552063</c:v>
                </c:pt>
                <c:pt idx="266">
                  <c:v>8.3884444793099561E-2</c:v>
                </c:pt>
                <c:pt idx="267">
                  <c:v>-6.3086841827874385E-2</c:v>
                </c:pt>
                <c:pt idx="268">
                  <c:v>-0.21183311456301204</c:v>
                </c:pt>
                <c:pt idx="269">
                  <c:v>-0.36231498002494411</c:v>
                </c:pt>
                <c:pt idx="270">
                  <c:v>-0.51449256329528659</c:v>
                </c:pt>
                <c:pt idx="271">
                  <c:v>-0.66832561234973942</c:v>
                </c:pt>
                <c:pt idx="272">
                  <c:v>-0.82377359902126845</c:v>
                </c:pt>
                <c:pt idx="273">
                  <c:v>-0.9807958161393775</c:v>
                </c:pt>
                <c:pt idx="274">
                  <c:v>-1.1393514705353698</c:v>
                </c:pt>
                <c:pt idx="275">
                  <c:v>-1.2993997716570282</c:v>
                </c:pt>
                <c:pt idx="276">
                  <c:v>-1.4609000155853991</c:v>
                </c:pt>
                <c:pt idx="277">
                  <c:v>-1.623811664295127</c:v>
                </c:pt>
                <c:pt idx="278">
                  <c:v>-1.7880944200471893</c:v>
                </c:pt>
                <c:pt idx="279">
                  <c:v>-1.9537082948443203</c:v>
                </c:pt>
                <c:pt idx="280">
                  <c:v>-2.1206136749215481</c:v>
                </c:pt>
                <c:pt idx="281">
                  <c:v>-2.2887713802804113</c:v>
                </c:pt>
                <c:pt idx="282">
                  <c:v>-2.4581427193097678</c:v>
                </c:pt>
                <c:pt idx="283">
                  <c:v>-2.6286895385663023</c:v>
                </c:pt>
                <c:pt idx="284">
                  <c:v>-2.8003742678147097</c:v>
                </c:pt>
                <c:pt idx="285">
                  <c:v>-2.9731599604517371</c:v>
                </c:pt>
                <c:pt idx="286">
                  <c:v>-3.1470103294573599</c:v>
                </c:pt>
                <c:pt idx="287">
                  <c:v>-3.3218897790352231</c:v>
                </c:pt>
                <c:pt idx="288">
                  <c:v>-3.4977634321163062</c:v>
                </c:pt>
                <c:pt idx="289">
                  <c:v>-3.6745971539134641</c:v>
                </c:pt>
                <c:pt idx="290">
                  <c:v>-3.8523575717211345</c:v>
                </c:pt>
                <c:pt idx="291">
                  <c:v>-4.0310120911610028</c:v>
                </c:pt>
                <c:pt idx="292">
                  <c:v>-4.2105289090796303</c:v>
                </c:pt>
                <c:pt idx="293">
                  <c:v>-4.3908770233033874</c:v>
                </c:pt>
                <c:pt idx="294">
                  <c:v>-4.5720262394584665</c:v>
                </c:pt>
                <c:pt idx="295">
                  <c:v>-4.7539471750604303</c:v>
                </c:pt>
                <c:pt idx="296">
                  <c:v>-4.9366112610754795</c:v>
                </c:pt>
                <c:pt idx="297">
                  <c:v>-5.1199907411511516</c:v>
                </c:pt>
                <c:pt idx="298">
                  <c:v>-5.3040586687088869</c:v>
                </c:pt>
                <c:pt idx="299">
                  <c:v>-5.48878890208477</c:v>
                </c:pt>
                <c:pt idx="300">
                  <c:v>-5.6741560978977681</c:v>
                </c:pt>
                <c:pt idx="301">
                  <c:v>-5.8601357028175531</c:v>
                </c:pt>
                <c:pt idx="302">
                  <c:v>-6.046703943895797</c:v>
                </c:pt>
                <c:pt idx="303">
                  <c:v>-6.2338378176174629</c:v>
                </c:pt>
                <c:pt idx="304">
                  <c:v>-6.4215150778192145</c:v>
                </c:pt>
                <c:pt idx="305">
                  <c:v>-6.6097142226144339</c:v>
                </c:pt>
                <c:pt idx="306">
                  <c:v>-6.798414480455631</c:v>
                </c:pt>
                <c:pt idx="307">
                  <c:v>-6.9875957954567012</c:v>
                </c:pt>
                <c:pt idx="308">
                  <c:v>-7.1772388120890476</c:v>
                </c:pt>
                <c:pt idx="309">
                  <c:v>-7.3673248593578533</c:v>
                </c:pt>
                <c:pt idx="310">
                  <c:v>-7.5578359345564419</c:v>
                </c:pt>
                <c:pt idx="311">
                  <c:v>-7.7487546866895238</c:v>
                </c:pt>
                <c:pt idx="312">
                  <c:v>-7.9400643996487554</c:v>
                </c:pt>
                <c:pt idx="313">
                  <c:v>-8.1317489752164267</c:v>
                </c:pt>
                <c:pt idx="314">
                  <c:v>-8.3237929159675126</c:v>
                </c:pt>
                <c:pt idx="315">
                  <c:v>-8.5161813081323015</c:v>
                </c:pt>
                <c:pt idx="316">
                  <c:v>-8.7088998044782233</c:v>
                </c:pt>
                <c:pt idx="317">
                  <c:v>-8.9019346072608307</c:v>
                </c:pt>
                <c:pt idx="318">
                  <c:v>-9.0952724512914092</c:v>
                </c:pt>
                <c:pt idx="319">
                  <c:v>-9.2889005871612653</c:v>
                </c:pt>
                <c:pt idx="320">
                  <c:v>-9.4828067646603014</c:v>
                </c:pt>
                <c:pt idx="321">
                  <c:v>-9.6769792164209925</c:v>
                </c:pt>
                <c:pt idx="322">
                  <c:v>-9.8714066418162787</c:v>
                </c:pt>
                <c:pt idx="323">
                  <c:v>-10.066078191135793</c:v>
                </c:pt>
                <c:pt idx="324">
                  <c:v>-10.260983450061502</c:v>
                </c:pt>
                <c:pt idx="325">
                  <c:v>-10.456112424459532</c:v>
                </c:pt>
                <c:pt idx="326">
                  <c:v>-10.651455525503749</c:v>
                </c:pt>
                <c:pt idx="327">
                  <c:v>-10.84700355514342</c:v>
                </c:pt>
                <c:pt idx="328">
                  <c:v>-11.042747691923292</c:v>
                </c:pt>
                <c:pt idx="329">
                  <c:v>-11.238679477165707</c:v>
                </c:pt>
                <c:pt idx="330">
                  <c:v>-11.434790801517401</c:v>
                </c:pt>
                <c:pt idx="331">
                  <c:v>-11.631073891867311</c:v>
                </c:pt>
                <c:pt idx="332">
                  <c:v>-11.827521298635027</c:v>
                </c:pt>
                <c:pt idx="333">
                  <c:v>-12.024125883432697</c:v>
                </c:pt>
                <c:pt idx="334">
                  <c:v>-12.220880807097034</c:v>
                </c:pt>
                <c:pt idx="335">
                  <c:v>-12.417779518092086</c:v>
                </c:pt>
                <c:pt idx="336">
                  <c:v>-12.614815741276999</c:v>
                </c:pt>
                <c:pt idx="337">
                  <c:v>-12.811983467037704</c:v>
                </c:pt>
                <c:pt idx="338">
                  <c:v>-13.009276940775585</c:v>
                </c:pt>
                <c:pt idx="339">
                  <c:v>-13.206690652748751</c:v>
                </c:pt>
                <c:pt idx="340">
                  <c:v>-13.40421932825951</c:v>
                </c:pt>
                <c:pt idx="341">
                  <c:v>-13.601857918182391</c:v>
                </c:pt>
                <c:pt idx="342">
                  <c:v>-13.799601589824473</c:v>
                </c:pt>
                <c:pt idx="343">
                  <c:v>-13.997445718111718</c:v>
                </c:pt>
                <c:pt idx="344">
                  <c:v>-14.195385877093489</c:v>
                </c:pt>
                <c:pt idx="345">
                  <c:v>-14.393417831757461</c:v>
                </c:pt>
                <c:pt idx="346">
                  <c:v>-14.591537530146791</c:v>
                </c:pt>
                <c:pt idx="347">
                  <c:v>-14.789741095771385</c:v>
                </c:pt>
                <c:pt idx="348">
                  <c:v>-14.988024820305883</c:v>
                </c:pt>
                <c:pt idx="349">
                  <c:v>-15.186385156564786</c:v>
                </c:pt>
                <c:pt idx="350">
                  <c:v>-15.384818711747851</c:v>
                </c:pt>
                <c:pt idx="351">
                  <c:v>-15.583322240946416</c:v>
                </c:pt>
                <c:pt idx="352">
                  <c:v>-15.781892640903635</c:v>
                </c:pt>
                <c:pt idx="353">
                  <c:v>-15.980526944018699</c:v>
                </c:pt>
                <c:pt idx="354">
                  <c:v>-16.179222312589779</c:v>
                </c:pt>
                <c:pt idx="355">
                  <c:v>-16.377976033284707</c:v>
                </c:pt>
                <c:pt idx="356">
                  <c:v>-16.576785511834458</c:v>
                </c:pt>
                <c:pt idx="357">
                  <c:v>-16.775648267939346</c:v>
                </c:pt>
                <c:pt idx="358">
                  <c:v>-16.974561930382134</c:v>
                </c:pt>
                <c:pt idx="359">
                  <c:v>-17.173524232340373</c:v>
                </c:pt>
                <c:pt idx="360">
                  <c:v>-17.372533006889807</c:v>
                </c:pt>
                <c:pt idx="361">
                  <c:v>-17.571586182693594</c:v>
                </c:pt>
                <c:pt idx="362">
                  <c:v>-17.770681779868902</c:v>
                </c:pt>
                <c:pt idx="363">
                  <c:v>-17.969817906024915</c:v>
                </c:pt>
                <c:pt idx="364">
                  <c:v>-18.168992752466206</c:v>
                </c:pt>
                <c:pt idx="365">
                  <c:v>-18.36820459055448</c:v>
                </c:pt>
                <c:pt idx="366">
                  <c:v>-18.567451768222721</c:v>
                </c:pt>
                <c:pt idx="367">
                  <c:v>-18.7667327066365</c:v>
                </c:pt>
                <c:pt idx="368">
                  <c:v>-18.966045896995777</c:v>
                </c:pt>
                <c:pt idx="369">
                  <c:v>-19.165389897472483</c:v>
                </c:pt>
                <c:pt idx="370">
                  <c:v>-19.364763330277711</c:v>
                </c:pt>
                <c:pt idx="371">
                  <c:v>-19.564164878854303</c:v>
                </c:pt>
                <c:pt idx="372">
                  <c:v>-19.76359328518901</c:v>
                </c:pt>
                <c:pt idx="373">
                  <c:v>-19.96304734723951</c:v>
                </c:pt>
                <c:pt idx="374">
                  <c:v>-20.16252591647244</c:v>
                </c:pt>
                <c:pt idx="375">
                  <c:v>-20.362027895506575</c:v>
                </c:pt>
                <c:pt idx="376">
                  <c:v>-20.561552235857924</c:v>
                </c:pt>
                <c:pt idx="377">
                  <c:v>-20.761097935782299</c:v>
                </c:pt>
                <c:pt idx="378">
                  <c:v>-20.960664038210734</c:v>
                </c:pt>
                <c:pt idx="379">
                  <c:v>-21.160249628775119</c:v>
                </c:pt>
                <c:pt idx="380">
                  <c:v>-21.359853833918923</c:v>
                </c:pt>
                <c:pt idx="381">
                  <c:v>-21.559475819090167</c:v>
                </c:pt>
                <c:pt idx="382">
                  <c:v>-21.759114787013601</c:v>
                </c:pt>
                <c:pt idx="383">
                  <c:v>-21.958769976037566</c:v>
                </c:pt>
                <c:pt idx="384">
                  <c:v>-22.158440658553662</c:v>
                </c:pt>
                <c:pt idx="385">
                  <c:v>-22.358126139485254</c:v>
                </c:pt>
                <c:pt idx="386">
                  <c:v>-22.557825754842028</c:v>
                </c:pt>
                <c:pt idx="387">
                  <c:v>-22.757538870338468</c:v>
                </c:pt>
                <c:pt idx="388">
                  <c:v>-22.95726488007249</c:v>
                </c:pt>
                <c:pt idx="389">
                  <c:v>-23.157003205262594</c:v>
                </c:pt>
                <c:pt idx="390">
                  <c:v>-23.356753293039958</c:v>
                </c:pt>
                <c:pt idx="391">
                  <c:v>-23.55651461529456</c:v>
                </c:pt>
                <c:pt idx="392">
                  <c:v>-23.756286667571644</c:v>
                </c:pt>
                <c:pt idx="393">
                  <c:v>-23.956068968016911</c:v>
                </c:pt>
                <c:pt idx="394">
                  <c:v>-24.155861056368572</c:v>
                </c:pt>
                <c:pt idx="395">
                  <c:v>-24.355662492993815</c:v>
                </c:pt>
                <c:pt idx="396">
                  <c:v>-24.555472857967786</c:v>
                </c:pt>
                <c:pt idx="397">
                  <c:v>-24.75529175019372</c:v>
                </c:pt>
                <c:pt idx="398">
                  <c:v>-24.955118786561581</c:v>
                </c:pt>
                <c:pt idx="399">
                  <c:v>-25.154953601144499</c:v>
                </c:pt>
                <c:pt idx="400">
                  <c:v>-25.354795844430512</c:v>
                </c:pt>
                <c:pt idx="401">
                  <c:v>-25.554645182588636</c:v>
                </c:pt>
                <c:pt idx="402">
                  <c:v>-25.754501296767337</c:v>
                </c:pt>
                <c:pt idx="403">
                  <c:v>-25.954363882424509</c:v>
                </c:pt>
                <c:pt idx="404">
                  <c:v>-26.154232648686989</c:v>
                </c:pt>
                <c:pt idx="405">
                  <c:v>-26.354107317738574</c:v>
                </c:pt>
                <c:pt idx="406">
                  <c:v>-26.553987624235585</c:v>
                </c:pt>
                <c:pt idx="407">
                  <c:v>-26.753873314748059</c:v>
                </c:pt>
                <c:pt idx="408">
                  <c:v>-26.953764147226231</c:v>
                </c:pt>
                <c:pt idx="409">
                  <c:v>-27.153659890490541</c:v>
                </c:pt>
                <c:pt idx="410">
                  <c:v>-27.353560323744482</c:v>
                </c:pt>
                <c:pt idx="411">
                  <c:v>-27.55346523610924</c:v>
                </c:pt>
                <c:pt idx="412">
                  <c:v>-27.753374426178986</c:v>
                </c:pt>
                <c:pt idx="413">
                  <c:v>-27.953287701596299</c:v>
                </c:pt>
                <c:pt idx="414">
                  <c:v>-28.153204878646125</c:v>
                </c:pt>
                <c:pt idx="415">
                  <c:v>-28.353125781868233</c:v>
                </c:pt>
                <c:pt idx="416">
                  <c:v>-28.553050243686933</c:v>
                </c:pt>
                <c:pt idx="417">
                  <c:v>-28.752978104057338</c:v>
                </c:pt>
                <c:pt idx="418">
                  <c:v>-28.952909210127316</c:v>
                </c:pt>
                <c:pt idx="419">
                  <c:v>-29.152843415914639</c:v>
                </c:pt>
                <c:pt idx="420">
                  <c:v>-29.3527805819988</c:v>
                </c:pt>
                <c:pt idx="421">
                  <c:v>-29.55272057522642</c:v>
                </c:pt>
                <c:pt idx="422">
                  <c:v>-29.75266326842965</c:v>
                </c:pt>
                <c:pt idx="423">
                  <c:v>-29.952608540157737</c:v>
                </c:pt>
                <c:pt idx="424">
                  <c:v>-30.152556274420025</c:v>
                </c:pt>
                <c:pt idx="425">
                  <c:v>-30.352506360440689</c:v>
                </c:pt>
                <c:pt idx="426">
                  <c:v>-30.552458692425034</c:v>
                </c:pt>
                <c:pt idx="427">
                  <c:v>-30.752413169335139</c:v>
                </c:pt>
                <c:pt idx="428">
                  <c:v>-30.952369694676243</c:v>
                </c:pt>
                <c:pt idx="429">
                  <c:v>-31.152328176293093</c:v>
                </c:pt>
                <c:pt idx="430">
                  <c:v>-31.352288526174451</c:v>
                </c:pt>
                <c:pt idx="431">
                  <c:v>-31.552250660267248</c:v>
                </c:pt>
                <c:pt idx="432">
                  <c:v>-31.752214498298326</c:v>
                </c:pt>
                <c:pt idx="433">
                  <c:v>-31.952179963605051</c:v>
                </c:pt>
                <c:pt idx="434">
                  <c:v>-32.152146982972667</c:v>
                </c:pt>
                <c:pt idx="435">
                  <c:v>-32.352115486479434</c:v>
                </c:pt>
                <c:pt idx="436">
                  <c:v>-32.552085407348692</c:v>
                </c:pt>
                <c:pt idx="437">
                  <c:v>-32.752056681807325</c:v>
                </c:pt>
                <c:pt idx="438">
                  <c:v>-32.952029248950915</c:v>
                </c:pt>
                <c:pt idx="439">
                  <c:v>-33.152003050614738</c:v>
                </c:pt>
                <c:pt idx="440">
                  <c:v>-33.35197803125034</c:v>
                </c:pt>
                <c:pt idx="441">
                  <c:v>-33.551954137808302</c:v>
                </c:pt>
                <c:pt idx="442">
                  <c:v>-33.751931319625577</c:v>
                </c:pt>
                <c:pt idx="443">
                  <c:v>-33.951909528318374</c:v>
                </c:pt>
                <c:pt idx="444">
                  <c:v>-34.151888717679398</c:v>
                </c:pt>
                <c:pt idx="445">
                  <c:v>-34.351868843580462</c:v>
                </c:pt>
                <c:pt idx="446">
                  <c:v>-34.551849863878338</c:v>
                </c:pt>
                <c:pt idx="447">
                  <c:v>-34.751831738326132</c:v>
                </c:pt>
                <c:pt idx="448">
                  <c:v>-34.95181442848758</c:v>
                </c:pt>
                <c:pt idx="449">
                  <c:v>-35.151797897655598</c:v>
                </c:pt>
                <c:pt idx="450">
                  <c:v>-35.351782110774941</c:v>
                </c:pt>
                <c:pt idx="451">
                  <c:v>-35.551767034367437</c:v>
                </c:pt>
                <c:pt idx="452">
                  <c:v>-35.751752636461084</c:v>
                </c:pt>
                <c:pt idx="453">
                  <c:v>-35.95173888652274</c:v>
                </c:pt>
                <c:pt idx="454">
                  <c:v>-36.151725755392945</c:v>
                </c:pt>
                <c:pt idx="455">
                  <c:v>-36.351713215224272</c:v>
                </c:pt>
                <c:pt idx="456">
                  <c:v>-36.551701239422364</c:v>
                </c:pt>
                <c:pt idx="457">
                  <c:v>-36.751689802589468</c:v>
                </c:pt>
                <c:pt idx="458">
                  <c:v>-36.951678880470773</c:v>
                </c:pt>
                <c:pt idx="459">
                  <c:v>-37.151668449902758</c:v>
                </c:pt>
                <c:pt idx="460">
                  <c:v>-37.351658488764208</c:v>
                </c:pt>
                <c:pt idx="461">
                  <c:v>-37.551648975929439</c:v>
                </c:pt>
                <c:pt idx="462">
                  <c:v>-37.751639891223341</c:v>
                </c:pt>
                <c:pt idx="463">
                  <c:v>-37.951631215378576</c:v>
                </c:pt>
                <c:pt idx="464">
                  <c:v>-38.151622929994979</c:v>
                </c:pt>
                <c:pt idx="465">
                  <c:v>-38.351615017500336</c:v>
                </c:pt>
                <c:pt idx="466">
                  <c:v>-38.551607461113193</c:v>
                </c:pt>
                <c:pt idx="467">
                  <c:v>-38.751600244807157</c:v>
                </c:pt>
                <c:pt idx="468">
                  <c:v>-38.951593353277239</c:v>
                </c:pt>
                <c:pt idx="469">
                  <c:v>-39.151586771907049</c:v>
                </c:pt>
                <c:pt idx="470">
                  <c:v>-39.351580486737916</c:v>
                </c:pt>
                <c:pt idx="471">
                  <c:v>-39.551574484439669</c:v>
                </c:pt>
                <c:pt idx="472">
                  <c:v>-39.7515687522815</c:v>
                </c:pt>
                <c:pt idx="473">
                  <c:v>-39.951563278105873</c:v>
                </c:pt>
                <c:pt idx="474">
                  <c:v>-40.151558050302285</c:v>
                </c:pt>
                <c:pt idx="475">
                  <c:v>-40.351553057782766</c:v>
                </c:pt>
                <c:pt idx="476">
                  <c:v>-40.551548289958262</c:v>
                </c:pt>
                <c:pt idx="477">
                  <c:v>-40.751543736716357</c:v>
                </c:pt>
                <c:pt idx="478">
                  <c:v>-40.951539388399631</c:v>
                </c:pt>
                <c:pt idx="479">
                  <c:v>-41.151535235785303</c:v>
                </c:pt>
                <c:pt idx="480">
                  <c:v>-41.351531270065756</c:v>
                </c:pt>
                <c:pt idx="481">
                  <c:v>-41.551527482829584</c:v>
                </c:pt>
                <c:pt idx="482">
                  <c:v>-41.75152386604401</c:v>
                </c:pt>
                <c:pt idx="483">
                  <c:v>-41.951520412037823</c:v>
                </c:pt>
                <c:pt idx="484">
                  <c:v>-42.151517113484957</c:v>
                </c:pt>
                <c:pt idx="485">
                  <c:v>-42.351513963389067</c:v>
                </c:pt>
                <c:pt idx="486">
                  <c:v>-42.551510955068693</c:v>
                </c:pt>
                <c:pt idx="487">
                  <c:v>-42.751508082143147</c:v>
                </c:pt>
                <c:pt idx="488">
                  <c:v>-42.95150533851875</c:v>
                </c:pt>
                <c:pt idx="489">
                  <c:v>-43.151502718376179</c:v>
                </c:pt>
                <c:pt idx="490">
                  <c:v>-43.351500216157966</c:v>
                </c:pt>
                <c:pt idx="491">
                  <c:v>-43.551497826556762</c:v>
                </c:pt>
                <c:pt idx="492">
                  <c:v>-43.751495544504138</c:v>
                </c:pt>
                <c:pt idx="493">
                  <c:v>-43.951493365159642</c:v>
                </c:pt>
                <c:pt idx="494">
                  <c:v>-44.151491283900832</c:v>
                </c:pt>
                <c:pt idx="495">
                  <c:v>-44.351489296313147</c:v>
                </c:pt>
                <c:pt idx="496">
                  <c:v>-44.551487398180797</c:v>
                </c:pt>
                <c:pt idx="497">
                  <c:v>-44.751485585477688</c:v>
                </c:pt>
                <c:pt idx="498">
                  <c:v>-44.951483854358962</c:v>
                </c:pt>
                <c:pt idx="499">
                  <c:v>-45.151482201152746</c:v>
                </c:pt>
                <c:pt idx="500">
                  <c:v>-45.351480622352526</c:v>
                </c:pt>
                <c:pt idx="501">
                  <c:v>-45.55147911460945</c:v>
                </c:pt>
                <c:pt idx="502">
                  <c:v>-45.751477674725507</c:v>
                </c:pt>
                <c:pt idx="503">
                  <c:v>-45.951476299646579</c:v>
                </c:pt>
                <c:pt idx="504">
                  <c:v>-46.15147498645598</c:v>
                </c:pt>
                <c:pt idx="505">
                  <c:v>-46.351473732368333</c:v>
                </c:pt>
                <c:pt idx="506">
                  <c:v>-46.551472534723601</c:v>
                </c:pt>
                <c:pt idx="507">
                  <c:v>-46.751471390981429</c:v>
                </c:pt>
                <c:pt idx="508">
                  <c:v>-46.951470298715861</c:v>
                </c:pt>
                <c:pt idx="509">
                  <c:v>-47.151469255610081</c:v>
                </c:pt>
                <c:pt idx="510">
                  <c:v>-47.351468259451586</c:v>
                </c:pt>
                <c:pt idx="511">
                  <c:v>-47.551467308127393</c:v>
                </c:pt>
                <c:pt idx="512">
                  <c:v>-47.751466399619602</c:v>
                </c:pt>
                <c:pt idx="513">
                  <c:v>-47.951465532001251</c:v>
                </c:pt>
                <c:pt idx="514">
                  <c:v>-48.151464703432012</c:v>
                </c:pt>
                <c:pt idx="515">
                  <c:v>-48.351463912154358</c:v>
                </c:pt>
                <c:pt idx="516">
                  <c:v>-48.551463156489945</c:v>
                </c:pt>
                <c:pt idx="517">
                  <c:v>-48.751462434835901</c:v>
                </c:pt>
                <c:pt idx="518">
                  <c:v>-48.951461745661547</c:v>
                </c:pt>
                <c:pt idx="519">
                  <c:v>-49.151461087505027</c:v>
                </c:pt>
                <c:pt idx="520">
                  <c:v>-49.351460458970287</c:v>
                </c:pt>
                <c:pt idx="521">
                  <c:v>-49.551459858724272</c:v>
                </c:pt>
                <c:pt idx="522">
                  <c:v>-49.751459285493731</c:v>
                </c:pt>
                <c:pt idx="523">
                  <c:v>-49.951458738062612</c:v>
                </c:pt>
                <c:pt idx="524">
                  <c:v>-50.151458215269919</c:v>
                </c:pt>
                <c:pt idx="525">
                  <c:v>-50.351457716006756</c:v>
                </c:pt>
                <c:pt idx="526">
                  <c:v>-50.551457239214095</c:v>
                </c:pt>
                <c:pt idx="527">
                  <c:v>-50.75145678388062</c:v>
                </c:pt>
                <c:pt idx="528">
                  <c:v>-50.951456349040413</c:v>
                </c:pt>
                <c:pt idx="529">
                  <c:v>-51.151455933771203</c:v>
                </c:pt>
                <c:pt idx="530">
                  <c:v>-51.351455537192138</c:v>
                </c:pt>
                <c:pt idx="531">
                  <c:v>-51.551455158462133</c:v>
                </c:pt>
                <c:pt idx="532">
                  <c:v>-51.751454796777665</c:v>
                </c:pt>
                <c:pt idx="533">
                  <c:v>-51.95145445137166</c:v>
                </c:pt>
                <c:pt idx="534">
                  <c:v>-52.151454121511449</c:v>
                </c:pt>
                <c:pt idx="535">
                  <c:v>-52.351453806497446</c:v>
                </c:pt>
                <c:pt idx="536">
                  <c:v>-52.551453505661371</c:v>
                </c:pt>
                <c:pt idx="537">
                  <c:v>-52.751453218365072</c:v>
                </c:pt>
                <c:pt idx="538">
                  <c:v>-52.951452943999215</c:v>
                </c:pt>
                <c:pt idx="539">
                  <c:v>-53.151452681981894</c:v>
                </c:pt>
                <c:pt idx="540">
                  <c:v>-53.351452431757245</c:v>
                </c:pt>
                <c:pt idx="541">
                  <c:v>-53.551452192794557</c:v>
                </c:pt>
              </c:numCache>
            </c:numRef>
          </c:yVal>
          <c:smooth val="1"/>
          <c:extLst>
            <c:ext xmlns:c16="http://schemas.microsoft.com/office/drawing/2014/chart" uri="{C3380CC4-5D6E-409C-BE32-E72D297353CC}">
              <c16:uniqueId val="{00000000-10B5-49C9-9BB6-6633B6CD1AA0}"/>
            </c:ext>
          </c:extLst>
        </c:ser>
        <c:dLbls>
          <c:showLegendKey val="0"/>
          <c:showVal val="0"/>
          <c:showCatName val="0"/>
          <c:showSerName val="0"/>
          <c:showPercent val="0"/>
          <c:showBubbleSize val="0"/>
        </c:dLbls>
        <c:axId val="555280640"/>
        <c:axId val="365437312"/>
      </c:scatterChart>
      <c:scatterChart>
        <c:scatterStyle val="smoothMarker"/>
        <c:varyColors val="0"/>
        <c:ser>
          <c:idx val="1"/>
          <c:order val="1"/>
          <c:tx>
            <c:v>Phase (Deg)</c:v>
          </c:tx>
          <c:marker>
            <c:symbol val="none"/>
          </c:marker>
          <c:xVal>
            <c:numRef>
              <c:f>Control_Loop_Tables!$N$19:$N$560</c:f>
              <c:numCache>
                <c:formatCode>0.00</c:formatCode>
                <c:ptCount val="542"/>
                <c:pt idx="0">
                  <c:v>10.232929922807543</c:v>
                </c:pt>
                <c:pt idx="1">
                  <c:v>10.471285480509</c:v>
                </c:pt>
                <c:pt idx="2">
                  <c:v>10.715193052376069</c:v>
                </c:pt>
                <c:pt idx="3">
                  <c:v>10.964781961431854</c:v>
                </c:pt>
                <c:pt idx="4">
                  <c:v>11.220184543019636</c:v>
                </c:pt>
                <c:pt idx="5">
                  <c:v>11.481536214968834</c:v>
                </c:pt>
                <c:pt idx="6">
                  <c:v>11.748975549395301</c:v>
                </c:pt>
                <c:pt idx="7">
                  <c:v>12.022644346174133</c:v>
                </c:pt>
                <c:pt idx="8">
                  <c:v>12.302687708123818</c:v>
                </c:pt>
                <c:pt idx="9">
                  <c:v>12.58925411794168</c:v>
                </c:pt>
                <c:pt idx="10">
                  <c:v>12.882495516931346</c:v>
                </c:pt>
                <c:pt idx="11">
                  <c:v>13.182567385564075</c:v>
                </c:pt>
                <c:pt idx="12">
                  <c:v>13.489628825916535</c:v>
                </c:pt>
                <c:pt idx="13">
                  <c:v>13.803842646028857</c:v>
                </c:pt>
                <c:pt idx="14">
                  <c:v>14.125375446227544</c:v>
                </c:pt>
                <c:pt idx="15">
                  <c:v>14.454397707459275</c:v>
                </c:pt>
                <c:pt idx="16">
                  <c:v>14.791083881682074</c:v>
                </c:pt>
                <c:pt idx="17">
                  <c:v>15.135612484362087</c:v>
                </c:pt>
                <c:pt idx="18">
                  <c:v>15.488166189124817</c:v>
                </c:pt>
                <c:pt idx="19">
                  <c:v>15.848931924611136</c:v>
                </c:pt>
                <c:pt idx="20">
                  <c:v>16.218100973589298</c:v>
                </c:pt>
                <c:pt idx="21">
                  <c:v>16.595869074375614</c:v>
                </c:pt>
                <c:pt idx="22">
                  <c:v>16.982436524617448</c:v>
                </c:pt>
                <c:pt idx="23">
                  <c:v>17.378008287493756</c:v>
                </c:pt>
                <c:pt idx="24">
                  <c:v>17.782794100389236</c:v>
                </c:pt>
                <c:pt idx="25">
                  <c:v>18.197008586099841</c:v>
                </c:pt>
                <c:pt idx="26">
                  <c:v>18.62087136662868</c:v>
                </c:pt>
                <c:pt idx="27">
                  <c:v>19.054607179632477</c:v>
                </c:pt>
                <c:pt idx="28">
                  <c:v>19.498445997580465</c:v>
                </c:pt>
                <c:pt idx="29">
                  <c:v>19.952623149688804</c:v>
                </c:pt>
                <c:pt idx="30">
                  <c:v>20.4173794466953</c:v>
                </c:pt>
                <c:pt idx="31">
                  <c:v>20.8929613085404</c:v>
                </c:pt>
                <c:pt idx="32">
                  <c:v>21.379620895022335</c:v>
                </c:pt>
                <c:pt idx="33">
                  <c:v>21.877616239495538</c:v>
                </c:pt>
                <c:pt idx="34">
                  <c:v>22.387211385683404</c:v>
                </c:pt>
                <c:pt idx="35">
                  <c:v>22.908676527677727</c:v>
                </c:pt>
                <c:pt idx="36">
                  <c:v>23.442288153199236</c:v>
                </c:pt>
                <c:pt idx="37">
                  <c:v>23.988329190194907</c:v>
                </c:pt>
                <c:pt idx="38">
                  <c:v>24.547089156850316</c:v>
                </c:pt>
                <c:pt idx="39">
                  <c:v>25.118864315095799</c:v>
                </c:pt>
                <c:pt idx="40">
                  <c:v>25.703957827688647</c:v>
                </c:pt>
                <c:pt idx="41">
                  <c:v>26.302679918953825</c:v>
                </c:pt>
                <c:pt idx="42">
                  <c:v>26.915348039269158</c:v>
                </c:pt>
                <c:pt idx="43">
                  <c:v>27.542287033381665</c:v>
                </c:pt>
                <c:pt idx="44">
                  <c:v>28.183829312644548</c:v>
                </c:pt>
                <c:pt idx="45">
                  <c:v>28.840315031266066</c:v>
                </c:pt>
                <c:pt idx="46">
                  <c:v>29.512092266663863</c:v>
                </c:pt>
                <c:pt idx="47">
                  <c:v>30.199517204020164</c:v>
                </c:pt>
                <c:pt idx="48">
                  <c:v>30.902954325135919</c:v>
                </c:pt>
                <c:pt idx="49">
                  <c:v>31.622776601683803</c:v>
                </c:pt>
                <c:pt idx="50">
                  <c:v>32.359365692962832</c:v>
                </c:pt>
                <c:pt idx="51">
                  <c:v>33.113112148259127</c:v>
                </c:pt>
                <c:pt idx="52">
                  <c:v>33.884415613920268</c:v>
                </c:pt>
                <c:pt idx="53">
                  <c:v>34.67368504525318</c:v>
                </c:pt>
                <c:pt idx="54">
                  <c:v>35.481338923357555</c:v>
                </c:pt>
                <c:pt idx="55">
                  <c:v>36.307805477010156</c:v>
                </c:pt>
                <c:pt idx="56">
                  <c:v>37.15352290971726</c:v>
                </c:pt>
                <c:pt idx="57">
                  <c:v>38.018939632056139</c:v>
                </c:pt>
                <c:pt idx="58">
                  <c:v>38.904514499428053</c:v>
                </c:pt>
                <c:pt idx="59">
                  <c:v>39.810717055349755</c:v>
                </c:pt>
                <c:pt idx="60">
                  <c:v>40.738027780411279</c:v>
                </c:pt>
                <c:pt idx="61">
                  <c:v>41.686938347033561</c:v>
                </c:pt>
                <c:pt idx="62">
                  <c:v>42.657951880159267</c:v>
                </c:pt>
                <c:pt idx="63">
                  <c:v>43.651583224016633</c:v>
                </c:pt>
                <c:pt idx="64">
                  <c:v>44.668359215096324</c:v>
                </c:pt>
                <c:pt idx="65">
                  <c:v>45.70881896148753</c:v>
                </c:pt>
                <c:pt idx="66">
                  <c:v>46.773514128719818</c:v>
                </c:pt>
                <c:pt idx="67">
                  <c:v>47.863009232263877</c:v>
                </c:pt>
                <c:pt idx="68">
                  <c:v>48.977881936844632</c:v>
                </c:pt>
                <c:pt idx="69">
                  <c:v>50.118723362727238</c:v>
                </c:pt>
                <c:pt idx="70">
                  <c:v>51.28613839913649</c:v>
                </c:pt>
                <c:pt idx="71">
                  <c:v>52.480746024977286</c:v>
                </c:pt>
                <c:pt idx="72">
                  <c:v>53.703179637025293</c:v>
                </c:pt>
                <c:pt idx="73">
                  <c:v>54.95408738576247</c:v>
                </c:pt>
                <c:pt idx="74">
                  <c:v>56.234132519034915</c:v>
                </c:pt>
                <c:pt idx="75">
                  <c:v>57.543993733715695</c:v>
                </c:pt>
                <c:pt idx="76">
                  <c:v>58.884365535558949</c:v>
                </c:pt>
                <c:pt idx="77">
                  <c:v>60.255958607435822</c:v>
                </c:pt>
                <c:pt idx="78">
                  <c:v>61.659500186148257</c:v>
                </c:pt>
                <c:pt idx="79">
                  <c:v>63.095734448019364</c:v>
                </c:pt>
                <c:pt idx="80">
                  <c:v>64.565422903465588</c:v>
                </c:pt>
                <c:pt idx="81">
                  <c:v>66.069344800759623</c:v>
                </c:pt>
                <c:pt idx="82">
                  <c:v>67.60829753919819</c:v>
                </c:pt>
                <c:pt idx="83">
                  <c:v>69.183097091893657</c:v>
                </c:pt>
                <c:pt idx="84">
                  <c:v>70.794578438413865</c:v>
                </c:pt>
                <c:pt idx="85">
                  <c:v>72.443596007499011</c:v>
                </c:pt>
                <c:pt idx="86">
                  <c:v>74.131024130091816</c:v>
                </c:pt>
                <c:pt idx="87">
                  <c:v>75.857757502918361</c:v>
                </c:pt>
                <c:pt idx="88">
                  <c:v>77.624711662869217</c:v>
                </c:pt>
                <c:pt idx="89">
                  <c:v>79.432823472428197</c:v>
                </c:pt>
                <c:pt idx="90">
                  <c:v>81.283051616409963</c:v>
                </c:pt>
                <c:pt idx="91">
                  <c:v>83.176377110267126</c:v>
                </c:pt>
                <c:pt idx="92">
                  <c:v>85.113803820237734</c:v>
                </c:pt>
                <c:pt idx="93">
                  <c:v>87.096358995608071</c:v>
                </c:pt>
                <c:pt idx="94">
                  <c:v>89.125093813374562</c:v>
                </c:pt>
                <c:pt idx="95">
                  <c:v>91.201083935590972</c:v>
                </c:pt>
                <c:pt idx="96">
                  <c:v>93.325430079699174</c:v>
                </c:pt>
                <c:pt idx="97">
                  <c:v>95.499258602143655</c:v>
                </c:pt>
                <c:pt idx="98">
                  <c:v>97.723722095581124</c:v>
                </c:pt>
                <c:pt idx="99">
                  <c:v>100</c:v>
                </c:pt>
                <c:pt idx="100">
                  <c:v>102.32929922807544</c:v>
                </c:pt>
                <c:pt idx="101">
                  <c:v>104.71285480508998</c:v>
                </c:pt>
                <c:pt idx="102">
                  <c:v>107.15193052376065</c:v>
                </c:pt>
                <c:pt idx="103">
                  <c:v>109.64781961431861</c:v>
                </c:pt>
                <c:pt idx="104">
                  <c:v>112.20184543019634</c:v>
                </c:pt>
                <c:pt idx="105">
                  <c:v>114.81536214968835</c:v>
                </c:pt>
                <c:pt idx="106">
                  <c:v>117.48975549395293</c:v>
                </c:pt>
                <c:pt idx="107">
                  <c:v>120.22644346174135</c:v>
                </c:pt>
                <c:pt idx="108">
                  <c:v>123.02687708123821</c:v>
                </c:pt>
                <c:pt idx="109">
                  <c:v>125.89254117941677</c:v>
                </c:pt>
                <c:pt idx="110">
                  <c:v>128.82495516931343</c:v>
                </c:pt>
                <c:pt idx="111">
                  <c:v>131.82567385564084</c:v>
                </c:pt>
                <c:pt idx="112">
                  <c:v>134.89628825916537</c:v>
                </c:pt>
                <c:pt idx="113">
                  <c:v>138.0384264602886</c:v>
                </c:pt>
                <c:pt idx="114">
                  <c:v>141.25375446227542</c:v>
                </c:pt>
                <c:pt idx="115">
                  <c:v>144.54397707459285</c:v>
                </c:pt>
                <c:pt idx="116">
                  <c:v>147.91083881682084</c:v>
                </c:pt>
                <c:pt idx="117">
                  <c:v>151.3561248436209</c:v>
                </c:pt>
                <c:pt idx="118">
                  <c:v>154.8816618912482</c:v>
                </c:pt>
                <c:pt idx="119">
                  <c:v>158.48931924611153</c:v>
                </c:pt>
                <c:pt idx="120">
                  <c:v>162.18100973589304</c:v>
                </c:pt>
                <c:pt idx="121">
                  <c:v>165.95869074375622</c:v>
                </c:pt>
                <c:pt idx="122">
                  <c:v>169.82436524617444</c:v>
                </c:pt>
                <c:pt idx="123">
                  <c:v>173.78008287493768</c:v>
                </c:pt>
                <c:pt idx="124">
                  <c:v>177.82794100389242</c:v>
                </c:pt>
                <c:pt idx="125">
                  <c:v>181.9700858609983</c:v>
                </c:pt>
                <c:pt idx="126">
                  <c:v>186.20871366628685</c:v>
                </c:pt>
                <c:pt idx="127">
                  <c:v>190.54607179632498</c:v>
                </c:pt>
                <c:pt idx="128">
                  <c:v>194.98445997580458</c:v>
                </c:pt>
                <c:pt idx="129">
                  <c:v>199.52623149688802</c:v>
                </c:pt>
                <c:pt idx="130">
                  <c:v>204.17379446695315</c:v>
                </c:pt>
                <c:pt idx="131">
                  <c:v>208.92961308540396</c:v>
                </c:pt>
                <c:pt idx="132">
                  <c:v>213.79620895022339</c:v>
                </c:pt>
                <c:pt idx="133">
                  <c:v>218.77616239495524</c:v>
                </c:pt>
                <c:pt idx="134">
                  <c:v>223.87211385683412</c:v>
                </c:pt>
                <c:pt idx="135">
                  <c:v>229.08676527677744</c:v>
                </c:pt>
                <c:pt idx="136">
                  <c:v>234.42288153199232</c:v>
                </c:pt>
                <c:pt idx="137">
                  <c:v>239.88329190194912</c:v>
                </c:pt>
                <c:pt idx="138">
                  <c:v>245.4708915685033</c:v>
                </c:pt>
                <c:pt idx="139">
                  <c:v>251.18864315095806</c:v>
                </c:pt>
                <c:pt idx="140">
                  <c:v>257.03957827688663</c:v>
                </c:pt>
                <c:pt idx="141">
                  <c:v>263.02679918953817</c:v>
                </c:pt>
                <c:pt idx="142">
                  <c:v>269.15348039269179</c:v>
                </c:pt>
                <c:pt idx="143">
                  <c:v>275.42287033381683</c:v>
                </c:pt>
                <c:pt idx="144">
                  <c:v>281.83829312644554</c:v>
                </c:pt>
                <c:pt idx="145">
                  <c:v>288.40315031266073</c:v>
                </c:pt>
                <c:pt idx="146">
                  <c:v>295.12092266663871</c:v>
                </c:pt>
                <c:pt idx="147">
                  <c:v>301.99517204020168</c:v>
                </c:pt>
                <c:pt idx="148">
                  <c:v>309.02954325135937</c:v>
                </c:pt>
                <c:pt idx="149">
                  <c:v>316.22776601683825</c:v>
                </c:pt>
                <c:pt idx="150">
                  <c:v>323.59365692962825</c:v>
                </c:pt>
                <c:pt idx="151">
                  <c:v>331.13112148259137</c:v>
                </c:pt>
                <c:pt idx="152">
                  <c:v>338.84415613920277</c:v>
                </c:pt>
                <c:pt idx="153">
                  <c:v>346.73685045253183</c:v>
                </c:pt>
                <c:pt idx="154">
                  <c:v>354.81338923357566</c:v>
                </c:pt>
                <c:pt idx="155">
                  <c:v>363.07805477010152</c:v>
                </c:pt>
                <c:pt idx="156">
                  <c:v>371.53522909717265</c:v>
                </c:pt>
                <c:pt idx="157">
                  <c:v>380.18939632056163</c:v>
                </c:pt>
                <c:pt idx="158">
                  <c:v>389.04514499428063</c:v>
                </c:pt>
                <c:pt idx="159">
                  <c:v>398.10717055349761</c:v>
                </c:pt>
                <c:pt idx="160">
                  <c:v>407.38027780411272</c:v>
                </c:pt>
                <c:pt idx="161">
                  <c:v>416.86938347033572</c:v>
                </c:pt>
                <c:pt idx="162">
                  <c:v>426.57951880159294</c:v>
                </c:pt>
                <c:pt idx="163">
                  <c:v>436.51583224016622</c:v>
                </c:pt>
                <c:pt idx="164">
                  <c:v>446.68359215096331</c:v>
                </c:pt>
                <c:pt idx="165">
                  <c:v>457.0881896148756</c:v>
                </c:pt>
                <c:pt idx="166">
                  <c:v>467.7351412871983</c:v>
                </c:pt>
                <c:pt idx="167">
                  <c:v>478.63009232263886</c:v>
                </c:pt>
                <c:pt idx="168">
                  <c:v>489.77881936844625</c:v>
                </c:pt>
                <c:pt idx="169">
                  <c:v>501.18723362727269</c:v>
                </c:pt>
                <c:pt idx="170">
                  <c:v>512.86138399136519</c:v>
                </c:pt>
                <c:pt idx="171">
                  <c:v>524.80746024977248</c:v>
                </c:pt>
                <c:pt idx="172">
                  <c:v>537.03179637025301</c:v>
                </c:pt>
                <c:pt idx="173">
                  <c:v>549.54087385762534</c:v>
                </c:pt>
                <c:pt idx="174">
                  <c:v>562.34132519034927</c:v>
                </c:pt>
                <c:pt idx="175">
                  <c:v>575.43993733715706</c:v>
                </c:pt>
                <c:pt idx="176">
                  <c:v>588.84365535558959</c:v>
                </c:pt>
                <c:pt idx="177">
                  <c:v>602.55958607435832</c:v>
                </c:pt>
                <c:pt idx="178">
                  <c:v>616.59500186148273</c:v>
                </c:pt>
                <c:pt idx="179">
                  <c:v>630.95734448019323</c:v>
                </c:pt>
                <c:pt idx="180">
                  <c:v>645.65422903465594</c:v>
                </c:pt>
                <c:pt idx="181">
                  <c:v>660.69344800759643</c:v>
                </c:pt>
                <c:pt idx="182">
                  <c:v>676.08297539198213</c:v>
                </c:pt>
                <c:pt idx="183">
                  <c:v>691.83097091893671</c:v>
                </c:pt>
                <c:pt idx="184">
                  <c:v>707.94578438413873</c:v>
                </c:pt>
                <c:pt idx="185">
                  <c:v>724.43596007499025</c:v>
                </c:pt>
                <c:pt idx="186">
                  <c:v>741.31024130091828</c:v>
                </c:pt>
                <c:pt idx="187">
                  <c:v>758.57757502918378</c:v>
                </c:pt>
                <c:pt idx="188">
                  <c:v>776.24711662869231</c:v>
                </c:pt>
                <c:pt idx="189">
                  <c:v>794.32823472428208</c:v>
                </c:pt>
                <c:pt idx="190">
                  <c:v>812.83051616409978</c:v>
                </c:pt>
                <c:pt idx="191">
                  <c:v>831.7637711026714</c:v>
                </c:pt>
                <c:pt idx="192">
                  <c:v>851.13803820237763</c:v>
                </c:pt>
                <c:pt idx="193">
                  <c:v>870.96358995608091</c:v>
                </c:pt>
                <c:pt idx="194">
                  <c:v>891.25093813374656</c:v>
                </c:pt>
                <c:pt idx="195">
                  <c:v>912.01083935590987</c:v>
                </c:pt>
                <c:pt idx="196">
                  <c:v>933.25430079699106</c:v>
                </c:pt>
                <c:pt idx="197">
                  <c:v>954.99258602143675</c:v>
                </c:pt>
                <c:pt idx="198">
                  <c:v>977.23722095581138</c:v>
                </c:pt>
                <c:pt idx="199">
                  <c:v>1000</c:v>
                </c:pt>
                <c:pt idx="200">
                  <c:v>1023.2929922807547</c:v>
                </c:pt>
                <c:pt idx="201">
                  <c:v>1047.1285480509</c:v>
                </c:pt>
                <c:pt idx="202">
                  <c:v>1071.5193052376069</c:v>
                </c:pt>
                <c:pt idx="203">
                  <c:v>1096.4781961431863</c:v>
                </c:pt>
                <c:pt idx="204">
                  <c:v>1122.0184543019636</c:v>
                </c:pt>
                <c:pt idx="205">
                  <c:v>1148.1536214968839</c:v>
                </c:pt>
                <c:pt idx="206">
                  <c:v>1174.8975549395295</c:v>
                </c:pt>
                <c:pt idx="207">
                  <c:v>1202.2644346174138</c:v>
                </c:pt>
                <c:pt idx="208">
                  <c:v>1230.2687708123824</c:v>
                </c:pt>
                <c:pt idx="209">
                  <c:v>1258.925411794168</c:v>
                </c:pt>
                <c:pt idx="210">
                  <c:v>1288.2495516931347</c:v>
                </c:pt>
                <c:pt idx="211">
                  <c:v>1318.2567385564089</c:v>
                </c:pt>
                <c:pt idx="212">
                  <c:v>1348.9628825916541</c:v>
                </c:pt>
                <c:pt idx="213">
                  <c:v>1380.3842646028863</c:v>
                </c:pt>
                <c:pt idx="214">
                  <c:v>1412.5375446227545</c:v>
                </c:pt>
                <c:pt idx="215">
                  <c:v>1445.4397707459289</c:v>
                </c:pt>
                <c:pt idx="216">
                  <c:v>1479.1083881682086</c:v>
                </c:pt>
                <c:pt idx="217">
                  <c:v>1513.5612484362093</c:v>
                </c:pt>
                <c:pt idx="218">
                  <c:v>1548.8166189124822</c:v>
                </c:pt>
                <c:pt idx="219">
                  <c:v>1584.8931924611156</c:v>
                </c:pt>
                <c:pt idx="220">
                  <c:v>1621.8100973589308</c:v>
                </c:pt>
                <c:pt idx="221">
                  <c:v>1659.5869074375626</c:v>
                </c:pt>
                <c:pt idx="222">
                  <c:v>1698.2436524617447</c:v>
                </c:pt>
                <c:pt idx="223">
                  <c:v>1737.8008287493772</c:v>
                </c:pt>
                <c:pt idx="224">
                  <c:v>1778.2794100389244</c:v>
                </c:pt>
                <c:pt idx="225">
                  <c:v>1819.7008586099832</c:v>
                </c:pt>
                <c:pt idx="226">
                  <c:v>1862.0871366628687</c:v>
                </c:pt>
                <c:pt idx="227">
                  <c:v>1905.4607179632501</c:v>
                </c:pt>
                <c:pt idx="228">
                  <c:v>1949.8445997580463</c:v>
                </c:pt>
                <c:pt idx="229">
                  <c:v>1995.2623149688804</c:v>
                </c:pt>
                <c:pt idx="230">
                  <c:v>2041.7379446695318</c:v>
                </c:pt>
                <c:pt idx="231">
                  <c:v>2089.2961308540398</c:v>
                </c:pt>
                <c:pt idx="232">
                  <c:v>2137.9620895022344</c:v>
                </c:pt>
                <c:pt idx="233">
                  <c:v>2187.7616239495528</c:v>
                </c:pt>
                <c:pt idx="234">
                  <c:v>2238.7211385683418</c:v>
                </c:pt>
                <c:pt idx="235">
                  <c:v>2290.8676527677749</c:v>
                </c:pt>
                <c:pt idx="236">
                  <c:v>2344.2288153199238</c:v>
                </c:pt>
                <c:pt idx="237">
                  <c:v>2398.8329190194918</c:v>
                </c:pt>
                <c:pt idx="238">
                  <c:v>2454.7089156850338</c:v>
                </c:pt>
                <c:pt idx="239">
                  <c:v>2511.8864315095811</c:v>
                </c:pt>
                <c:pt idx="240">
                  <c:v>2570.3957827688669</c:v>
                </c:pt>
                <c:pt idx="241">
                  <c:v>2630.2679918953822</c:v>
                </c:pt>
                <c:pt idx="242">
                  <c:v>2691.5348039269184</c:v>
                </c:pt>
                <c:pt idx="243">
                  <c:v>2754.228703338169</c:v>
                </c:pt>
                <c:pt idx="244">
                  <c:v>2818.3829312644561</c:v>
                </c:pt>
                <c:pt idx="245">
                  <c:v>2884.0315031266077</c:v>
                </c:pt>
                <c:pt idx="246">
                  <c:v>2951.2092266663876</c:v>
                </c:pt>
                <c:pt idx="247">
                  <c:v>3019.9517204020176</c:v>
                </c:pt>
                <c:pt idx="248">
                  <c:v>3090.295432513592</c:v>
                </c:pt>
                <c:pt idx="249">
                  <c:v>3162.2776601683804</c:v>
                </c:pt>
                <c:pt idx="250">
                  <c:v>3235.9365692962833</c:v>
                </c:pt>
                <c:pt idx="251">
                  <c:v>3311.3112148259115</c:v>
                </c:pt>
                <c:pt idx="252">
                  <c:v>3388.4415613920314</c:v>
                </c:pt>
                <c:pt idx="253">
                  <c:v>3467.3685045253224</c:v>
                </c:pt>
                <c:pt idx="254">
                  <c:v>3548.1338923357539</c:v>
                </c:pt>
                <c:pt idx="255">
                  <c:v>3630.7805477010188</c:v>
                </c:pt>
                <c:pt idx="256">
                  <c:v>3715.352290971724</c:v>
                </c:pt>
                <c:pt idx="257">
                  <c:v>3801.8939632056172</c:v>
                </c:pt>
                <c:pt idx="258">
                  <c:v>3890.451449942811</c:v>
                </c:pt>
                <c:pt idx="259">
                  <c:v>3981.0717055349769</c:v>
                </c:pt>
                <c:pt idx="260">
                  <c:v>4073.8027780411317</c:v>
                </c:pt>
                <c:pt idx="261">
                  <c:v>4168.6938347033583</c:v>
                </c:pt>
                <c:pt idx="262">
                  <c:v>4265.7951880159299</c:v>
                </c:pt>
                <c:pt idx="263">
                  <c:v>4365.1583224016631</c:v>
                </c:pt>
                <c:pt idx="264">
                  <c:v>4466.8359215096343</c:v>
                </c:pt>
                <c:pt idx="265">
                  <c:v>4570.8818961487532</c:v>
                </c:pt>
                <c:pt idx="266">
                  <c:v>4677.3514128719844</c:v>
                </c:pt>
                <c:pt idx="267">
                  <c:v>4786.3009232263848</c:v>
                </c:pt>
                <c:pt idx="268">
                  <c:v>4897.7881936844633</c:v>
                </c:pt>
                <c:pt idx="269">
                  <c:v>5011.8723362727324</c:v>
                </c:pt>
                <c:pt idx="270">
                  <c:v>5128.6138399136489</c:v>
                </c:pt>
                <c:pt idx="271">
                  <c:v>5248.0746024977261</c:v>
                </c:pt>
                <c:pt idx="272">
                  <c:v>5370.3179637025269</c:v>
                </c:pt>
                <c:pt idx="273">
                  <c:v>5495.4087385762541</c:v>
                </c:pt>
                <c:pt idx="274">
                  <c:v>5623.4132519034993</c:v>
                </c:pt>
                <c:pt idx="275">
                  <c:v>5754.399373371567</c:v>
                </c:pt>
                <c:pt idx="276">
                  <c:v>5888.4365535558973</c:v>
                </c:pt>
                <c:pt idx="277">
                  <c:v>6025.595860743585</c:v>
                </c:pt>
                <c:pt idx="278">
                  <c:v>6165.9500186148289</c:v>
                </c:pt>
                <c:pt idx="279">
                  <c:v>6309.5734448019384</c:v>
                </c:pt>
                <c:pt idx="280">
                  <c:v>6456.5422903465615</c:v>
                </c:pt>
                <c:pt idx="281">
                  <c:v>6606.9344800759654</c:v>
                </c:pt>
                <c:pt idx="282">
                  <c:v>6760.8297539198229</c:v>
                </c:pt>
                <c:pt idx="283">
                  <c:v>6918.3097091893687</c:v>
                </c:pt>
                <c:pt idx="284">
                  <c:v>7079.4578438413828</c:v>
                </c:pt>
                <c:pt idx="285">
                  <c:v>7244.3596007499036</c:v>
                </c:pt>
                <c:pt idx="286">
                  <c:v>7413.1024130091773</c:v>
                </c:pt>
                <c:pt idx="287">
                  <c:v>7585.7757502918394</c:v>
                </c:pt>
                <c:pt idx="288">
                  <c:v>7762.4711662869322</c:v>
                </c:pt>
                <c:pt idx="289">
                  <c:v>7943.2823472428154</c:v>
                </c:pt>
                <c:pt idx="290">
                  <c:v>8128.3051616410066</c:v>
                </c:pt>
                <c:pt idx="291">
                  <c:v>8317.6377110267094</c:v>
                </c:pt>
                <c:pt idx="292">
                  <c:v>8511.3803820237772</c:v>
                </c:pt>
                <c:pt idx="293">
                  <c:v>8709.6358995608189</c:v>
                </c:pt>
                <c:pt idx="294">
                  <c:v>8912.5093813374679</c:v>
                </c:pt>
                <c:pt idx="295">
                  <c:v>9120.1083935591087</c:v>
                </c:pt>
                <c:pt idx="296">
                  <c:v>9332.5430079699217</c:v>
                </c:pt>
                <c:pt idx="297">
                  <c:v>9549.9258602143691</c:v>
                </c:pt>
                <c:pt idx="298">
                  <c:v>9772.3722095581161</c:v>
                </c:pt>
                <c:pt idx="299">
                  <c:v>10000</c:v>
                </c:pt>
                <c:pt idx="300">
                  <c:v>10232.929922807549</c:v>
                </c:pt>
                <c:pt idx="301">
                  <c:v>10471.285480509003</c:v>
                </c:pt>
                <c:pt idx="302">
                  <c:v>10715.193052376071</c:v>
                </c:pt>
                <c:pt idx="303">
                  <c:v>10964.781961431856</c:v>
                </c:pt>
                <c:pt idx="304">
                  <c:v>11220.184543019639</c:v>
                </c:pt>
                <c:pt idx="305">
                  <c:v>11481.536214968832</c:v>
                </c:pt>
                <c:pt idx="306">
                  <c:v>11748.975549395318</c:v>
                </c:pt>
                <c:pt idx="307">
                  <c:v>12022.644346174151</c:v>
                </c:pt>
                <c:pt idx="308">
                  <c:v>12302.687708123816</c:v>
                </c:pt>
                <c:pt idx="309">
                  <c:v>12589.254117941671</c:v>
                </c:pt>
                <c:pt idx="310">
                  <c:v>12882.49551693136</c:v>
                </c:pt>
                <c:pt idx="311">
                  <c:v>13182.567385564091</c:v>
                </c:pt>
                <c:pt idx="312">
                  <c:v>13489.628825916556</c:v>
                </c:pt>
                <c:pt idx="313">
                  <c:v>13803.842646028841</c:v>
                </c:pt>
                <c:pt idx="314">
                  <c:v>14125.375446227561</c:v>
                </c:pt>
                <c:pt idx="315">
                  <c:v>14454.397707459291</c:v>
                </c:pt>
                <c:pt idx="316">
                  <c:v>14791.083881682089</c:v>
                </c:pt>
                <c:pt idx="317">
                  <c:v>15135.612484362096</c:v>
                </c:pt>
                <c:pt idx="318">
                  <c:v>15488.166189124853</c:v>
                </c:pt>
                <c:pt idx="319">
                  <c:v>15848.931924611146</c:v>
                </c:pt>
                <c:pt idx="320">
                  <c:v>16218.100973589309</c:v>
                </c:pt>
                <c:pt idx="321">
                  <c:v>16595.869074375616</c:v>
                </c:pt>
                <c:pt idx="322">
                  <c:v>16982.436524617482</c:v>
                </c:pt>
                <c:pt idx="323">
                  <c:v>17378.008287493791</c:v>
                </c:pt>
                <c:pt idx="324">
                  <c:v>17782.794100389234</c:v>
                </c:pt>
                <c:pt idx="325">
                  <c:v>18197.008586099837</c:v>
                </c:pt>
                <c:pt idx="326">
                  <c:v>18620.871366628675</c:v>
                </c:pt>
                <c:pt idx="327">
                  <c:v>19054.607179632505</c:v>
                </c:pt>
                <c:pt idx="328">
                  <c:v>19498.445997580486</c:v>
                </c:pt>
                <c:pt idx="329">
                  <c:v>19952.623149688792</c:v>
                </c:pt>
                <c:pt idx="330">
                  <c:v>20417.379446695286</c:v>
                </c:pt>
                <c:pt idx="331">
                  <c:v>20892.961308540423</c:v>
                </c:pt>
                <c:pt idx="332">
                  <c:v>21379.620895022348</c:v>
                </c:pt>
                <c:pt idx="333">
                  <c:v>21877.61623949555</c:v>
                </c:pt>
                <c:pt idx="334">
                  <c:v>22387.211385683382</c:v>
                </c:pt>
                <c:pt idx="335">
                  <c:v>22908.676527677751</c:v>
                </c:pt>
                <c:pt idx="336">
                  <c:v>23442.288153199243</c:v>
                </c:pt>
                <c:pt idx="337">
                  <c:v>23988.329190194923</c:v>
                </c:pt>
                <c:pt idx="338">
                  <c:v>24547.089156850321</c:v>
                </c:pt>
                <c:pt idx="339">
                  <c:v>25118.86431509586</c:v>
                </c:pt>
                <c:pt idx="340">
                  <c:v>25703.95782768865</c:v>
                </c:pt>
                <c:pt idx="341">
                  <c:v>26302.679918953829</c:v>
                </c:pt>
                <c:pt idx="342">
                  <c:v>26915.348039269167</c:v>
                </c:pt>
                <c:pt idx="343">
                  <c:v>27542.287033381719</c:v>
                </c:pt>
                <c:pt idx="344">
                  <c:v>28183.829312644593</c:v>
                </c:pt>
                <c:pt idx="345">
                  <c:v>28840.315031266062</c:v>
                </c:pt>
                <c:pt idx="346">
                  <c:v>29512.092266663854</c:v>
                </c:pt>
                <c:pt idx="347">
                  <c:v>30199.517204020212</c:v>
                </c:pt>
                <c:pt idx="348">
                  <c:v>30902.954325135954</c:v>
                </c:pt>
                <c:pt idx="349">
                  <c:v>31622.77660168384</c:v>
                </c:pt>
                <c:pt idx="350">
                  <c:v>32359.365692962871</c:v>
                </c:pt>
                <c:pt idx="351">
                  <c:v>33113.11214825909</c:v>
                </c:pt>
                <c:pt idx="352">
                  <c:v>33884.41561392029</c:v>
                </c:pt>
                <c:pt idx="353">
                  <c:v>34673.685045253202</c:v>
                </c:pt>
                <c:pt idx="354">
                  <c:v>35481.33892335758</c:v>
                </c:pt>
                <c:pt idx="355">
                  <c:v>36307.805477010232</c:v>
                </c:pt>
                <c:pt idx="356">
                  <c:v>37153.522909717351</c:v>
                </c:pt>
                <c:pt idx="357">
                  <c:v>38018.939632056143</c:v>
                </c:pt>
                <c:pt idx="358">
                  <c:v>38904.514499428085</c:v>
                </c:pt>
                <c:pt idx="359">
                  <c:v>39810.717055349742</c:v>
                </c:pt>
                <c:pt idx="360">
                  <c:v>40738.027780411358</c:v>
                </c:pt>
                <c:pt idx="361">
                  <c:v>41686.938347033625</c:v>
                </c:pt>
                <c:pt idx="362">
                  <c:v>42657.951880159271</c:v>
                </c:pt>
                <c:pt idx="363">
                  <c:v>43651.583224016598</c:v>
                </c:pt>
                <c:pt idx="364">
                  <c:v>44668.359215096389</c:v>
                </c:pt>
                <c:pt idx="365">
                  <c:v>45708.818961487581</c:v>
                </c:pt>
                <c:pt idx="366">
                  <c:v>46773.514128719893</c:v>
                </c:pt>
                <c:pt idx="367">
                  <c:v>47863.009232263823</c:v>
                </c:pt>
                <c:pt idx="368">
                  <c:v>48977.881936844598</c:v>
                </c:pt>
                <c:pt idx="369">
                  <c:v>50118.723362727294</c:v>
                </c:pt>
                <c:pt idx="370">
                  <c:v>51286.138399136544</c:v>
                </c:pt>
                <c:pt idx="371">
                  <c:v>52480.746024977314</c:v>
                </c:pt>
                <c:pt idx="372">
                  <c:v>53703.179637025423</c:v>
                </c:pt>
                <c:pt idx="373">
                  <c:v>54954.087385762505</c:v>
                </c:pt>
                <c:pt idx="374">
                  <c:v>56234.132519034953</c:v>
                </c:pt>
                <c:pt idx="375">
                  <c:v>57543.993733715732</c:v>
                </c:pt>
                <c:pt idx="376">
                  <c:v>58884.365535558936</c:v>
                </c:pt>
                <c:pt idx="377">
                  <c:v>60255.95860743591</c:v>
                </c:pt>
                <c:pt idx="378">
                  <c:v>61659.500186148245</c:v>
                </c:pt>
                <c:pt idx="379">
                  <c:v>63095.734448019342</c:v>
                </c:pt>
                <c:pt idx="380">
                  <c:v>64565.422903465682</c:v>
                </c:pt>
                <c:pt idx="381">
                  <c:v>66069.344800759733</c:v>
                </c:pt>
                <c:pt idx="382">
                  <c:v>67608.297539198305</c:v>
                </c:pt>
                <c:pt idx="383">
                  <c:v>69183.097091893651</c:v>
                </c:pt>
                <c:pt idx="384">
                  <c:v>70794.578438413781</c:v>
                </c:pt>
                <c:pt idx="385">
                  <c:v>72443.596007499116</c:v>
                </c:pt>
                <c:pt idx="386">
                  <c:v>74131.024130091857</c:v>
                </c:pt>
                <c:pt idx="387">
                  <c:v>75857.757502918481</c:v>
                </c:pt>
                <c:pt idx="388">
                  <c:v>77624.711662869129</c:v>
                </c:pt>
                <c:pt idx="389">
                  <c:v>79432.823472428237</c:v>
                </c:pt>
                <c:pt idx="390">
                  <c:v>81283.051616410012</c:v>
                </c:pt>
                <c:pt idx="391">
                  <c:v>83176.377110267174</c:v>
                </c:pt>
                <c:pt idx="392">
                  <c:v>85113.803820237721</c:v>
                </c:pt>
                <c:pt idx="393">
                  <c:v>87096.358995608127</c:v>
                </c:pt>
                <c:pt idx="394">
                  <c:v>89125.093813374609</c:v>
                </c:pt>
                <c:pt idx="395">
                  <c:v>91201.083935591028</c:v>
                </c:pt>
                <c:pt idx="396">
                  <c:v>93325.430079699145</c:v>
                </c:pt>
                <c:pt idx="397">
                  <c:v>95499.258602143804</c:v>
                </c:pt>
                <c:pt idx="398">
                  <c:v>97723.722095581266</c:v>
                </c:pt>
                <c:pt idx="399">
                  <c:v>100000</c:v>
                </c:pt>
                <c:pt idx="400">
                  <c:v>102329.29922807543</c:v>
                </c:pt>
                <c:pt idx="401">
                  <c:v>104712.85480508996</c:v>
                </c:pt>
                <c:pt idx="402">
                  <c:v>107151.93052376082</c:v>
                </c:pt>
                <c:pt idx="403">
                  <c:v>109647.81961431868</c:v>
                </c:pt>
                <c:pt idx="404">
                  <c:v>112201.84543019651</c:v>
                </c:pt>
                <c:pt idx="405">
                  <c:v>114815.36214968823</c:v>
                </c:pt>
                <c:pt idx="406">
                  <c:v>117489.75549395311</c:v>
                </c:pt>
                <c:pt idx="407">
                  <c:v>120226.44346174144</c:v>
                </c:pt>
                <c:pt idx="408">
                  <c:v>123026.87708123829</c:v>
                </c:pt>
                <c:pt idx="409">
                  <c:v>125892.54117941685</c:v>
                </c:pt>
                <c:pt idx="410">
                  <c:v>128824.95516931375</c:v>
                </c:pt>
                <c:pt idx="411">
                  <c:v>131825.67385564081</c:v>
                </c:pt>
                <c:pt idx="412">
                  <c:v>134896.28825916545</c:v>
                </c:pt>
                <c:pt idx="413">
                  <c:v>138038.42646028858</c:v>
                </c:pt>
                <c:pt idx="414">
                  <c:v>141253.75446227577</c:v>
                </c:pt>
                <c:pt idx="415">
                  <c:v>144543.97707459307</c:v>
                </c:pt>
                <c:pt idx="416">
                  <c:v>147910.83881682079</c:v>
                </c:pt>
                <c:pt idx="417">
                  <c:v>151356.12484362084</c:v>
                </c:pt>
                <c:pt idx="418">
                  <c:v>154881.66189124843</c:v>
                </c:pt>
                <c:pt idx="419">
                  <c:v>158489.31924611164</c:v>
                </c:pt>
                <c:pt idx="420">
                  <c:v>162181.00973589328</c:v>
                </c:pt>
                <c:pt idx="421">
                  <c:v>165958.69074375604</c:v>
                </c:pt>
                <c:pt idx="422">
                  <c:v>169824.36524617471</c:v>
                </c:pt>
                <c:pt idx="423">
                  <c:v>173780.0828749378</c:v>
                </c:pt>
                <c:pt idx="424">
                  <c:v>177827.94100389251</c:v>
                </c:pt>
                <c:pt idx="425">
                  <c:v>181970.08586099857</c:v>
                </c:pt>
                <c:pt idx="426">
                  <c:v>186208.71366628664</c:v>
                </c:pt>
                <c:pt idx="427">
                  <c:v>190546.07179632492</c:v>
                </c:pt>
                <c:pt idx="428">
                  <c:v>194984.45997580473</c:v>
                </c:pt>
                <c:pt idx="429">
                  <c:v>199526.23149688813</c:v>
                </c:pt>
                <c:pt idx="430">
                  <c:v>204173.79446695308</c:v>
                </c:pt>
                <c:pt idx="431">
                  <c:v>208929.61308540447</c:v>
                </c:pt>
                <c:pt idx="432">
                  <c:v>213796.20895022334</c:v>
                </c:pt>
                <c:pt idx="433">
                  <c:v>218776.16239495538</c:v>
                </c:pt>
                <c:pt idx="434">
                  <c:v>223872.11385683404</c:v>
                </c:pt>
                <c:pt idx="435">
                  <c:v>229086.76527677779</c:v>
                </c:pt>
                <c:pt idx="436">
                  <c:v>234422.88153199267</c:v>
                </c:pt>
                <c:pt idx="437">
                  <c:v>239883.29190194907</c:v>
                </c:pt>
                <c:pt idx="438">
                  <c:v>245470.89156850305</c:v>
                </c:pt>
                <c:pt idx="439">
                  <c:v>251188.64315095844</c:v>
                </c:pt>
                <c:pt idx="440">
                  <c:v>257039.57827688678</c:v>
                </c:pt>
                <c:pt idx="441">
                  <c:v>263026.79918953858</c:v>
                </c:pt>
                <c:pt idx="442">
                  <c:v>269153.48039269145</c:v>
                </c:pt>
                <c:pt idx="443">
                  <c:v>275422.87033381703</c:v>
                </c:pt>
                <c:pt idx="444">
                  <c:v>281838.29312644573</c:v>
                </c:pt>
                <c:pt idx="445">
                  <c:v>288403.1503126609</c:v>
                </c:pt>
                <c:pt idx="446">
                  <c:v>295120.92266663886</c:v>
                </c:pt>
                <c:pt idx="447">
                  <c:v>301995.17204020242</c:v>
                </c:pt>
                <c:pt idx="448">
                  <c:v>309029.54325135931</c:v>
                </c:pt>
                <c:pt idx="449">
                  <c:v>316227.7660168382</c:v>
                </c:pt>
                <c:pt idx="450">
                  <c:v>323593.65692962846</c:v>
                </c:pt>
                <c:pt idx="451">
                  <c:v>331131.12148259126</c:v>
                </c:pt>
                <c:pt idx="452">
                  <c:v>338844.15613920329</c:v>
                </c:pt>
                <c:pt idx="453">
                  <c:v>346736.85045253241</c:v>
                </c:pt>
                <c:pt idx="454">
                  <c:v>354813.38923357555</c:v>
                </c:pt>
                <c:pt idx="455">
                  <c:v>363078.05477010203</c:v>
                </c:pt>
                <c:pt idx="456">
                  <c:v>371535.2290971732</c:v>
                </c:pt>
                <c:pt idx="457">
                  <c:v>380189.39632056188</c:v>
                </c:pt>
                <c:pt idx="458">
                  <c:v>389045.14499428123</c:v>
                </c:pt>
                <c:pt idx="459">
                  <c:v>398107.17055349716</c:v>
                </c:pt>
                <c:pt idx="460">
                  <c:v>407380.27780411334</c:v>
                </c:pt>
                <c:pt idx="461">
                  <c:v>416869.38347033598</c:v>
                </c:pt>
                <c:pt idx="462">
                  <c:v>426579.51880159322</c:v>
                </c:pt>
                <c:pt idx="463">
                  <c:v>436515.83224016649</c:v>
                </c:pt>
                <c:pt idx="464">
                  <c:v>446683.59215096442</c:v>
                </c:pt>
                <c:pt idx="465">
                  <c:v>457088.18961487547</c:v>
                </c:pt>
                <c:pt idx="466">
                  <c:v>467735.14128719864</c:v>
                </c:pt>
                <c:pt idx="467">
                  <c:v>478630.09232263872</c:v>
                </c:pt>
                <c:pt idx="468">
                  <c:v>489778.81936844654</c:v>
                </c:pt>
                <c:pt idx="469">
                  <c:v>501187.23362727347</c:v>
                </c:pt>
                <c:pt idx="470">
                  <c:v>512861.38399136515</c:v>
                </c:pt>
                <c:pt idx="471">
                  <c:v>524807.46024977288</c:v>
                </c:pt>
                <c:pt idx="472">
                  <c:v>537031.7963702539</c:v>
                </c:pt>
                <c:pt idx="473">
                  <c:v>549540.87385762564</c:v>
                </c:pt>
                <c:pt idx="474">
                  <c:v>562341.32519035018</c:v>
                </c:pt>
                <c:pt idx="475">
                  <c:v>575439.93733715697</c:v>
                </c:pt>
                <c:pt idx="476">
                  <c:v>588843.65535558888</c:v>
                </c:pt>
                <c:pt idx="477">
                  <c:v>602559.58607435878</c:v>
                </c:pt>
                <c:pt idx="478">
                  <c:v>616595.00186148309</c:v>
                </c:pt>
                <c:pt idx="479">
                  <c:v>630957.34448019415</c:v>
                </c:pt>
                <c:pt idx="480">
                  <c:v>645654.22903465747</c:v>
                </c:pt>
                <c:pt idx="481">
                  <c:v>660693.44800759677</c:v>
                </c:pt>
                <c:pt idx="482">
                  <c:v>676082.97539198259</c:v>
                </c:pt>
                <c:pt idx="483">
                  <c:v>691830.97091893724</c:v>
                </c:pt>
                <c:pt idx="484">
                  <c:v>707945.78438413853</c:v>
                </c:pt>
                <c:pt idx="485">
                  <c:v>724435.96007499192</c:v>
                </c:pt>
                <c:pt idx="486">
                  <c:v>741310.24130091805</c:v>
                </c:pt>
                <c:pt idx="487">
                  <c:v>758577.57502918423</c:v>
                </c:pt>
                <c:pt idx="488">
                  <c:v>776247.11662869214</c:v>
                </c:pt>
                <c:pt idx="489">
                  <c:v>794328.23472428333</c:v>
                </c:pt>
                <c:pt idx="490">
                  <c:v>812830.51616410096</c:v>
                </c:pt>
                <c:pt idx="491">
                  <c:v>831763.77110267128</c:v>
                </c:pt>
                <c:pt idx="492">
                  <c:v>851138.03820237669</c:v>
                </c:pt>
                <c:pt idx="493">
                  <c:v>870963.58995608077</c:v>
                </c:pt>
                <c:pt idx="494">
                  <c:v>891250.93813374708</c:v>
                </c:pt>
                <c:pt idx="495">
                  <c:v>912010.83935591124</c:v>
                </c:pt>
                <c:pt idx="496">
                  <c:v>933254.30079699249</c:v>
                </c:pt>
                <c:pt idx="497">
                  <c:v>954992.58602143743</c:v>
                </c:pt>
                <c:pt idx="498">
                  <c:v>977237.22095581202</c:v>
                </c:pt>
                <c:pt idx="499">
                  <c:v>1000000</c:v>
                </c:pt>
                <c:pt idx="500">
                  <c:v>1023292.9922807553</c:v>
                </c:pt>
                <c:pt idx="501">
                  <c:v>1047128.5480509007</c:v>
                </c:pt>
                <c:pt idx="502">
                  <c:v>1071519.3052376076</c:v>
                </c:pt>
                <c:pt idx="503">
                  <c:v>1096478.196143186</c:v>
                </c:pt>
                <c:pt idx="504">
                  <c:v>1122018.4543019643</c:v>
                </c:pt>
                <c:pt idx="505">
                  <c:v>1148153.6214968837</c:v>
                </c:pt>
                <c:pt idx="506">
                  <c:v>1174897.5549395324</c:v>
                </c:pt>
                <c:pt idx="507">
                  <c:v>1202264.4346174158</c:v>
                </c:pt>
                <c:pt idx="508">
                  <c:v>1230268.770812382</c:v>
                </c:pt>
                <c:pt idx="509">
                  <c:v>1258925.4117941677</c:v>
                </c:pt>
                <c:pt idx="510">
                  <c:v>1288249.5516931366</c:v>
                </c:pt>
                <c:pt idx="511">
                  <c:v>1318256.7385564097</c:v>
                </c:pt>
                <c:pt idx="512">
                  <c:v>1348962.8825916562</c:v>
                </c:pt>
                <c:pt idx="513">
                  <c:v>1380384.2646028849</c:v>
                </c:pt>
                <c:pt idx="514">
                  <c:v>1412537.5446227565</c:v>
                </c:pt>
                <c:pt idx="515">
                  <c:v>1445439.7707459298</c:v>
                </c:pt>
                <c:pt idx="516">
                  <c:v>1479108.3881682095</c:v>
                </c:pt>
                <c:pt idx="517">
                  <c:v>1513561.2484362102</c:v>
                </c:pt>
                <c:pt idx="518">
                  <c:v>1548816.6189124861</c:v>
                </c:pt>
                <c:pt idx="519">
                  <c:v>1584893.1924611153</c:v>
                </c:pt>
                <c:pt idx="520">
                  <c:v>1621810.0973589318</c:v>
                </c:pt>
                <c:pt idx="521">
                  <c:v>1659586.9074375622</c:v>
                </c:pt>
                <c:pt idx="522">
                  <c:v>1698243.6524617488</c:v>
                </c:pt>
                <c:pt idx="523">
                  <c:v>1737800.8287493798</c:v>
                </c:pt>
                <c:pt idx="524">
                  <c:v>1778279.4100389241</c:v>
                </c:pt>
                <c:pt idx="525">
                  <c:v>1819700.8586099846</c:v>
                </c:pt>
                <c:pt idx="526">
                  <c:v>1862087.1366628683</c:v>
                </c:pt>
                <c:pt idx="527">
                  <c:v>1905460.7179632513</c:v>
                </c:pt>
                <c:pt idx="528">
                  <c:v>1949844.5997580495</c:v>
                </c:pt>
                <c:pt idx="529">
                  <c:v>1995262.31496888</c:v>
                </c:pt>
                <c:pt idx="530">
                  <c:v>2041737.9446695296</c:v>
                </c:pt>
                <c:pt idx="531">
                  <c:v>2089296.1308540432</c:v>
                </c:pt>
                <c:pt idx="532">
                  <c:v>2137962.0895022359</c:v>
                </c:pt>
                <c:pt idx="533">
                  <c:v>2187761.6239495561</c:v>
                </c:pt>
                <c:pt idx="534">
                  <c:v>2238721.1385683389</c:v>
                </c:pt>
                <c:pt idx="535">
                  <c:v>2290867.6527677765</c:v>
                </c:pt>
                <c:pt idx="536">
                  <c:v>2344228.8153199251</c:v>
                </c:pt>
                <c:pt idx="537">
                  <c:v>2398832.9190194933</c:v>
                </c:pt>
                <c:pt idx="538">
                  <c:v>2454708.915685033</c:v>
                </c:pt>
                <c:pt idx="539">
                  <c:v>2511886.431509587</c:v>
                </c:pt>
                <c:pt idx="540">
                  <c:v>2570395.782768866</c:v>
                </c:pt>
                <c:pt idx="541">
                  <c:v>2630267.9918953842</c:v>
                </c:pt>
              </c:numCache>
            </c:numRef>
          </c:xVal>
          <c:yVal>
            <c:numRef>
              <c:f>Control_Loop_Tables!$BD$19:$BD$560</c:f>
              <c:numCache>
                <c:formatCode>General</c:formatCode>
                <c:ptCount val="542"/>
                <c:pt idx="0">
                  <c:v>149.21369374524355</c:v>
                </c:pt>
                <c:pt idx="1">
                  <c:v>149.78347970424676</c:v>
                </c:pt>
                <c:pt idx="2">
                  <c:v>150.34657924185422</c:v>
                </c:pt>
                <c:pt idx="3">
                  <c:v>150.9028442747036</c:v>
                </c:pt>
                <c:pt idx="4">
                  <c:v>151.45213875620459</c:v>
                </c:pt>
                <c:pt idx="5">
                  <c:v>151.99433853393745</c:v>
                </c:pt>
                <c:pt idx="6">
                  <c:v>152.52933116950803</c:v>
                </c:pt>
                <c:pt idx="7">
                  <c:v>153.05701572396907</c:v>
                </c:pt>
                <c:pt idx="8">
                  <c:v>153.57730251197498</c:v>
                </c:pt>
                <c:pt idx="9">
                  <c:v>154.09011282783567</c:v>
                </c:pt>
                <c:pt idx="10">
                  <c:v>154.59537864663605</c:v>
                </c:pt>
                <c:pt idx="11">
                  <c:v>155.09304230352814</c:v>
                </c:pt>
                <c:pt idx="12">
                  <c:v>155.58305615423237</c:v>
                </c:pt>
                <c:pt idx="13">
                  <c:v>156.06538221969458</c:v>
                </c:pt>
                <c:pt idx="14">
                  <c:v>156.53999181772116</c:v>
                </c:pt>
                <c:pt idx="15">
                  <c:v>157.0068651842931</c:v>
                </c:pt>
                <c:pt idx="16">
                  <c:v>157.46599108710805</c:v>
                </c:pt>
                <c:pt idx="17">
                  <c:v>157.91736643375174</c:v>
                </c:pt>
                <c:pt idx="18">
                  <c:v>158.36099587673522</c:v>
                </c:pt>
                <c:pt idx="19">
                  <c:v>158.79689141747031</c:v>
                </c:pt>
                <c:pt idx="20">
                  <c:v>159.22507201108846</c:v>
                </c:pt>
                <c:pt idx="21">
                  <c:v>159.64556317383901</c:v>
                </c:pt>
                <c:pt idx="22">
                  <c:v>160.05839659463629</c:v>
                </c:pt>
                <c:pt idx="23">
                  <c:v>160.46360975216581</c:v>
                </c:pt>
                <c:pt idx="24">
                  <c:v>160.8612455387923</c:v>
                </c:pt>
                <c:pt idx="25">
                  <c:v>161.25135189237389</c:v>
                </c:pt>
                <c:pt idx="26">
                  <c:v>161.63398143692532</c:v>
                </c:pt>
                <c:pt idx="27">
                  <c:v>162.00919113294535</c:v>
                </c:pt>
                <c:pt idx="28">
                  <c:v>162.37704193809049</c:v>
                </c:pt>
                <c:pt idx="29">
                  <c:v>162.73759847875013</c:v>
                </c:pt>
                <c:pt idx="30">
                  <c:v>163.09092873297317</c:v>
                </c:pt>
                <c:pt idx="31">
                  <c:v>163.43710372508122</c:v>
                </c:pt>
                <c:pt idx="32">
                  <c:v>163.776197232215</c:v>
                </c:pt>
                <c:pt idx="33">
                  <c:v>164.10828550296978</c:v>
                </c:pt>
                <c:pt idx="34">
                  <c:v>164.43344698819251</c:v>
                </c:pt>
                <c:pt idx="35">
                  <c:v>164.75176208394834</c:v>
                </c:pt>
                <c:pt idx="36">
                  <c:v>165.06331288659467</c:v>
                </c:pt>
                <c:pt idx="37">
                  <c:v>165.36818295984568</c:v>
                </c:pt>
                <c:pt idx="38">
                  <c:v>165.66645711366215</c:v>
                </c:pt>
                <c:pt idx="39">
                  <c:v>165.9582211947565</c:v>
                </c:pt>
                <c:pt idx="40">
                  <c:v>166.24356188846534</c:v>
                </c:pt>
                <c:pt idx="41">
                  <c:v>166.52256653171165</c:v>
                </c:pt>
                <c:pt idx="42">
                  <c:v>166.79532293675229</c:v>
                </c:pt>
                <c:pt idx="43">
                  <c:v>167.06191922538355</c:v>
                </c:pt>
                <c:pt idx="44">
                  <c:v>167.32244367326189</c:v>
                </c:pt>
                <c:pt idx="45">
                  <c:v>167.57698456398253</c:v>
                </c:pt>
                <c:pt idx="46">
                  <c:v>167.82563005255065</c:v>
                </c:pt>
                <c:pt idx="47">
                  <c:v>168.06846803787087</c:v>
                </c:pt>
                <c:pt idx="48">
                  <c:v>168.30558604388006</c:v>
                </c:pt>
                <c:pt idx="49">
                  <c:v>168.5370711089451</c:v>
                </c:pt>
                <c:pt idx="50">
                  <c:v>168.76300968315024</c:v>
                </c:pt>
                <c:pt idx="51">
                  <c:v>168.98348753310006</c:v>
                </c:pt>
                <c:pt idx="52">
                  <c:v>169.19858965387076</c:v>
                </c:pt>
                <c:pt idx="53">
                  <c:v>169.40840018774716</c:v>
                </c:pt>
                <c:pt idx="54">
                  <c:v>169.61300234939131</c:v>
                </c:pt>
                <c:pt idx="55">
                  <c:v>169.8124783570965</c:v>
                </c:pt>
                <c:pt idx="56">
                  <c:v>170.00690936978995</c:v>
                </c:pt>
                <c:pt idx="57">
                  <c:v>170.19637542945853</c:v>
                </c:pt>
                <c:pt idx="58">
                  <c:v>170.38095540867937</c:v>
                </c:pt>
                <c:pt idx="59">
                  <c:v>170.56072696295243</c:v>
                </c:pt>
                <c:pt idx="60">
                  <c:v>170.7357664875401</c:v>
                </c:pt>
                <c:pt idx="61">
                  <c:v>170.90614907853029</c:v>
                </c:pt>
                <c:pt idx="62">
                  <c:v>171.07194849785378</c:v>
                </c:pt>
                <c:pt idx="63">
                  <c:v>171.23323714199498</c:v>
                </c:pt>
                <c:pt idx="64">
                  <c:v>171.39008601414798</c:v>
                </c:pt>
                <c:pt idx="65">
                  <c:v>171.54256469958034</c:v>
                </c:pt>
                <c:pt idx="66">
                  <c:v>171.69074134398031</c:v>
                </c:pt>
                <c:pt idx="67">
                  <c:v>171.83468263457087</c:v>
                </c:pt>
                <c:pt idx="68">
                  <c:v>171.9744537837868</c:v>
                </c:pt>
                <c:pt idx="69">
                  <c:v>172.11011851532047</c:v>
                </c:pt>
                <c:pt idx="70">
                  <c:v>172.24173905235295</c:v>
                </c:pt>
                <c:pt idx="71">
                  <c:v>172.36937610779549</c:v>
                </c:pt>
                <c:pt idx="72">
                  <c:v>172.49308887637613</c:v>
                </c:pt>
                <c:pt idx="73">
                  <c:v>172.61293502841761</c:v>
                </c:pt>
                <c:pt idx="74">
                  <c:v>172.728970705156</c:v>
                </c:pt>
                <c:pt idx="75">
                  <c:v>172.84125051546496</c:v>
                </c:pt>
                <c:pt idx="76">
                  <c:v>172.9498275338519</c:v>
                </c:pt>
                <c:pt idx="77">
                  <c:v>173.05475329960478</c:v>
                </c:pt>
                <c:pt idx="78">
                  <c:v>173.15607781697273</c:v>
                </c:pt>
                <c:pt idx="79">
                  <c:v>173.25384955627155</c:v>
                </c:pt>
                <c:pt idx="80">
                  <c:v>173.34811545581312</c:v>
                </c:pt>
                <c:pt idx="81">
                  <c:v>173.43892092456085</c:v>
                </c:pt>
                <c:pt idx="82">
                  <c:v>173.52630984542287</c:v>
                </c:pt>
                <c:pt idx="83">
                  <c:v>173.61032457909801</c:v>
                </c:pt>
                <c:pt idx="84">
                  <c:v>173.69100596839581</c:v>
                </c:pt>
                <c:pt idx="85">
                  <c:v>173.76839334295687</c:v>
                </c:pt>
                <c:pt idx="86">
                  <c:v>173.84252452430476</c:v>
                </c:pt>
                <c:pt idx="87">
                  <c:v>173.91343583116529</c:v>
                </c:pt>
                <c:pt idx="88">
                  <c:v>173.9811620849926</c:v>
                </c:pt>
                <c:pt idx="89">
                  <c:v>174.04573661564726</c:v>
                </c:pt>
                <c:pt idx="90">
                  <c:v>174.10719126717336</c:v>
                </c:pt>
                <c:pt idx="91">
                  <c:v>174.16555640362671</c:v>
                </c:pt>
                <c:pt idx="92">
                  <c:v>174.22086091490979</c:v>
                </c:pt>
                <c:pt idx="93">
                  <c:v>174.27313222257055</c:v>
                </c:pt>
                <c:pt idx="94">
                  <c:v>174.32239628552807</c:v>
                </c:pt>
                <c:pt idx="95">
                  <c:v>174.36867760568794</c:v>
                </c:pt>
                <c:pt idx="96">
                  <c:v>174.41199923341594</c:v>
                </c:pt>
                <c:pt idx="97">
                  <c:v>174.4523827728384</c:v>
                </c:pt>
                <c:pt idx="98">
                  <c:v>174.48984838694238</c:v>
                </c:pt>
                <c:pt idx="99">
                  <c:v>174.52441480245</c:v>
                </c:pt>
                <c:pt idx="100">
                  <c:v>174.55609931444278</c:v>
                </c:pt>
                <c:pt idx="101">
                  <c:v>174.5849177907161</c:v>
                </c:pt>
                <c:pt idx="102">
                  <c:v>174.61088467584381</c:v>
                </c:pt>
                <c:pt idx="103">
                  <c:v>174.63401299493529</c:v>
                </c:pt>
                <c:pt idx="104">
                  <c:v>174.65431435707077</c:v>
                </c:pt>
                <c:pt idx="105">
                  <c:v>174.67179895839973</c:v>
                </c:pt>
                <c:pt idx="106">
                  <c:v>174.68647558489096</c:v>
                </c:pt>
                <c:pt idx="107">
                  <c:v>174.69835161472386</c:v>
                </c:pt>
                <c:pt idx="108">
                  <c:v>174.70743302031175</c:v>
                </c:pt>
                <c:pt idx="109">
                  <c:v>174.71372436994994</c:v>
                </c:pt>
                <c:pt idx="110">
                  <c:v>174.71722882908233</c:v>
                </c:pt>
                <c:pt idx="111">
                  <c:v>174.71794816118205</c:v>
                </c:pt>
                <c:pt idx="112">
                  <c:v>174.71588272824363</c:v>
                </c:pt>
                <c:pt idx="113">
                  <c:v>174.71103149088378</c:v>
                </c:pt>
                <c:pt idx="114">
                  <c:v>174.70339200805137</c:v>
                </c:pt>
                <c:pt idx="115">
                  <c:v>174.69296043634731</c:v>
                </c:pt>
                <c:pt idx="116">
                  <c:v>174.67973152895689</c:v>
                </c:pt>
                <c:pt idx="117">
                  <c:v>174.66369863419789</c:v>
                </c:pt>
                <c:pt idx="118">
                  <c:v>174.64485369369052</c:v>
                </c:pt>
                <c:pt idx="119">
                  <c:v>174.62318724015515</c:v>
                </c:pt>
                <c:pt idx="120">
                  <c:v>174.59868839484642</c:v>
                </c:pt>
                <c:pt idx="121">
                  <c:v>174.57134486463329</c:v>
                </c:pt>
                <c:pt idx="122">
                  <c:v>174.54114293873624</c:v>
                </c:pt>
                <c:pt idx="123">
                  <c:v>174.50806748513466</c:v>
                </c:pt>
                <c:pt idx="124">
                  <c:v>174.472101946659</c:v>
                </c:pt>
                <c:pt idx="125">
                  <c:v>174.43322833678388</c:v>
                </c:pt>
                <c:pt idx="126">
                  <c:v>174.39142723514047</c:v>
                </c:pt>
                <c:pt idx="127">
                  <c:v>174.34667778276872</c:v>
                </c:pt>
                <c:pt idx="128">
                  <c:v>174.29895767713089</c:v>
                </c:pt>
                <c:pt idx="129">
                  <c:v>174.24824316691084</c:v>
                </c:pt>
                <c:pt idx="130">
                  <c:v>174.19450904662699</c:v>
                </c:pt>
                <c:pt idx="131">
                  <c:v>174.13772865108544</c:v>
                </c:pt>
                <c:pt idx="132">
                  <c:v>174.07787384970771</c:v>
                </c:pt>
                <c:pt idx="133">
                  <c:v>174.01491504076458</c:v>
                </c:pt>
                <c:pt idx="134">
                  <c:v>173.94882114555486</c:v>
                </c:pt>
                <c:pt idx="135">
                  <c:v>173.87955960256886</c:v>
                </c:pt>
                <c:pt idx="136">
                  <c:v>173.80709636167836</c:v>
                </c:pt>
                <c:pt idx="137">
                  <c:v>173.7313958784016</c:v>
                </c:pt>
                <c:pt idx="138">
                  <c:v>173.65242110829172</c:v>
                </c:pt>
                <c:pt idx="139">
                  <c:v>173.57013350150345</c:v>
                </c:pt>
                <c:pt idx="140">
                  <c:v>173.48449299759534</c:v>
                </c:pt>
                <c:pt idx="141">
                  <c:v>173.39545802062995</c:v>
                </c:pt>
                <c:pt idx="142">
                  <c:v>173.30298547463778</c:v>
                </c:pt>
                <c:pt idx="143">
                  <c:v>173.20703073951714</c:v>
                </c:pt>
                <c:pt idx="144">
                  <c:v>173.10754766744526</c:v>
                </c:pt>
                <c:pt idx="145">
                  <c:v>173.00448857988229</c:v>
                </c:pt>
                <c:pt idx="146">
                  <c:v>172.89780426525525</c:v>
                </c:pt>
                <c:pt idx="147">
                  <c:v>172.78744397741465</c:v>
                </c:pt>
                <c:pt idx="148">
                  <c:v>172.6733554349627</c:v>
                </c:pt>
                <c:pt idx="149">
                  <c:v>172.55548482155848</c:v>
                </c:pt>
                <c:pt idx="150">
                  <c:v>172.43377678731233</c:v>
                </c:pt>
                <c:pt idx="151">
                  <c:v>172.30817445138888</c:v>
                </c:pt>
                <c:pt idx="152">
                  <c:v>172.1786194059452</c:v>
                </c:pt>
                <c:pt idx="153">
                  <c:v>172.04505172153884</c:v>
                </c:pt>
                <c:pt idx="154">
                  <c:v>171.90740995414916</c:v>
                </c:pt>
                <c:pt idx="155">
                  <c:v>171.76563115396183</c:v>
                </c:pt>
                <c:pt idx="156">
                  <c:v>171.61965087607859</c:v>
                </c:pt>
                <c:pt idx="157">
                  <c:v>171.46940319331966</c:v>
                </c:pt>
                <c:pt idx="158">
                  <c:v>171.31482071129963</c:v>
                </c:pt>
                <c:pt idx="159">
                  <c:v>171.15583458596396</c:v>
                </c:pt>
                <c:pt idx="160">
                  <c:v>170.99237454378661</c:v>
                </c:pt>
                <c:pt idx="161">
                  <c:v>170.82436890483734</c:v>
                </c:pt>
                <c:pt idx="162">
                  <c:v>170.65174460893917</c:v>
                </c:pt>
                <c:pt idx="163">
                  <c:v>170.47442724514761</c:v>
                </c:pt>
                <c:pt idx="164">
                  <c:v>170.29234108479369</c:v>
                </c:pt>
                <c:pt idx="165">
                  <c:v>170.10540911834443</c:v>
                </c:pt>
                <c:pt idx="166">
                  <c:v>169.9135530963469</c:v>
                </c:pt>
                <c:pt idx="167">
                  <c:v>169.71669357473112</c:v>
                </c:pt>
                <c:pt idx="168">
                  <c:v>169.51474996476122</c:v>
                </c:pt>
                <c:pt idx="169">
                  <c:v>169.30764058793349</c:v>
                </c:pt>
                <c:pt idx="170">
                  <c:v>169.09528273613188</c:v>
                </c:pt>
                <c:pt idx="171">
                  <c:v>168.87759273736265</c:v>
                </c:pt>
                <c:pt idx="172">
                  <c:v>168.6544860273992</c:v>
                </c:pt>
                <c:pt idx="173">
                  <c:v>168.42587722767831</c:v>
                </c:pt>
                <c:pt idx="174">
                  <c:v>168.19168022979886</c:v>
                </c:pt>
                <c:pt idx="175">
                  <c:v>167.95180828697949</c:v>
                </c:pt>
                <c:pt idx="176">
                  <c:v>167.70617411284272</c:v>
                </c:pt>
                <c:pt idx="177">
                  <c:v>167.45468998789403</c:v>
                </c:pt>
                <c:pt idx="178">
                  <c:v>167.19726787407208</c:v>
                </c:pt>
                <c:pt idx="179">
                  <c:v>166.93381953774659</c:v>
                </c:pt>
                <c:pt idx="180">
                  <c:v>166.66425668154122</c:v>
                </c:pt>
                <c:pt idx="181">
                  <c:v>166.38849108535609</c:v>
                </c:pt>
                <c:pt idx="182">
                  <c:v>166.10643475696097</c:v>
                </c:pt>
                <c:pt idx="183">
                  <c:v>165.81800009251927</c:v>
                </c:pt>
                <c:pt idx="184">
                  <c:v>165.52310004739647</c:v>
                </c:pt>
                <c:pt idx="185">
                  <c:v>165.22164831758582</c:v>
                </c:pt>
                <c:pt idx="186">
                  <c:v>164.91355953207008</c:v>
                </c:pt>
                <c:pt idx="187">
                  <c:v>164.59874945641053</c:v>
                </c:pt>
                <c:pt idx="188">
                  <c:v>164.27713520782794</c:v>
                </c:pt>
                <c:pt idx="189">
                  <c:v>163.94863548200493</c:v>
                </c:pt>
                <c:pt idx="190">
                  <c:v>163.61317079179906</c:v>
                </c:pt>
                <c:pt idx="191">
                  <c:v>163.27066371801041</c:v>
                </c:pt>
                <c:pt idx="192">
                  <c:v>162.92103917229306</c:v>
                </c:pt>
                <c:pt idx="193">
                  <c:v>162.56422467224166</c:v>
                </c:pt>
                <c:pt idx="194">
                  <c:v>162.20015062861341</c:v>
                </c:pt>
                <c:pt idx="195">
                  <c:v>161.82875064457448</c:v>
                </c:pt>
                <c:pt idx="196">
                  <c:v>161.44996182677161</c:v>
                </c:pt>
                <c:pt idx="197">
                  <c:v>161.06372510794174</c:v>
                </c:pt>
                <c:pt idx="198">
                  <c:v>160.66998558066777</c:v>
                </c:pt>
                <c:pt idx="199">
                  <c:v>160.26869284178406</c:v>
                </c:pt>
                <c:pt idx="200">
                  <c:v>159.85980134681225</c:v>
                </c:pt>
                <c:pt idx="201">
                  <c:v>159.44327077368555</c:v>
                </c:pt>
                <c:pt idx="202">
                  <c:v>159.01906639488379</c:v>
                </c:pt>
                <c:pt idx="203">
                  <c:v>158.58715945695891</c:v>
                </c:pt>
                <c:pt idx="204">
                  <c:v>158.14752756628172</c:v>
                </c:pt>
                <c:pt idx="205">
                  <c:v>157.7001550796856</c:v>
                </c:pt>
                <c:pt idx="206">
                  <c:v>157.24503349852154</c:v>
                </c:pt>
                <c:pt idx="207">
                  <c:v>156.78216186447409</c:v>
                </c:pt>
                <c:pt idx="208">
                  <c:v>156.3115471553208</c:v>
                </c:pt>
                <c:pt idx="209">
                  <c:v>155.83320467864891</c:v>
                </c:pt>
                <c:pt idx="210">
                  <c:v>155.34715846137794</c:v>
                </c:pt>
                <c:pt idx="211">
                  <c:v>154.85344163276955</c:v>
                </c:pt>
                <c:pt idx="212">
                  <c:v>154.35209679845292</c:v>
                </c:pt>
                <c:pt idx="213">
                  <c:v>153.84317640284027</c:v>
                </c:pt>
                <c:pt idx="214">
                  <c:v>153.32674307717156</c:v>
                </c:pt>
                <c:pt idx="215">
                  <c:v>152.80286997030464</c:v>
                </c:pt>
                <c:pt idx="216">
                  <c:v>152.27164105925667</c:v>
                </c:pt>
                <c:pt idx="217">
                  <c:v>151.73315143642438</c:v>
                </c:pt>
                <c:pt idx="218">
                  <c:v>151.18750757034235</c:v>
                </c:pt>
                <c:pt idx="219">
                  <c:v>150.63482753681319</c:v>
                </c:pt>
                <c:pt idx="220">
                  <c:v>150.07524121723381</c:v>
                </c:pt>
                <c:pt idx="221">
                  <c:v>149.50889046097646</c:v>
                </c:pt>
                <c:pt idx="222">
                  <c:v>148.93592920875309</c:v>
                </c:pt>
                <c:pt idx="223">
                  <c:v>148.35652357399357</c:v>
                </c:pt>
                <c:pt idx="224">
                  <c:v>147.77085187942117</c:v>
                </c:pt>
                <c:pt idx="225">
                  <c:v>147.17910464619413</c:v>
                </c:pt>
                <c:pt idx="226">
                  <c:v>146.58148453322059</c:v>
                </c:pt>
                <c:pt idx="227">
                  <c:v>145.97820622452659</c:v>
                </c:pt>
                <c:pt idx="228">
                  <c:v>145.36949626288134</c:v>
                </c:pt>
                <c:pt idx="229">
                  <c:v>144.75559282823684</c:v>
                </c:pt>
                <c:pt idx="230">
                  <c:v>144.13674545995079</c:v>
                </c:pt>
                <c:pt idx="231">
                  <c:v>143.51321472218348</c:v>
                </c:pt>
                <c:pt idx="232">
                  <c:v>142.88527181233741</c:v>
                </c:pt>
                <c:pt idx="233">
                  <c:v>142.25319811289179</c:v>
                </c:pt>
                <c:pt idx="234">
                  <c:v>141.61728468750744</c:v>
                </c:pt>
                <c:pt idx="235">
                  <c:v>140.97783172279168</c:v>
                </c:pt>
                <c:pt idx="236">
                  <c:v>140.33514791765984</c:v>
                </c:pt>
                <c:pt idx="237">
                  <c:v>139.68954982275284</c:v>
                </c:pt>
                <c:pt idx="238">
                  <c:v>139.04136113289061</c:v>
                </c:pt>
                <c:pt idx="239">
                  <c:v>138.39091193605816</c:v>
                </c:pt>
                <c:pt idx="240">
                  <c:v>137.73853792288119</c:v>
                </c:pt>
                <c:pt idx="241">
                  <c:v>137.08457956100338</c:v>
                </c:pt>
                <c:pt idx="242">
                  <c:v>136.42938123917466</c:v>
                </c:pt>
                <c:pt idx="243">
                  <c:v>135.77329038620894</c:v>
                </c:pt>
                <c:pt idx="244">
                  <c:v>135.11665657026214</c:v>
                </c:pt>
                <c:pt idx="245">
                  <c:v>134.45983058411971</c:v>
                </c:pt>
                <c:pt idx="246">
                  <c:v>133.80316352234667</c:v>
                </c:pt>
                <c:pt idx="247">
                  <c:v>133.14700585624533</c:v>
                </c:pt>
                <c:pt idx="248">
                  <c:v>132.49170651260204</c:v>
                </c:pt>
                <c:pt idx="249">
                  <c:v>131.83761196214917</c:v>
                </c:pt>
                <c:pt idx="250">
                  <c:v>131.18506532355667</c:v>
                </c:pt>
                <c:pt idx="251">
                  <c:v>130.53440548858404</c:v>
                </c:pt>
                <c:pt idx="252">
                  <c:v>129.88596627376927</c:v>
                </c:pt>
                <c:pt idx="253">
                  <c:v>129.24007560372226</c:v>
                </c:pt>
                <c:pt idx="254">
                  <c:v>128.59705473073143</c:v>
                </c:pt>
                <c:pt idx="255">
                  <c:v>127.95721749496697</c:v>
                </c:pt>
                <c:pt idx="256">
                  <c:v>127.32086962912605</c:v>
                </c:pt>
                <c:pt idx="257">
                  <c:v>126.68830811086565</c:v>
                </c:pt>
                <c:pt idx="258">
                  <c:v>126.0598205658705</c:v>
                </c:pt>
                <c:pt idx="259">
                  <c:v>125.43568472386862</c:v>
                </c:pt>
                <c:pt idx="260">
                  <c:v>124.8161679293822</c:v>
                </c:pt>
                <c:pt idx="261">
                  <c:v>124.20152670846126</c:v>
                </c:pt>
                <c:pt idx="262">
                  <c:v>123.59200639213078</c:v>
                </c:pt>
                <c:pt idx="263">
                  <c:v>122.98784079676899</c:v>
                </c:pt>
                <c:pt idx="264">
                  <c:v>122.38925196114957</c:v>
                </c:pt>
                <c:pt idx="265">
                  <c:v>121.79644993942343</c:v>
                </c:pt>
                <c:pt idx="266">
                  <c:v>121.20963264888778</c:v>
                </c:pt>
                <c:pt idx="267">
                  <c:v>120.62898577100137</c:v>
                </c:pt>
                <c:pt idx="268">
                  <c:v>120.0546827037564</c:v>
                </c:pt>
                <c:pt idx="269">
                  <c:v>119.48688456320781</c:v>
                </c:pt>
                <c:pt idx="270">
                  <c:v>118.92574023169485</c:v>
                </c:pt>
                <c:pt idx="271">
                  <c:v>118.37138645007251</c:v>
                </c:pt>
                <c:pt idx="272">
                  <c:v>117.82394795108566</c:v>
                </c:pt>
                <c:pt idx="273">
                  <c:v>117.28353763088668</c:v>
                </c:pt>
                <c:pt idx="274">
                  <c:v>116.75025675560082</c:v>
                </c:pt>
                <c:pt idx="275">
                  <c:v>116.22419519978338</c:v>
                </c:pt>
                <c:pt idx="276">
                  <c:v>115.70543171359398</c:v>
                </c:pt>
                <c:pt idx="277">
                  <c:v>115.19403421552424</c:v>
                </c:pt>
                <c:pt idx="278">
                  <c:v>114.69006010755206</c:v>
                </c:pt>
                <c:pt idx="279">
                  <c:v>114.19355660967086</c:v>
                </c:pt>
                <c:pt idx="280">
                  <c:v>113.70456111082574</c:v>
                </c:pt>
                <c:pt idx="281">
                  <c:v>113.22310153340506</c:v>
                </c:pt>
                <c:pt idx="282">
                  <c:v>112.74919670856022</c:v>
                </c:pt>
                <c:pt idx="283">
                  <c:v>112.28285675977048</c:v>
                </c:pt>
                <c:pt idx="284">
                  <c:v>111.82408349222007</c:v>
                </c:pt>
                <c:pt idx="285">
                  <c:v>111.37287078571249</c:v>
                </c:pt>
                <c:pt idx="286">
                  <c:v>110.92920498901896</c:v>
                </c:pt>
                <c:pt idx="287">
                  <c:v>110.4930653137136</c:v>
                </c:pt>
                <c:pt idx="288">
                  <c:v>110.06442422572977</c:v>
                </c:pt>
                <c:pt idx="289">
                  <c:v>109.64324783302635</c:v>
                </c:pt>
                <c:pt idx="290">
                  <c:v>109.2294962679245</c:v>
                </c:pt>
                <c:pt idx="291">
                  <c:v>108.82312406283361</c:v>
                </c:pt>
                <c:pt idx="292">
                  <c:v>108.42408051823341</c:v>
                </c:pt>
                <c:pt idx="293">
                  <c:v>108.03231006193664</c:v>
                </c:pt>
                <c:pt idx="294">
                  <c:v>107.64775259878618</c:v>
                </c:pt>
                <c:pt idx="295">
                  <c:v>107.27034385008128</c:v>
                </c:pt>
                <c:pt idx="296">
                  <c:v>106.90001568214559</c:v>
                </c:pt>
                <c:pt idx="297">
                  <c:v>106.53669642356941</c:v>
                </c:pt>
                <c:pt idx="298">
                  <c:v>106.18031117076167</c:v>
                </c:pt>
                <c:pt idx="299">
                  <c:v>105.8307820815501</c:v>
                </c:pt>
                <c:pt idx="300">
                  <c:v>105.48802865665185</c:v>
                </c:pt>
                <c:pt idx="301">
                  <c:v>105.15196800892434</c:v>
                </c:pt>
                <c:pt idx="302">
                  <c:v>104.82251512037459</c:v>
                </c:pt>
                <c:pt idx="303">
                  <c:v>104.49958308697424</c:v>
                </c:pt>
                <c:pt idx="304">
                  <c:v>104.18308335138344</c:v>
                </c:pt>
                <c:pt idx="305">
                  <c:v>103.87292592373886</c:v>
                </c:pt>
                <c:pt idx="306">
                  <c:v>103.56901959070602</c:v>
                </c:pt>
                <c:pt idx="307">
                  <c:v>103.27127211303383</c:v>
                </c:pt>
                <c:pt idx="308">
                  <c:v>102.97959041188216</c:v>
                </c:pt>
                <c:pt idx="309">
                  <c:v>102.69388074422044</c:v>
                </c:pt>
                <c:pt idx="310">
                  <c:v>102.41404886761839</c:v>
                </c:pt>
                <c:pt idx="311">
                  <c:v>102.14000019476711</c:v>
                </c:pt>
                <c:pt idx="312">
                  <c:v>101.87163993808315</c:v>
                </c:pt>
                <c:pt idx="313">
                  <c:v>101.60887324475911</c:v>
                </c:pt>
                <c:pt idx="314">
                  <c:v>101.35160532262988</c:v>
                </c:pt>
                <c:pt idx="315">
                  <c:v>101.09974155722959</c:v>
                </c:pt>
                <c:pt idx="316">
                  <c:v>100.85318762041391</c:v>
                </c:pt>
                <c:pt idx="317">
                  <c:v>100.61184957092317</c:v>
                </c:pt>
                <c:pt idx="318">
                  <c:v>100.37563394725809</c:v>
                </c:pt>
                <c:pt idx="319">
                  <c:v>100.14444785323562</c:v>
                </c:pt>
                <c:pt idx="320">
                  <c:v>99.918199036586017</c:v>
                </c:pt>
                <c:pt idx="321">
                  <c:v>99.696795960946091</c:v>
                </c:pt>
                <c:pt idx="322">
                  <c:v>99.480147871593715</c:v>
                </c:pt>
                <c:pt idx="323">
                  <c:v>99.268164855260778</c:v>
                </c:pt>
                <c:pt idx="324">
                  <c:v>99.060757894350232</c:v>
                </c:pt>
                <c:pt idx="325">
                  <c:v>98.857838915875277</c:v>
                </c:pt>
                <c:pt idx="326">
                  <c:v>98.659320835424197</c:v>
                </c:pt>
                <c:pt idx="327">
                  <c:v>98.465117596445992</c:v>
                </c:pt>
                <c:pt idx="328">
                  <c:v>98.275144205139597</c:v>
                </c:pt>
                <c:pt idx="329">
                  <c:v>98.089316761216651</c:v>
                </c:pt>
                <c:pt idx="330">
                  <c:v>97.907552484800021</c:v>
                </c:pt>
                <c:pt idx="331">
                  <c:v>97.729769739703684</c:v>
                </c:pt>
                <c:pt idx="332">
                  <c:v>97.555888053333206</c:v>
                </c:pt>
                <c:pt idx="333">
                  <c:v>97.385828133430877</c:v>
                </c:pt>
                <c:pt idx="334">
                  <c:v>97.219511881881601</c:v>
                </c:pt>
                <c:pt idx="335">
                  <c:v>97.056862405782994</c:v>
                </c:pt>
                <c:pt idx="336">
                  <c:v>96.897804025973727</c:v>
                </c:pt>
                <c:pt idx="337">
                  <c:v>96.742262283203274</c:v>
                </c:pt>
                <c:pt idx="338">
                  <c:v>96.590163942117201</c:v>
                </c:pt>
                <c:pt idx="339">
                  <c:v>96.441436993221814</c:v>
                </c:pt>
                <c:pt idx="340">
                  <c:v>96.296010652984123</c:v>
                </c:pt>
                <c:pt idx="341">
                  <c:v>96.153815362211546</c:v>
                </c:pt>
                <c:pt idx="342">
                  <c:v>96.014782782851711</c:v>
                </c:pt>
                <c:pt idx="343">
                  <c:v>95.878845793339821</c:v>
                </c:pt>
                <c:pt idx="344">
                  <c:v>95.745938482617063</c:v>
                </c:pt>
                <c:pt idx="345">
                  <c:v>95.615996142933739</c:v>
                </c:pt>
                <c:pt idx="346">
                  <c:v>95.488955261545186</c:v>
                </c:pt>
                <c:pt idx="347">
                  <c:v>95.364753511401432</c:v>
                </c:pt>
                <c:pt idx="348">
                  <c:v>95.243329740924338</c:v>
                </c:pt>
                <c:pt idx="349">
                  <c:v>95.124623962961266</c:v>
                </c:pt>
                <c:pt idx="350">
                  <c:v>95.008577342997683</c:v>
                </c:pt>
                <c:pt idx="351">
                  <c:v>94.895132186705879</c:v>
                </c:pt>
                <c:pt idx="352">
                  <c:v>94.784231926901754</c:v>
                </c:pt>
                <c:pt idx="353">
                  <c:v>94.675821109976852</c:v>
                </c:pt>
                <c:pt idx="354">
                  <c:v>94.569845381868433</c:v>
                </c:pt>
                <c:pt idx="355">
                  <c:v>94.46625147362505</c:v>
                </c:pt>
                <c:pt idx="356">
                  <c:v>94.364987186622571</c:v>
                </c:pt>
                <c:pt idx="357">
                  <c:v>94.266001377480308</c:v>
                </c:pt>
                <c:pt idx="358">
                  <c:v>94.169243942724037</c:v>
                </c:pt>
                <c:pt idx="359">
                  <c:v>94.074665803238702</c:v>
                </c:pt>
                <c:pt idx="360">
                  <c:v>93.982218888551358</c:v>
                </c:pt>
                <c:pt idx="361">
                  <c:v>93.891856120980563</c:v>
                </c:pt>
                <c:pt idx="362">
                  <c:v>93.803531399686975</c:v>
                </c:pt>
                <c:pt idx="363">
                  <c:v>93.717199584655802</c:v>
                </c:pt>
                <c:pt idx="364">
                  <c:v>93.632816480640571</c:v>
                </c:pt>
                <c:pt idx="365">
                  <c:v>93.550338821094783</c:v>
                </c:pt>
                <c:pt idx="366">
                  <c:v>93.469724252115341</c:v>
                </c:pt>
                <c:pt idx="367">
                  <c:v>93.390931316420662</c:v>
                </c:pt>
                <c:pt idx="368">
                  <c:v>93.313919437383603</c:v>
                </c:pt>
                <c:pt idx="369">
                  <c:v>93.238648903137744</c:v>
                </c:pt>
                <c:pt idx="370">
                  <c:v>93.165080850774416</c:v>
                </c:pt>
                <c:pt idx="371">
                  <c:v>93.093177250645482</c:v>
                </c:pt>
                <c:pt idx="372">
                  <c:v>93.022900890785834</c:v>
                </c:pt>
                <c:pt idx="373">
                  <c:v>92.954215361468698</c:v>
                </c:pt>
                <c:pt idx="374">
                  <c:v>92.887085039904505</c:v>
                </c:pt>
                <c:pt idx="375">
                  <c:v>92.821475075094</c:v>
                </c:pt>
                <c:pt idx="376">
                  <c:v>92.757351372844298</c:v>
                </c:pt>
                <c:pt idx="377">
                  <c:v>92.694680580956245</c:v>
                </c:pt>
                <c:pt idx="378">
                  <c:v>92.633430074590351</c:v>
                </c:pt>
                <c:pt idx="379">
                  <c:v>92.573567941816961</c:v>
                </c:pt>
                <c:pt idx="380">
                  <c:v>92.515062969356961</c:v>
                </c:pt>
                <c:pt idx="381">
                  <c:v>92.457884628517263</c:v>
                </c:pt>
                <c:pt idx="382">
                  <c:v>92.402003061325033</c:v>
                </c:pt>
                <c:pt idx="383">
                  <c:v>92.347389066864437</c:v>
                </c:pt>
                <c:pt idx="384">
                  <c:v>92.294014087818439</c:v>
                </c:pt>
                <c:pt idx="385">
                  <c:v>92.241850197218014</c:v>
                </c:pt>
                <c:pt idx="386">
                  <c:v>92.190870085400547</c:v>
                </c:pt>
                <c:pt idx="387">
                  <c:v>92.141047047178603</c:v>
                </c:pt>
                <c:pt idx="388">
                  <c:v>92.09235496922031</c:v>
                </c:pt>
                <c:pt idx="389">
                  <c:v>92.0447683176412</c:v>
                </c:pt>
                <c:pt idx="390">
                  <c:v>91.998262125808552</c:v>
                </c:pt>
                <c:pt idx="391">
                  <c:v>91.952811982357062</c:v>
                </c:pt>
                <c:pt idx="392">
                  <c:v>91.908394019416107</c:v>
                </c:pt>
                <c:pt idx="393">
                  <c:v>91.864984901047521</c:v>
                </c:pt>
                <c:pt idx="394">
                  <c:v>91.822561811892896</c:v>
                </c:pt>
                <c:pt idx="395">
                  <c:v>91.781102446029195</c:v>
                </c:pt>
                <c:pt idx="396">
                  <c:v>91.740584996031316</c:v>
                </c:pt>
                <c:pt idx="397">
                  <c:v>91.700988142239865</c:v>
                </c:pt>
                <c:pt idx="398">
                  <c:v>91.662291042232425</c:v>
                </c:pt>
                <c:pt idx="399">
                  <c:v>91.624473320496392</c:v>
                </c:pt>
                <c:pt idx="400">
                  <c:v>91.587515058301349</c:v>
                </c:pt>
                <c:pt idx="401">
                  <c:v>91.551396783768553</c:v>
                </c:pt>
                <c:pt idx="402">
                  <c:v>91.516099462135713</c:v>
                </c:pt>
                <c:pt idx="403">
                  <c:v>91.48160448621411</c:v>
                </c:pt>
                <c:pt idx="404">
                  <c:v>91.447893667036027</c:v>
                </c:pt>
                <c:pt idx="405">
                  <c:v>91.414949224689849</c:v>
                </c:pt>
                <c:pt idx="406">
                  <c:v>91.382753779339978</c:v>
                </c:pt>
                <c:pt idx="407">
                  <c:v>91.351290342429422</c:v>
                </c:pt>
                <c:pt idx="408">
                  <c:v>91.320542308061846</c:v>
                </c:pt>
                <c:pt idx="409">
                  <c:v>91.290493444560582</c:v>
                </c:pt>
                <c:pt idx="410">
                  <c:v>91.261127886202075</c:v>
                </c:pt>
                <c:pt idx="411">
                  <c:v>91.23243012512053</c:v>
                </c:pt>
                <c:pt idx="412">
                  <c:v>91.20438500338129</c:v>
                </c:pt>
                <c:pt idx="413">
                  <c:v>91.176977705220054</c:v>
                </c:pt>
                <c:pt idx="414">
                  <c:v>91.150193749445208</c:v>
                </c:pt>
                <c:pt idx="415">
                  <c:v>91.12401898200018</c:v>
                </c:pt>
                <c:pt idx="416">
                  <c:v>91.09843956868346</c:v>
                </c:pt>
                <c:pt idx="417">
                  <c:v>91.073441988023134</c:v>
                </c:pt>
                <c:pt idx="418">
                  <c:v>91.04901302430325</c:v>
                </c:pt>
                <c:pt idx="419">
                  <c:v>91.025139760739293</c:v>
                </c:pt>
                <c:pt idx="420">
                  <c:v>91.001809572800084</c:v>
                </c:pt>
                <c:pt idx="421">
                  <c:v>90.979010121673085</c:v>
                </c:pt>
                <c:pt idx="422">
                  <c:v>90.956729347870763</c:v>
                </c:pt>
                <c:pt idx="423">
                  <c:v>90.934955464975104</c:v>
                </c:pt>
                <c:pt idx="424">
                  <c:v>90.913676953517637</c:v>
                </c:pt>
                <c:pt idx="425">
                  <c:v>90.892882554992426</c:v>
                </c:pt>
                <c:pt idx="426">
                  <c:v>90.87256126599938</c:v>
                </c:pt>
                <c:pt idx="427">
                  <c:v>90.852702332515236</c:v>
                </c:pt>
                <c:pt idx="428">
                  <c:v>90.833295244289928</c:v>
                </c:pt>
                <c:pt idx="429">
                  <c:v>90.814329729365397</c:v>
                </c:pt>
                <c:pt idx="430">
                  <c:v>90.795795748714937</c:v>
                </c:pt>
                <c:pt idx="431">
                  <c:v>90.777683491000033</c:v>
                </c:pt>
                <c:pt idx="432">
                  <c:v>90.759983367442956</c:v>
                </c:pt>
                <c:pt idx="433">
                  <c:v>90.742686006811994</c:v>
                </c:pt>
                <c:pt idx="434">
                  <c:v>90.725782250517753</c:v>
                </c:pt>
                <c:pt idx="435">
                  <c:v>90.709263147817651</c:v>
                </c:pt>
                <c:pt idx="436">
                  <c:v>90.693119951126647</c:v>
                </c:pt>
                <c:pt idx="437">
                  <c:v>90.67734411143195</c:v>
                </c:pt>
                <c:pt idx="438">
                  <c:v>90.661927273809411</c:v>
                </c:pt>
                <c:pt idx="439">
                  <c:v>90.646861273039661</c:v>
                </c:pt>
                <c:pt idx="440">
                  <c:v>90.632138129321604</c:v>
                </c:pt>
                <c:pt idx="441">
                  <c:v>90.617750044081546</c:v>
                </c:pt>
                <c:pt idx="442">
                  <c:v>90.603689395875563</c:v>
                </c:pt>
                <c:pt idx="443">
                  <c:v>90.589948736383477</c:v>
                </c:pt>
                <c:pt idx="444">
                  <c:v>90.576520786492111</c:v>
                </c:pt>
                <c:pt idx="445">
                  <c:v>90.563398432466215</c:v>
                </c:pt>
                <c:pt idx="446">
                  <c:v>90.550574722205056</c:v>
                </c:pt>
                <c:pt idx="447">
                  <c:v>90.538042861582682</c:v>
                </c:pt>
                <c:pt idx="448">
                  <c:v>90.525796210870382</c:v>
                </c:pt>
                <c:pt idx="449">
                  <c:v>90.513828281239185</c:v>
                </c:pt>
                <c:pt idx="450">
                  <c:v>90.50213273134095</c:v>
                </c:pt>
                <c:pt idx="451">
                  <c:v>90.490703363966134</c:v>
                </c:pt>
                <c:pt idx="452">
                  <c:v>90.479534122776698</c:v>
                </c:pt>
                <c:pt idx="453">
                  <c:v>90.468619089112451</c:v>
                </c:pt>
                <c:pt idx="454">
                  <c:v>90.457952478869217</c:v>
                </c:pt>
                <c:pt idx="455">
                  <c:v>90.447528639447185</c:v>
                </c:pt>
                <c:pt idx="456">
                  <c:v>90.437342046768151</c:v>
                </c:pt>
                <c:pt idx="457">
                  <c:v>90.427387302359747</c:v>
                </c:pt>
                <c:pt idx="458">
                  <c:v>90.417659130505527</c:v>
                </c:pt>
                <c:pt idx="459">
                  <c:v>90.408152375459252</c:v>
                </c:pt>
                <c:pt idx="460">
                  <c:v>90.398861998722026</c:v>
                </c:pt>
                <c:pt idx="461">
                  <c:v>90.389783076380894</c:v>
                </c:pt>
                <c:pt idx="462">
                  <c:v>90.380910796507422</c:v>
                </c:pt>
                <c:pt idx="463">
                  <c:v>90.372240456615287</c:v>
                </c:pt>
                <c:pt idx="464">
                  <c:v>90.363767461175001</c:v>
                </c:pt>
                <c:pt idx="465">
                  <c:v>90.355487319184903</c:v>
                </c:pt>
                <c:pt idx="466">
                  <c:v>90.347395641797249</c:v>
                </c:pt>
                <c:pt idx="467">
                  <c:v>90.339488139997698</c:v>
                </c:pt>
                <c:pt idx="468">
                  <c:v>90.331760622337484</c:v>
                </c:pt>
                <c:pt idx="469">
                  <c:v>90.324208992716819</c:v>
                </c:pt>
                <c:pt idx="470">
                  <c:v>90.316829248218525</c:v>
                </c:pt>
                <c:pt idx="471">
                  <c:v>90.309617476990638</c:v>
                </c:pt>
                <c:pt idx="472">
                  <c:v>90.302569856177058</c:v>
                </c:pt>
                <c:pt idx="473">
                  <c:v>90.295682649894928</c:v>
                </c:pt>
                <c:pt idx="474">
                  <c:v>90.288952207258006</c:v>
                </c:pt>
                <c:pt idx="475">
                  <c:v>90.28237496044467</c:v>
                </c:pt>
                <c:pt idx="476">
                  <c:v>90.27594742280985</c:v>
                </c:pt>
                <c:pt idx="477">
                  <c:v>90.269666187039647</c:v>
                </c:pt>
                <c:pt idx="478">
                  <c:v>90.263527923347837</c:v>
                </c:pt>
                <c:pt idx="479">
                  <c:v>90.257529377713325</c:v>
                </c:pt>
                <c:pt idx="480">
                  <c:v>90.251667370157492</c:v>
                </c:pt>
                <c:pt idx="481">
                  <c:v>90.245938793060645</c:v>
                </c:pt>
                <c:pt idx="482">
                  <c:v>90.240340609516736</c:v>
                </c:pt>
                <c:pt idx="483">
                  <c:v>90.23486985172525</c:v>
                </c:pt>
                <c:pt idx="484">
                  <c:v>90.229523619419822</c:v>
                </c:pt>
                <c:pt idx="485">
                  <c:v>90.224299078332294</c:v>
                </c:pt>
                <c:pt idx="486">
                  <c:v>90.219193458691791</c:v>
                </c:pt>
                <c:pt idx="487">
                  <c:v>90.214204053757769</c:v>
                </c:pt>
                <c:pt idx="488">
                  <c:v>90.209328218386503</c:v>
                </c:pt>
                <c:pt idx="489">
                  <c:v>90.204563367630016</c:v>
                </c:pt>
                <c:pt idx="490">
                  <c:v>90.199906975366815</c:v>
                </c:pt>
                <c:pt idx="491">
                  <c:v>90.195356572963846</c:v>
                </c:pt>
                <c:pt idx="492">
                  <c:v>90.190909747968746</c:v>
                </c:pt>
                <c:pt idx="493">
                  <c:v>90.186564142831827</c:v>
                </c:pt>
                <c:pt idx="494">
                  <c:v>90.182317453657092</c:v>
                </c:pt>
                <c:pt idx="495">
                  <c:v>90.178167428981681</c:v>
                </c:pt>
                <c:pt idx="496">
                  <c:v>90.174111868582969</c:v>
                </c:pt>
                <c:pt idx="497">
                  <c:v>90.170148622312851</c:v>
                </c:pt>
                <c:pt idx="498">
                  <c:v>90.166275588958456</c:v>
                </c:pt>
                <c:pt idx="499">
                  <c:v>90.162490715128797</c:v>
                </c:pt>
                <c:pt idx="500">
                  <c:v>90.15879199416672</c:v>
                </c:pt>
                <c:pt idx="501">
                  <c:v>90.155177465085586</c:v>
                </c:pt>
                <c:pt idx="502">
                  <c:v>90.151645211530123</c:v>
                </c:pt>
                <c:pt idx="503">
                  <c:v>90.148193360760899</c:v>
                </c:pt>
                <c:pt idx="504">
                  <c:v>90.144820082661852</c:v>
                </c:pt>
                <c:pt idx="505">
                  <c:v>90.141523588770511</c:v>
                </c:pt>
                <c:pt idx="506">
                  <c:v>90.138302131330065</c:v>
                </c:pt>
                <c:pt idx="507">
                  <c:v>90.135154002363166</c:v>
                </c:pt>
                <c:pt idx="508">
                  <c:v>90.132077532766743</c:v>
                </c:pt>
                <c:pt idx="509">
                  <c:v>90.129071091427363</c:v>
                </c:pt>
                <c:pt idx="510">
                  <c:v>90.126133084356709</c:v>
                </c:pt>
                <c:pt idx="511">
                  <c:v>90.123261953846765</c:v>
                </c:pt>
                <c:pt idx="512">
                  <c:v>90.120456177644215</c:v>
                </c:pt>
                <c:pt idx="513">
                  <c:v>90.117714268143601</c:v>
                </c:pt>
                <c:pt idx="514">
                  <c:v>90.115034771598786</c:v>
                </c:pt>
                <c:pt idx="515">
                  <c:v>90.11241626735243</c:v>
                </c:pt>
                <c:pt idx="516">
                  <c:v>90.109857367082995</c:v>
                </c:pt>
                <c:pt idx="517">
                  <c:v>90.1073567140688</c:v>
                </c:pt>
                <c:pt idx="518">
                  <c:v>90.104912982468875</c:v>
                </c:pt>
                <c:pt idx="519">
                  <c:v>90.102524876620222</c:v>
                </c:pt>
                <c:pt idx="520">
                  <c:v>90.100191130350922</c:v>
                </c:pt>
                <c:pt idx="521">
                  <c:v>90.097910506308992</c:v>
                </c:pt>
                <c:pt idx="522">
                  <c:v>90.095681795306476</c:v>
                </c:pt>
                <c:pt idx="523">
                  <c:v>90.093503815678503</c:v>
                </c:pt>
                <c:pt idx="524">
                  <c:v>90.091375412656774</c:v>
                </c:pt>
                <c:pt idx="525">
                  <c:v>90.089295457757501</c:v>
                </c:pt>
                <c:pt idx="526">
                  <c:v>90.087262848183144</c:v>
                </c:pt>
                <c:pt idx="527">
                  <c:v>90.085276506237818</c:v>
                </c:pt>
                <c:pt idx="528">
                  <c:v>90.083335378755933</c:v>
                </c:pt>
                <c:pt idx="529">
                  <c:v>90.081438436543991</c:v>
                </c:pt>
                <c:pt idx="530">
                  <c:v>90.079584673834859</c:v>
                </c:pt>
                <c:pt idx="531">
                  <c:v>90.077773107754638</c:v>
                </c:pt>
                <c:pt idx="532">
                  <c:v>90.076002777801605</c:v>
                </c:pt>
                <c:pt idx="533">
                  <c:v>90.074272745336998</c:v>
                </c:pt>
                <c:pt idx="534">
                  <c:v>90.072582093087433</c:v>
                </c:pt>
                <c:pt idx="535">
                  <c:v>90.070929924658543</c:v>
                </c:pt>
                <c:pt idx="536">
                  <c:v>90.069315364059833</c:v>
                </c:pt>
                <c:pt idx="537">
                  <c:v>90.067737555240242</c:v>
                </c:pt>
                <c:pt idx="538">
                  <c:v>90.066195661634254</c:v>
                </c:pt>
                <c:pt idx="539">
                  <c:v>90.064688865718509</c:v>
                </c:pt>
                <c:pt idx="540">
                  <c:v>90.063216368578225</c:v>
                </c:pt>
                <c:pt idx="541">
                  <c:v>90.061777389483794</c:v>
                </c:pt>
              </c:numCache>
            </c:numRef>
          </c:yVal>
          <c:smooth val="1"/>
          <c:extLst>
            <c:ext xmlns:c16="http://schemas.microsoft.com/office/drawing/2014/chart" uri="{C3380CC4-5D6E-409C-BE32-E72D297353CC}">
              <c16:uniqueId val="{00000001-10B5-49C9-9BB6-6633B6CD1AA0}"/>
            </c:ext>
          </c:extLst>
        </c:ser>
        <c:dLbls>
          <c:showLegendKey val="0"/>
          <c:showVal val="0"/>
          <c:showCatName val="0"/>
          <c:showSerName val="0"/>
          <c:showPercent val="0"/>
          <c:showBubbleSize val="0"/>
        </c:dLbls>
        <c:axId val="365441024"/>
        <c:axId val="365439232"/>
      </c:scatterChart>
      <c:valAx>
        <c:axId val="555280640"/>
        <c:scaling>
          <c:logBase val="10"/>
          <c:orientation val="minMax"/>
          <c:max val="2200000"/>
          <c:min val="10"/>
        </c:scaling>
        <c:delete val="0"/>
        <c:axPos val="b"/>
        <c:minorGridlines/>
        <c:title>
          <c:tx>
            <c:rich>
              <a:bodyPr/>
              <a:lstStyle/>
              <a:p>
                <a:pPr>
                  <a:defRPr/>
                </a:pPr>
                <a:r>
                  <a:rPr lang="en-US"/>
                  <a:t>Frequency</a:t>
                </a:r>
                <a:r>
                  <a:rPr lang="en-US" baseline="0"/>
                  <a:t> (Hz)</a:t>
                </a:r>
                <a:endParaRPr lang="en-US"/>
              </a:p>
            </c:rich>
          </c:tx>
          <c:overlay val="0"/>
        </c:title>
        <c:numFmt formatCode="0" sourceLinked="0"/>
        <c:majorTickMark val="out"/>
        <c:minorTickMark val="none"/>
        <c:tickLblPos val="low"/>
        <c:crossAx val="365437312"/>
        <c:crosses val="autoZero"/>
        <c:crossBetween val="midCat"/>
      </c:valAx>
      <c:valAx>
        <c:axId val="365437312"/>
        <c:scaling>
          <c:orientation val="minMax"/>
          <c:max val="40"/>
          <c:min val="-40"/>
        </c:scaling>
        <c:delete val="0"/>
        <c:axPos val="l"/>
        <c:majorGridlines/>
        <c:minorGridlines/>
        <c:title>
          <c:tx>
            <c:rich>
              <a:bodyPr rot="-5400000" vert="horz"/>
              <a:lstStyle/>
              <a:p>
                <a:pPr>
                  <a:defRPr/>
                </a:pPr>
                <a:r>
                  <a:rPr lang="en-US"/>
                  <a:t>Gain</a:t>
                </a:r>
                <a:r>
                  <a:rPr lang="en-US" baseline="0"/>
                  <a:t> (dB)</a:t>
                </a:r>
                <a:endParaRPr lang="en-US"/>
              </a:p>
            </c:rich>
          </c:tx>
          <c:overlay val="0"/>
        </c:title>
        <c:numFmt formatCode="General" sourceLinked="0"/>
        <c:majorTickMark val="out"/>
        <c:minorTickMark val="none"/>
        <c:tickLblPos val="nextTo"/>
        <c:crossAx val="555280640"/>
        <c:crosses val="autoZero"/>
        <c:crossBetween val="midCat"/>
        <c:majorUnit val="20"/>
        <c:minorUnit val="10"/>
      </c:valAx>
      <c:valAx>
        <c:axId val="365439232"/>
        <c:scaling>
          <c:orientation val="minMax"/>
          <c:max val="180"/>
          <c:min val="-180"/>
        </c:scaling>
        <c:delete val="0"/>
        <c:axPos val="r"/>
        <c:numFmt formatCode="General" sourceLinked="1"/>
        <c:majorTickMark val="out"/>
        <c:minorTickMark val="none"/>
        <c:tickLblPos val="nextTo"/>
        <c:crossAx val="365441024"/>
        <c:crosses val="max"/>
        <c:crossBetween val="midCat"/>
        <c:majorUnit val="90"/>
        <c:minorUnit val="45"/>
      </c:valAx>
      <c:valAx>
        <c:axId val="365441024"/>
        <c:scaling>
          <c:logBase val="10"/>
          <c:orientation val="minMax"/>
        </c:scaling>
        <c:delete val="1"/>
        <c:axPos val="b"/>
        <c:numFmt formatCode="0.00" sourceLinked="1"/>
        <c:majorTickMark val="out"/>
        <c:minorTickMark val="none"/>
        <c:tickLblPos val="nextTo"/>
        <c:crossAx val="365439232"/>
        <c:crosses val="autoZero"/>
        <c:crossBetween val="midCat"/>
      </c:valAx>
    </c:plotArea>
    <c:plotVisOnly val="1"/>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aseline="0"/>
              <a:t>CCM Control Loop Transfer Function</a:t>
            </a:r>
          </a:p>
        </c:rich>
      </c:tx>
      <c:overlay val="0"/>
    </c:title>
    <c:autoTitleDeleted val="0"/>
    <c:plotArea>
      <c:layout/>
      <c:scatterChart>
        <c:scatterStyle val="smoothMarker"/>
        <c:varyColors val="0"/>
        <c:ser>
          <c:idx val="0"/>
          <c:order val="0"/>
          <c:tx>
            <c:v>Gain (dB)</c:v>
          </c:tx>
          <c:spPr>
            <a:ln w="38100">
              <a:solidFill>
                <a:srgbClr val="FF0000"/>
              </a:solidFill>
            </a:ln>
          </c:spPr>
          <c:marker>
            <c:symbol val="none"/>
          </c:marker>
          <c:xVal>
            <c:numRef>
              <c:f>Control_Loop_Tables!$N$19:$N$560</c:f>
              <c:numCache>
                <c:formatCode>0.00</c:formatCode>
                <c:ptCount val="542"/>
                <c:pt idx="0">
                  <c:v>10.232929922807543</c:v>
                </c:pt>
                <c:pt idx="1">
                  <c:v>10.471285480509</c:v>
                </c:pt>
                <c:pt idx="2">
                  <c:v>10.715193052376069</c:v>
                </c:pt>
                <c:pt idx="3">
                  <c:v>10.964781961431854</c:v>
                </c:pt>
                <c:pt idx="4">
                  <c:v>11.220184543019636</c:v>
                </c:pt>
                <c:pt idx="5">
                  <c:v>11.481536214968834</c:v>
                </c:pt>
                <c:pt idx="6">
                  <c:v>11.748975549395301</c:v>
                </c:pt>
                <c:pt idx="7">
                  <c:v>12.022644346174133</c:v>
                </c:pt>
                <c:pt idx="8">
                  <c:v>12.302687708123818</c:v>
                </c:pt>
                <c:pt idx="9">
                  <c:v>12.58925411794168</c:v>
                </c:pt>
                <c:pt idx="10">
                  <c:v>12.882495516931346</c:v>
                </c:pt>
                <c:pt idx="11">
                  <c:v>13.182567385564075</c:v>
                </c:pt>
                <c:pt idx="12">
                  <c:v>13.489628825916535</c:v>
                </c:pt>
                <c:pt idx="13">
                  <c:v>13.803842646028857</c:v>
                </c:pt>
                <c:pt idx="14">
                  <c:v>14.125375446227544</c:v>
                </c:pt>
                <c:pt idx="15">
                  <c:v>14.454397707459275</c:v>
                </c:pt>
                <c:pt idx="16">
                  <c:v>14.791083881682074</c:v>
                </c:pt>
                <c:pt idx="17">
                  <c:v>15.135612484362087</c:v>
                </c:pt>
                <c:pt idx="18">
                  <c:v>15.488166189124817</c:v>
                </c:pt>
                <c:pt idx="19">
                  <c:v>15.848931924611136</c:v>
                </c:pt>
                <c:pt idx="20">
                  <c:v>16.218100973589298</c:v>
                </c:pt>
                <c:pt idx="21">
                  <c:v>16.595869074375614</c:v>
                </c:pt>
                <c:pt idx="22">
                  <c:v>16.982436524617448</c:v>
                </c:pt>
                <c:pt idx="23">
                  <c:v>17.378008287493756</c:v>
                </c:pt>
                <c:pt idx="24">
                  <c:v>17.782794100389236</c:v>
                </c:pt>
                <c:pt idx="25">
                  <c:v>18.197008586099841</c:v>
                </c:pt>
                <c:pt idx="26">
                  <c:v>18.62087136662868</c:v>
                </c:pt>
                <c:pt idx="27">
                  <c:v>19.054607179632477</c:v>
                </c:pt>
                <c:pt idx="28">
                  <c:v>19.498445997580465</c:v>
                </c:pt>
                <c:pt idx="29">
                  <c:v>19.952623149688804</c:v>
                </c:pt>
                <c:pt idx="30">
                  <c:v>20.4173794466953</c:v>
                </c:pt>
                <c:pt idx="31">
                  <c:v>20.8929613085404</c:v>
                </c:pt>
                <c:pt idx="32">
                  <c:v>21.379620895022335</c:v>
                </c:pt>
                <c:pt idx="33">
                  <c:v>21.877616239495538</c:v>
                </c:pt>
                <c:pt idx="34">
                  <c:v>22.387211385683404</c:v>
                </c:pt>
                <c:pt idx="35">
                  <c:v>22.908676527677727</c:v>
                </c:pt>
                <c:pt idx="36">
                  <c:v>23.442288153199236</c:v>
                </c:pt>
                <c:pt idx="37">
                  <c:v>23.988329190194907</c:v>
                </c:pt>
                <c:pt idx="38">
                  <c:v>24.547089156850316</c:v>
                </c:pt>
                <c:pt idx="39">
                  <c:v>25.118864315095799</c:v>
                </c:pt>
                <c:pt idx="40">
                  <c:v>25.703957827688647</c:v>
                </c:pt>
                <c:pt idx="41">
                  <c:v>26.302679918953825</c:v>
                </c:pt>
                <c:pt idx="42">
                  <c:v>26.915348039269158</c:v>
                </c:pt>
                <c:pt idx="43">
                  <c:v>27.542287033381665</c:v>
                </c:pt>
                <c:pt idx="44">
                  <c:v>28.183829312644548</c:v>
                </c:pt>
                <c:pt idx="45">
                  <c:v>28.840315031266066</c:v>
                </c:pt>
                <c:pt idx="46">
                  <c:v>29.512092266663863</c:v>
                </c:pt>
                <c:pt idx="47">
                  <c:v>30.199517204020164</c:v>
                </c:pt>
                <c:pt idx="48">
                  <c:v>30.902954325135919</c:v>
                </c:pt>
                <c:pt idx="49">
                  <c:v>31.622776601683803</c:v>
                </c:pt>
                <c:pt idx="50">
                  <c:v>32.359365692962832</c:v>
                </c:pt>
                <c:pt idx="51">
                  <c:v>33.113112148259127</c:v>
                </c:pt>
                <c:pt idx="52">
                  <c:v>33.884415613920268</c:v>
                </c:pt>
                <c:pt idx="53">
                  <c:v>34.67368504525318</c:v>
                </c:pt>
                <c:pt idx="54">
                  <c:v>35.481338923357555</c:v>
                </c:pt>
                <c:pt idx="55">
                  <c:v>36.307805477010156</c:v>
                </c:pt>
                <c:pt idx="56">
                  <c:v>37.15352290971726</c:v>
                </c:pt>
                <c:pt idx="57">
                  <c:v>38.018939632056139</c:v>
                </c:pt>
                <c:pt idx="58">
                  <c:v>38.904514499428053</c:v>
                </c:pt>
                <c:pt idx="59">
                  <c:v>39.810717055349755</c:v>
                </c:pt>
                <c:pt idx="60">
                  <c:v>40.738027780411279</c:v>
                </c:pt>
                <c:pt idx="61">
                  <c:v>41.686938347033561</c:v>
                </c:pt>
                <c:pt idx="62">
                  <c:v>42.657951880159267</c:v>
                </c:pt>
                <c:pt idx="63">
                  <c:v>43.651583224016633</c:v>
                </c:pt>
                <c:pt idx="64">
                  <c:v>44.668359215096324</c:v>
                </c:pt>
                <c:pt idx="65">
                  <c:v>45.70881896148753</c:v>
                </c:pt>
                <c:pt idx="66">
                  <c:v>46.773514128719818</c:v>
                </c:pt>
                <c:pt idx="67">
                  <c:v>47.863009232263877</c:v>
                </c:pt>
                <c:pt idx="68">
                  <c:v>48.977881936844632</c:v>
                </c:pt>
                <c:pt idx="69">
                  <c:v>50.118723362727238</c:v>
                </c:pt>
                <c:pt idx="70">
                  <c:v>51.28613839913649</c:v>
                </c:pt>
                <c:pt idx="71">
                  <c:v>52.480746024977286</c:v>
                </c:pt>
                <c:pt idx="72">
                  <c:v>53.703179637025293</c:v>
                </c:pt>
                <c:pt idx="73">
                  <c:v>54.95408738576247</c:v>
                </c:pt>
                <c:pt idx="74">
                  <c:v>56.234132519034915</c:v>
                </c:pt>
                <c:pt idx="75">
                  <c:v>57.543993733715695</c:v>
                </c:pt>
                <c:pt idx="76">
                  <c:v>58.884365535558949</c:v>
                </c:pt>
                <c:pt idx="77">
                  <c:v>60.255958607435822</c:v>
                </c:pt>
                <c:pt idx="78">
                  <c:v>61.659500186148257</c:v>
                </c:pt>
                <c:pt idx="79">
                  <c:v>63.095734448019364</c:v>
                </c:pt>
                <c:pt idx="80">
                  <c:v>64.565422903465588</c:v>
                </c:pt>
                <c:pt idx="81">
                  <c:v>66.069344800759623</c:v>
                </c:pt>
                <c:pt idx="82">
                  <c:v>67.60829753919819</c:v>
                </c:pt>
                <c:pt idx="83">
                  <c:v>69.183097091893657</c:v>
                </c:pt>
                <c:pt idx="84">
                  <c:v>70.794578438413865</c:v>
                </c:pt>
                <c:pt idx="85">
                  <c:v>72.443596007499011</c:v>
                </c:pt>
                <c:pt idx="86">
                  <c:v>74.131024130091816</c:v>
                </c:pt>
                <c:pt idx="87">
                  <c:v>75.857757502918361</c:v>
                </c:pt>
                <c:pt idx="88">
                  <c:v>77.624711662869217</c:v>
                </c:pt>
                <c:pt idx="89">
                  <c:v>79.432823472428197</c:v>
                </c:pt>
                <c:pt idx="90">
                  <c:v>81.283051616409963</c:v>
                </c:pt>
                <c:pt idx="91">
                  <c:v>83.176377110267126</c:v>
                </c:pt>
                <c:pt idx="92">
                  <c:v>85.113803820237734</c:v>
                </c:pt>
                <c:pt idx="93">
                  <c:v>87.096358995608071</c:v>
                </c:pt>
                <c:pt idx="94">
                  <c:v>89.125093813374562</c:v>
                </c:pt>
                <c:pt idx="95">
                  <c:v>91.201083935590972</c:v>
                </c:pt>
                <c:pt idx="96">
                  <c:v>93.325430079699174</c:v>
                </c:pt>
                <c:pt idx="97">
                  <c:v>95.499258602143655</c:v>
                </c:pt>
                <c:pt idx="98">
                  <c:v>97.723722095581124</c:v>
                </c:pt>
                <c:pt idx="99">
                  <c:v>100</c:v>
                </c:pt>
                <c:pt idx="100">
                  <c:v>102.32929922807544</c:v>
                </c:pt>
                <c:pt idx="101">
                  <c:v>104.71285480508998</c:v>
                </c:pt>
                <c:pt idx="102">
                  <c:v>107.15193052376065</c:v>
                </c:pt>
                <c:pt idx="103">
                  <c:v>109.64781961431861</c:v>
                </c:pt>
                <c:pt idx="104">
                  <c:v>112.20184543019634</c:v>
                </c:pt>
                <c:pt idx="105">
                  <c:v>114.81536214968835</c:v>
                </c:pt>
                <c:pt idx="106">
                  <c:v>117.48975549395293</c:v>
                </c:pt>
                <c:pt idx="107">
                  <c:v>120.22644346174135</c:v>
                </c:pt>
                <c:pt idx="108">
                  <c:v>123.02687708123821</c:v>
                </c:pt>
                <c:pt idx="109">
                  <c:v>125.89254117941677</c:v>
                </c:pt>
                <c:pt idx="110">
                  <c:v>128.82495516931343</c:v>
                </c:pt>
                <c:pt idx="111">
                  <c:v>131.82567385564084</c:v>
                </c:pt>
                <c:pt idx="112">
                  <c:v>134.89628825916537</c:v>
                </c:pt>
                <c:pt idx="113">
                  <c:v>138.0384264602886</c:v>
                </c:pt>
                <c:pt idx="114">
                  <c:v>141.25375446227542</c:v>
                </c:pt>
                <c:pt idx="115">
                  <c:v>144.54397707459285</c:v>
                </c:pt>
                <c:pt idx="116">
                  <c:v>147.91083881682084</c:v>
                </c:pt>
                <c:pt idx="117">
                  <c:v>151.3561248436209</c:v>
                </c:pt>
                <c:pt idx="118">
                  <c:v>154.8816618912482</c:v>
                </c:pt>
                <c:pt idx="119">
                  <c:v>158.48931924611153</c:v>
                </c:pt>
                <c:pt idx="120">
                  <c:v>162.18100973589304</c:v>
                </c:pt>
                <c:pt idx="121">
                  <c:v>165.95869074375622</c:v>
                </c:pt>
                <c:pt idx="122">
                  <c:v>169.82436524617444</c:v>
                </c:pt>
                <c:pt idx="123">
                  <c:v>173.78008287493768</c:v>
                </c:pt>
                <c:pt idx="124">
                  <c:v>177.82794100389242</c:v>
                </c:pt>
                <c:pt idx="125">
                  <c:v>181.9700858609983</c:v>
                </c:pt>
                <c:pt idx="126">
                  <c:v>186.20871366628685</c:v>
                </c:pt>
                <c:pt idx="127">
                  <c:v>190.54607179632498</c:v>
                </c:pt>
                <c:pt idx="128">
                  <c:v>194.98445997580458</c:v>
                </c:pt>
                <c:pt idx="129">
                  <c:v>199.52623149688802</c:v>
                </c:pt>
                <c:pt idx="130">
                  <c:v>204.17379446695315</c:v>
                </c:pt>
                <c:pt idx="131">
                  <c:v>208.92961308540396</c:v>
                </c:pt>
                <c:pt idx="132">
                  <c:v>213.79620895022339</c:v>
                </c:pt>
                <c:pt idx="133">
                  <c:v>218.77616239495524</c:v>
                </c:pt>
                <c:pt idx="134">
                  <c:v>223.87211385683412</c:v>
                </c:pt>
                <c:pt idx="135">
                  <c:v>229.08676527677744</c:v>
                </c:pt>
                <c:pt idx="136">
                  <c:v>234.42288153199232</c:v>
                </c:pt>
                <c:pt idx="137">
                  <c:v>239.88329190194912</c:v>
                </c:pt>
                <c:pt idx="138">
                  <c:v>245.4708915685033</c:v>
                </c:pt>
                <c:pt idx="139">
                  <c:v>251.18864315095806</c:v>
                </c:pt>
                <c:pt idx="140">
                  <c:v>257.03957827688663</c:v>
                </c:pt>
                <c:pt idx="141">
                  <c:v>263.02679918953817</c:v>
                </c:pt>
                <c:pt idx="142">
                  <c:v>269.15348039269179</c:v>
                </c:pt>
                <c:pt idx="143">
                  <c:v>275.42287033381683</c:v>
                </c:pt>
                <c:pt idx="144">
                  <c:v>281.83829312644554</c:v>
                </c:pt>
                <c:pt idx="145">
                  <c:v>288.40315031266073</c:v>
                </c:pt>
                <c:pt idx="146">
                  <c:v>295.12092266663871</c:v>
                </c:pt>
                <c:pt idx="147">
                  <c:v>301.99517204020168</c:v>
                </c:pt>
                <c:pt idx="148">
                  <c:v>309.02954325135937</c:v>
                </c:pt>
                <c:pt idx="149">
                  <c:v>316.22776601683825</c:v>
                </c:pt>
                <c:pt idx="150">
                  <c:v>323.59365692962825</c:v>
                </c:pt>
                <c:pt idx="151">
                  <c:v>331.13112148259137</c:v>
                </c:pt>
                <c:pt idx="152">
                  <c:v>338.84415613920277</c:v>
                </c:pt>
                <c:pt idx="153">
                  <c:v>346.73685045253183</c:v>
                </c:pt>
                <c:pt idx="154">
                  <c:v>354.81338923357566</c:v>
                </c:pt>
                <c:pt idx="155">
                  <c:v>363.07805477010152</c:v>
                </c:pt>
                <c:pt idx="156">
                  <c:v>371.53522909717265</c:v>
                </c:pt>
                <c:pt idx="157">
                  <c:v>380.18939632056163</c:v>
                </c:pt>
                <c:pt idx="158">
                  <c:v>389.04514499428063</c:v>
                </c:pt>
                <c:pt idx="159">
                  <c:v>398.10717055349761</c:v>
                </c:pt>
                <c:pt idx="160">
                  <c:v>407.38027780411272</c:v>
                </c:pt>
                <c:pt idx="161">
                  <c:v>416.86938347033572</c:v>
                </c:pt>
                <c:pt idx="162">
                  <c:v>426.57951880159294</c:v>
                </c:pt>
                <c:pt idx="163">
                  <c:v>436.51583224016622</c:v>
                </c:pt>
                <c:pt idx="164">
                  <c:v>446.68359215096331</c:v>
                </c:pt>
                <c:pt idx="165">
                  <c:v>457.0881896148756</c:v>
                </c:pt>
                <c:pt idx="166">
                  <c:v>467.7351412871983</c:v>
                </c:pt>
                <c:pt idx="167">
                  <c:v>478.63009232263886</c:v>
                </c:pt>
                <c:pt idx="168">
                  <c:v>489.77881936844625</c:v>
                </c:pt>
                <c:pt idx="169">
                  <c:v>501.18723362727269</c:v>
                </c:pt>
                <c:pt idx="170">
                  <c:v>512.86138399136519</c:v>
                </c:pt>
                <c:pt idx="171">
                  <c:v>524.80746024977248</c:v>
                </c:pt>
                <c:pt idx="172">
                  <c:v>537.03179637025301</c:v>
                </c:pt>
                <c:pt idx="173">
                  <c:v>549.54087385762534</c:v>
                </c:pt>
                <c:pt idx="174">
                  <c:v>562.34132519034927</c:v>
                </c:pt>
                <c:pt idx="175">
                  <c:v>575.43993733715706</c:v>
                </c:pt>
                <c:pt idx="176">
                  <c:v>588.84365535558959</c:v>
                </c:pt>
                <c:pt idx="177">
                  <c:v>602.55958607435832</c:v>
                </c:pt>
                <c:pt idx="178">
                  <c:v>616.59500186148273</c:v>
                </c:pt>
                <c:pt idx="179">
                  <c:v>630.95734448019323</c:v>
                </c:pt>
                <c:pt idx="180">
                  <c:v>645.65422903465594</c:v>
                </c:pt>
                <c:pt idx="181">
                  <c:v>660.69344800759643</c:v>
                </c:pt>
                <c:pt idx="182">
                  <c:v>676.08297539198213</c:v>
                </c:pt>
                <c:pt idx="183">
                  <c:v>691.83097091893671</c:v>
                </c:pt>
                <c:pt idx="184">
                  <c:v>707.94578438413873</c:v>
                </c:pt>
                <c:pt idx="185">
                  <c:v>724.43596007499025</c:v>
                </c:pt>
                <c:pt idx="186">
                  <c:v>741.31024130091828</c:v>
                </c:pt>
                <c:pt idx="187">
                  <c:v>758.57757502918378</c:v>
                </c:pt>
                <c:pt idx="188">
                  <c:v>776.24711662869231</c:v>
                </c:pt>
                <c:pt idx="189">
                  <c:v>794.32823472428208</c:v>
                </c:pt>
                <c:pt idx="190">
                  <c:v>812.83051616409978</c:v>
                </c:pt>
                <c:pt idx="191">
                  <c:v>831.7637711026714</c:v>
                </c:pt>
                <c:pt idx="192">
                  <c:v>851.13803820237763</c:v>
                </c:pt>
                <c:pt idx="193">
                  <c:v>870.96358995608091</c:v>
                </c:pt>
                <c:pt idx="194">
                  <c:v>891.25093813374656</c:v>
                </c:pt>
                <c:pt idx="195">
                  <c:v>912.01083935590987</c:v>
                </c:pt>
                <c:pt idx="196">
                  <c:v>933.25430079699106</c:v>
                </c:pt>
                <c:pt idx="197">
                  <c:v>954.99258602143675</c:v>
                </c:pt>
                <c:pt idx="198">
                  <c:v>977.23722095581138</c:v>
                </c:pt>
                <c:pt idx="199">
                  <c:v>1000</c:v>
                </c:pt>
                <c:pt idx="200">
                  <c:v>1023.2929922807547</c:v>
                </c:pt>
                <c:pt idx="201">
                  <c:v>1047.1285480509</c:v>
                </c:pt>
                <c:pt idx="202">
                  <c:v>1071.5193052376069</c:v>
                </c:pt>
                <c:pt idx="203">
                  <c:v>1096.4781961431863</c:v>
                </c:pt>
                <c:pt idx="204">
                  <c:v>1122.0184543019636</c:v>
                </c:pt>
                <c:pt idx="205">
                  <c:v>1148.1536214968839</c:v>
                </c:pt>
                <c:pt idx="206">
                  <c:v>1174.8975549395295</c:v>
                </c:pt>
                <c:pt idx="207">
                  <c:v>1202.2644346174138</c:v>
                </c:pt>
                <c:pt idx="208">
                  <c:v>1230.2687708123824</c:v>
                </c:pt>
                <c:pt idx="209">
                  <c:v>1258.925411794168</c:v>
                </c:pt>
                <c:pt idx="210">
                  <c:v>1288.2495516931347</c:v>
                </c:pt>
                <c:pt idx="211">
                  <c:v>1318.2567385564089</c:v>
                </c:pt>
                <c:pt idx="212">
                  <c:v>1348.9628825916541</c:v>
                </c:pt>
                <c:pt idx="213">
                  <c:v>1380.3842646028863</c:v>
                </c:pt>
                <c:pt idx="214">
                  <c:v>1412.5375446227545</c:v>
                </c:pt>
                <c:pt idx="215">
                  <c:v>1445.4397707459289</c:v>
                </c:pt>
                <c:pt idx="216">
                  <c:v>1479.1083881682086</c:v>
                </c:pt>
                <c:pt idx="217">
                  <c:v>1513.5612484362093</c:v>
                </c:pt>
                <c:pt idx="218">
                  <c:v>1548.8166189124822</c:v>
                </c:pt>
                <c:pt idx="219">
                  <c:v>1584.8931924611156</c:v>
                </c:pt>
                <c:pt idx="220">
                  <c:v>1621.8100973589308</c:v>
                </c:pt>
                <c:pt idx="221">
                  <c:v>1659.5869074375626</c:v>
                </c:pt>
                <c:pt idx="222">
                  <c:v>1698.2436524617447</c:v>
                </c:pt>
                <c:pt idx="223">
                  <c:v>1737.8008287493772</c:v>
                </c:pt>
                <c:pt idx="224">
                  <c:v>1778.2794100389244</c:v>
                </c:pt>
                <c:pt idx="225">
                  <c:v>1819.7008586099832</c:v>
                </c:pt>
                <c:pt idx="226">
                  <c:v>1862.0871366628687</c:v>
                </c:pt>
                <c:pt idx="227">
                  <c:v>1905.4607179632501</c:v>
                </c:pt>
                <c:pt idx="228">
                  <c:v>1949.8445997580463</c:v>
                </c:pt>
                <c:pt idx="229">
                  <c:v>1995.2623149688804</c:v>
                </c:pt>
                <c:pt idx="230">
                  <c:v>2041.7379446695318</c:v>
                </c:pt>
                <c:pt idx="231">
                  <c:v>2089.2961308540398</c:v>
                </c:pt>
                <c:pt idx="232">
                  <c:v>2137.9620895022344</c:v>
                </c:pt>
                <c:pt idx="233">
                  <c:v>2187.7616239495528</c:v>
                </c:pt>
                <c:pt idx="234">
                  <c:v>2238.7211385683418</c:v>
                </c:pt>
                <c:pt idx="235">
                  <c:v>2290.8676527677749</c:v>
                </c:pt>
                <c:pt idx="236">
                  <c:v>2344.2288153199238</c:v>
                </c:pt>
                <c:pt idx="237">
                  <c:v>2398.8329190194918</c:v>
                </c:pt>
                <c:pt idx="238">
                  <c:v>2454.7089156850338</c:v>
                </c:pt>
                <c:pt idx="239">
                  <c:v>2511.8864315095811</c:v>
                </c:pt>
                <c:pt idx="240">
                  <c:v>2570.3957827688669</c:v>
                </c:pt>
                <c:pt idx="241">
                  <c:v>2630.2679918953822</c:v>
                </c:pt>
                <c:pt idx="242">
                  <c:v>2691.5348039269184</c:v>
                </c:pt>
                <c:pt idx="243">
                  <c:v>2754.228703338169</c:v>
                </c:pt>
                <c:pt idx="244">
                  <c:v>2818.3829312644561</c:v>
                </c:pt>
                <c:pt idx="245">
                  <c:v>2884.0315031266077</c:v>
                </c:pt>
                <c:pt idx="246">
                  <c:v>2951.2092266663876</c:v>
                </c:pt>
                <c:pt idx="247">
                  <c:v>3019.9517204020176</c:v>
                </c:pt>
                <c:pt idx="248">
                  <c:v>3090.295432513592</c:v>
                </c:pt>
                <c:pt idx="249">
                  <c:v>3162.2776601683804</c:v>
                </c:pt>
                <c:pt idx="250">
                  <c:v>3235.9365692962833</c:v>
                </c:pt>
                <c:pt idx="251">
                  <c:v>3311.3112148259115</c:v>
                </c:pt>
                <c:pt idx="252">
                  <c:v>3388.4415613920314</c:v>
                </c:pt>
                <c:pt idx="253">
                  <c:v>3467.3685045253224</c:v>
                </c:pt>
                <c:pt idx="254">
                  <c:v>3548.1338923357539</c:v>
                </c:pt>
                <c:pt idx="255">
                  <c:v>3630.7805477010188</c:v>
                </c:pt>
                <c:pt idx="256">
                  <c:v>3715.352290971724</c:v>
                </c:pt>
                <c:pt idx="257">
                  <c:v>3801.8939632056172</c:v>
                </c:pt>
                <c:pt idx="258">
                  <c:v>3890.451449942811</c:v>
                </c:pt>
                <c:pt idx="259">
                  <c:v>3981.0717055349769</c:v>
                </c:pt>
                <c:pt idx="260">
                  <c:v>4073.8027780411317</c:v>
                </c:pt>
                <c:pt idx="261">
                  <c:v>4168.6938347033583</c:v>
                </c:pt>
                <c:pt idx="262">
                  <c:v>4265.7951880159299</c:v>
                </c:pt>
                <c:pt idx="263">
                  <c:v>4365.1583224016631</c:v>
                </c:pt>
                <c:pt idx="264">
                  <c:v>4466.8359215096343</c:v>
                </c:pt>
                <c:pt idx="265">
                  <c:v>4570.8818961487532</c:v>
                </c:pt>
                <c:pt idx="266">
                  <c:v>4677.3514128719844</c:v>
                </c:pt>
                <c:pt idx="267">
                  <c:v>4786.3009232263848</c:v>
                </c:pt>
                <c:pt idx="268">
                  <c:v>4897.7881936844633</c:v>
                </c:pt>
                <c:pt idx="269">
                  <c:v>5011.8723362727324</c:v>
                </c:pt>
                <c:pt idx="270">
                  <c:v>5128.6138399136489</c:v>
                </c:pt>
                <c:pt idx="271">
                  <c:v>5248.0746024977261</c:v>
                </c:pt>
                <c:pt idx="272">
                  <c:v>5370.3179637025269</c:v>
                </c:pt>
                <c:pt idx="273">
                  <c:v>5495.4087385762541</c:v>
                </c:pt>
                <c:pt idx="274">
                  <c:v>5623.4132519034993</c:v>
                </c:pt>
                <c:pt idx="275">
                  <c:v>5754.399373371567</c:v>
                </c:pt>
                <c:pt idx="276">
                  <c:v>5888.4365535558973</c:v>
                </c:pt>
                <c:pt idx="277">
                  <c:v>6025.595860743585</c:v>
                </c:pt>
                <c:pt idx="278">
                  <c:v>6165.9500186148289</c:v>
                </c:pt>
                <c:pt idx="279">
                  <c:v>6309.5734448019384</c:v>
                </c:pt>
                <c:pt idx="280">
                  <c:v>6456.5422903465615</c:v>
                </c:pt>
                <c:pt idx="281">
                  <c:v>6606.9344800759654</c:v>
                </c:pt>
                <c:pt idx="282">
                  <c:v>6760.8297539198229</c:v>
                </c:pt>
                <c:pt idx="283">
                  <c:v>6918.3097091893687</c:v>
                </c:pt>
                <c:pt idx="284">
                  <c:v>7079.4578438413828</c:v>
                </c:pt>
                <c:pt idx="285">
                  <c:v>7244.3596007499036</c:v>
                </c:pt>
                <c:pt idx="286">
                  <c:v>7413.1024130091773</c:v>
                </c:pt>
                <c:pt idx="287">
                  <c:v>7585.7757502918394</c:v>
                </c:pt>
                <c:pt idx="288">
                  <c:v>7762.4711662869322</c:v>
                </c:pt>
                <c:pt idx="289">
                  <c:v>7943.2823472428154</c:v>
                </c:pt>
                <c:pt idx="290">
                  <c:v>8128.3051616410066</c:v>
                </c:pt>
                <c:pt idx="291">
                  <c:v>8317.6377110267094</c:v>
                </c:pt>
                <c:pt idx="292">
                  <c:v>8511.3803820237772</c:v>
                </c:pt>
                <c:pt idx="293">
                  <c:v>8709.6358995608189</c:v>
                </c:pt>
                <c:pt idx="294">
                  <c:v>8912.5093813374679</c:v>
                </c:pt>
                <c:pt idx="295">
                  <c:v>9120.1083935591087</c:v>
                </c:pt>
                <c:pt idx="296">
                  <c:v>9332.5430079699217</c:v>
                </c:pt>
                <c:pt idx="297">
                  <c:v>9549.9258602143691</c:v>
                </c:pt>
                <c:pt idx="298">
                  <c:v>9772.3722095581161</c:v>
                </c:pt>
                <c:pt idx="299">
                  <c:v>10000</c:v>
                </c:pt>
                <c:pt idx="300">
                  <c:v>10232.929922807549</c:v>
                </c:pt>
                <c:pt idx="301">
                  <c:v>10471.285480509003</c:v>
                </c:pt>
                <c:pt idx="302">
                  <c:v>10715.193052376071</c:v>
                </c:pt>
                <c:pt idx="303">
                  <c:v>10964.781961431856</c:v>
                </c:pt>
                <c:pt idx="304">
                  <c:v>11220.184543019639</c:v>
                </c:pt>
                <c:pt idx="305">
                  <c:v>11481.536214968832</c:v>
                </c:pt>
                <c:pt idx="306">
                  <c:v>11748.975549395318</c:v>
                </c:pt>
                <c:pt idx="307">
                  <c:v>12022.644346174151</c:v>
                </c:pt>
                <c:pt idx="308">
                  <c:v>12302.687708123816</c:v>
                </c:pt>
                <c:pt idx="309">
                  <c:v>12589.254117941671</c:v>
                </c:pt>
                <c:pt idx="310">
                  <c:v>12882.49551693136</c:v>
                </c:pt>
                <c:pt idx="311">
                  <c:v>13182.567385564091</c:v>
                </c:pt>
                <c:pt idx="312">
                  <c:v>13489.628825916556</c:v>
                </c:pt>
                <c:pt idx="313">
                  <c:v>13803.842646028841</c:v>
                </c:pt>
                <c:pt idx="314">
                  <c:v>14125.375446227561</c:v>
                </c:pt>
                <c:pt idx="315">
                  <c:v>14454.397707459291</c:v>
                </c:pt>
                <c:pt idx="316">
                  <c:v>14791.083881682089</c:v>
                </c:pt>
                <c:pt idx="317">
                  <c:v>15135.612484362096</c:v>
                </c:pt>
                <c:pt idx="318">
                  <c:v>15488.166189124853</c:v>
                </c:pt>
                <c:pt idx="319">
                  <c:v>15848.931924611146</c:v>
                </c:pt>
                <c:pt idx="320">
                  <c:v>16218.100973589309</c:v>
                </c:pt>
                <c:pt idx="321">
                  <c:v>16595.869074375616</c:v>
                </c:pt>
                <c:pt idx="322">
                  <c:v>16982.436524617482</c:v>
                </c:pt>
                <c:pt idx="323">
                  <c:v>17378.008287493791</c:v>
                </c:pt>
                <c:pt idx="324">
                  <c:v>17782.794100389234</c:v>
                </c:pt>
                <c:pt idx="325">
                  <c:v>18197.008586099837</c:v>
                </c:pt>
                <c:pt idx="326">
                  <c:v>18620.871366628675</c:v>
                </c:pt>
                <c:pt idx="327">
                  <c:v>19054.607179632505</c:v>
                </c:pt>
                <c:pt idx="328">
                  <c:v>19498.445997580486</c:v>
                </c:pt>
                <c:pt idx="329">
                  <c:v>19952.623149688792</c:v>
                </c:pt>
                <c:pt idx="330">
                  <c:v>20417.379446695286</c:v>
                </c:pt>
                <c:pt idx="331">
                  <c:v>20892.961308540423</c:v>
                </c:pt>
                <c:pt idx="332">
                  <c:v>21379.620895022348</c:v>
                </c:pt>
                <c:pt idx="333">
                  <c:v>21877.61623949555</c:v>
                </c:pt>
                <c:pt idx="334">
                  <c:v>22387.211385683382</c:v>
                </c:pt>
                <c:pt idx="335">
                  <c:v>22908.676527677751</c:v>
                </c:pt>
                <c:pt idx="336">
                  <c:v>23442.288153199243</c:v>
                </c:pt>
                <c:pt idx="337">
                  <c:v>23988.329190194923</c:v>
                </c:pt>
                <c:pt idx="338">
                  <c:v>24547.089156850321</c:v>
                </c:pt>
                <c:pt idx="339">
                  <c:v>25118.86431509586</c:v>
                </c:pt>
                <c:pt idx="340">
                  <c:v>25703.95782768865</c:v>
                </c:pt>
                <c:pt idx="341">
                  <c:v>26302.679918953829</c:v>
                </c:pt>
                <c:pt idx="342">
                  <c:v>26915.348039269167</c:v>
                </c:pt>
                <c:pt idx="343">
                  <c:v>27542.287033381719</c:v>
                </c:pt>
                <c:pt idx="344">
                  <c:v>28183.829312644593</c:v>
                </c:pt>
                <c:pt idx="345">
                  <c:v>28840.315031266062</c:v>
                </c:pt>
                <c:pt idx="346">
                  <c:v>29512.092266663854</c:v>
                </c:pt>
                <c:pt idx="347">
                  <c:v>30199.517204020212</c:v>
                </c:pt>
                <c:pt idx="348">
                  <c:v>30902.954325135954</c:v>
                </c:pt>
                <c:pt idx="349">
                  <c:v>31622.77660168384</c:v>
                </c:pt>
                <c:pt idx="350">
                  <c:v>32359.365692962871</c:v>
                </c:pt>
                <c:pt idx="351">
                  <c:v>33113.11214825909</c:v>
                </c:pt>
                <c:pt idx="352">
                  <c:v>33884.41561392029</c:v>
                </c:pt>
                <c:pt idx="353">
                  <c:v>34673.685045253202</c:v>
                </c:pt>
                <c:pt idx="354">
                  <c:v>35481.33892335758</c:v>
                </c:pt>
                <c:pt idx="355">
                  <c:v>36307.805477010232</c:v>
                </c:pt>
                <c:pt idx="356">
                  <c:v>37153.522909717351</c:v>
                </c:pt>
                <c:pt idx="357">
                  <c:v>38018.939632056143</c:v>
                </c:pt>
                <c:pt idx="358">
                  <c:v>38904.514499428085</c:v>
                </c:pt>
                <c:pt idx="359">
                  <c:v>39810.717055349742</c:v>
                </c:pt>
                <c:pt idx="360">
                  <c:v>40738.027780411358</c:v>
                </c:pt>
                <c:pt idx="361">
                  <c:v>41686.938347033625</c:v>
                </c:pt>
                <c:pt idx="362">
                  <c:v>42657.951880159271</c:v>
                </c:pt>
                <c:pt idx="363">
                  <c:v>43651.583224016598</c:v>
                </c:pt>
                <c:pt idx="364">
                  <c:v>44668.359215096389</c:v>
                </c:pt>
                <c:pt idx="365">
                  <c:v>45708.818961487581</c:v>
                </c:pt>
                <c:pt idx="366">
                  <c:v>46773.514128719893</c:v>
                </c:pt>
                <c:pt idx="367">
                  <c:v>47863.009232263823</c:v>
                </c:pt>
                <c:pt idx="368">
                  <c:v>48977.881936844598</c:v>
                </c:pt>
                <c:pt idx="369">
                  <c:v>50118.723362727294</c:v>
                </c:pt>
                <c:pt idx="370">
                  <c:v>51286.138399136544</c:v>
                </c:pt>
                <c:pt idx="371">
                  <c:v>52480.746024977314</c:v>
                </c:pt>
                <c:pt idx="372">
                  <c:v>53703.179637025423</c:v>
                </c:pt>
                <c:pt idx="373">
                  <c:v>54954.087385762505</c:v>
                </c:pt>
                <c:pt idx="374">
                  <c:v>56234.132519034953</c:v>
                </c:pt>
                <c:pt idx="375">
                  <c:v>57543.993733715732</c:v>
                </c:pt>
                <c:pt idx="376">
                  <c:v>58884.365535558936</c:v>
                </c:pt>
                <c:pt idx="377">
                  <c:v>60255.95860743591</c:v>
                </c:pt>
                <c:pt idx="378">
                  <c:v>61659.500186148245</c:v>
                </c:pt>
                <c:pt idx="379">
                  <c:v>63095.734448019342</c:v>
                </c:pt>
                <c:pt idx="380">
                  <c:v>64565.422903465682</c:v>
                </c:pt>
                <c:pt idx="381">
                  <c:v>66069.344800759733</c:v>
                </c:pt>
                <c:pt idx="382">
                  <c:v>67608.297539198305</c:v>
                </c:pt>
                <c:pt idx="383">
                  <c:v>69183.097091893651</c:v>
                </c:pt>
                <c:pt idx="384">
                  <c:v>70794.578438413781</c:v>
                </c:pt>
                <c:pt idx="385">
                  <c:v>72443.596007499116</c:v>
                </c:pt>
                <c:pt idx="386">
                  <c:v>74131.024130091857</c:v>
                </c:pt>
                <c:pt idx="387">
                  <c:v>75857.757502918481</c:v>
                </c:pt>
                <c:pt idx="388">
                  <c:v>77624.711662869129</c:v>
                </c:pt>
                <c:pt idx="389">
                  <c:v>79432.823472428237</c:v>
                </c:pt>
                <c:pt idx="390">
                  <c:v>81283.051616410012</c:v>
                </c:pt>
                <c:pt idx="391">
                  <c:v>83176.377110267174</c:v>
                </c:pt>
                <c:pt idx="392">
                  <c:v>85113.803820237721</c:v>
                </c:pt>
                <c:pt idx="393">
                  <c:v>87096.358995608127</c:v>
                </c:pt>
                <c:pt idx="394">
                  <c:v>89125.093813374609</c:v>
                </c:pt>
                <c:pt idx="395">
                  <c:v>91201.083935591028</c:v>
                </c:pt>
                <c:pt idx="396">
                  <c:v>93325.430079699145</c:v>
                </c:pt>
                <c:pt idx="397">
                  <c:v>95499.258602143804</c:v>
                </c:pt>
                <c:pt idx="398">
                  <c:v>97723.722095581266</c:v>
                </c:pt>
                <c:pt idx="399">
                  <c:v>100000</c:v>
                </c:pt>
                <c:pt idx="400">
                  <c:v>102329.29922807543</c:v>
                </c:pt>
                <c:pt idx="401">
                  <c:v>104712.85480508996</c:v>
                </c:pt>
                <c:pt idx="402">
                  <c:v>107151.93052376082</c:v>
                </c:pt>
                <c:pt idx="403">
                  <c:v>109647.81961431868</c:v>
                </c:pt>
                <c:pt idx="404">
                  <c:v>112201.84543019651</c:v>
                </c:pt>
                <c:pt idx="405">
                  <c:v>114815.36214968823</c:v>
                </c:pt>
                <c:pt idx="406">
                  <c:v>117489.75549395311</c:v>
                </c:pt>
                <c:pt idx="407">
                  <c:v>120226.44346174144</c:v>
                </c:pt>
                <c:pt idx="408">
                  <c:v>123026.87708123829</c:v>
                </c:pt>
                <c:pt idx="409">
                  <c:v>125892.54117941685</c:v>
                </c:pt>
                <c:pt idx="410">
                  <c:v>128824.95516931375</c:v>
                </c:pt>
                <c:pt idx="411">
                  <c:v>131825.67385564081</c:v>
                </c:pt>
                <c:pt idx="412">
                  <c:v>134896.28825916545</c:v>
                </c:pt>
                <c:pt idx="413">
                  <c:v>138038.42646028858</c:v>
                </c:pt>
                <c:pt idx="414">
                  <c:v>141253.75446227577</c:v>
                </c:pt>
                <c:pt idx="415">
                  <c:v>144543.97707459307</c:v>
                </c:pt>
                <c:pt idx="416">
                  <c:v>147910.83881682079</c:v>
                </c:pt>
                <c:pt idx="417">
                  <c:v>151356.12484362084</c:v>
                </c:pt>
                <c:pt idx="418">
                  <c:v>154881.66189124843</c:v>
                </c:pt>
                <c:pt idx="419">
                  <c:v>158489.31924611164</c:v>
                </c:pt>
                <c:pt idx="420">
                  <c:v>162181.00973589328</c:v>
                </c:pt>
                <c:pt idx="421">
                  <c:v>165958.69074375604</c:v>
                </c:pt>
                <c:pt idx="422">
                  <c:v>169824.36524617471</c:v>
                </c:pt>
                <c:pt idx="423">
                  <c:v>173780.0828749378</c:v>
                </c:pt>
                <c:pt idx="424">
                  <c:v>177827.94100389251</c:v>
                </c:pt>
                <c:pt idx="425">
                  <c:v>181970.08586099857</c:v>
                </c:pt>
                <c:pt idx="426">
                  <c:v>186208.71366628664</c:v>
                </c:pt>
                <c:pt idx="427">
                  <c:v>190546.07179632492</c:v>
                </c:pt>
                <c:pt idx="428">
                  <c:v>194984.45997580473</c:v>
                </c:pt>
                <c:pt idx="429">
                  <c:v>199526.23149688813</c:v>
                </c:pt>
                <c:pt idx="430">
                  <c:v>204173.79446695308</c:v>
                </c:pt>
                <c:pt idx="431">
                  <c:v>208929.61308540447</c:v>
                </c:pt>
                <c:pt idx="432">
                  <c:v>213796.20895022334</c:v>
                </c:pt>
                <c:pt idx="433">
                  <c:v>218776.16239495538</c:v>
                </c:pt>
                <c:pt idx="434">
                  <c:v>223872.11385683404</c:v>
                </c:pt>
                <c:pt idx="435">
                  <c:v>229086.76527677779</c:v>
                </c:pt>
                <c:pt idx="436">
                  <c:v>234422.88153199267</c:v>
                </c:pt>
                <c:pt idx="437">
                  <c:v>239883.29190194907</c:v>
                </c:pt>
                <c:pt idx="438">
                  <c:v>245470.89156850305</c:v>
                </c:pt>
                <c:pt idx="439">
                  <c:v>251188.64315095844</c:v>
                </c:pt>
                <c:pt idx="440">
                  <c:v>257039.57827688678</c:v>
                </c:pt>
                <c:pt idx="441">
                  <c:v>263026.79918953858</c:v>
                </c:pt>
                <c:pt idx="442">
                  <c:v>269153.48039269145</c:v>
                </c:pt>
                <c:pt idx="443">
                  <c:v>275422.87033381703</c:v>
                </c:pt>
                <c:pt idx="444">
                  <c:v>281838.29312644573</c:v>
                </c:pt>
                <c:pt idx="445">
                  <c:v>288403.1503126609</c:v>
                </c:pt>
                <c:pt idx="446">
                  <c:v>295120.92266663886</c:v>
                </c:pt>
                <c:pt idx="447">
                  <c:v>301995.17204020242</c:v>
                </c:pt>
                <c:pt idx="448">
                  <c:v>309029.54325135931</c:v>
                </c:pt>
                <c:pt idx="449">
                  <c:v>316227.7660168382</c:v>
                </c:pt>
                <c:pt idx="450">
                  <c:v>323593.65692962846</c:v>
                </c:pt>
                <c:pt idx="451">
                  <c:v>331131.12148259126</c:v>
                </c:pt>
                <c:pt idx="452">
                  <c:v>338844.15613920329</c:v>
                </c:pt>
                <c:pt idx="453">
                  <c:v>346736.85045253241</c:v>
                </c:pt>
                <c:pt idx="454">
                  <c:v>354813.38923357555</c:v>
                </c:pt>
                <c:pt idx="455">
                  <c:v>363078.05477010203</c:v>
                </c:pt>
                <c:pt idx="456">
                  <c:v>371535.2290971732</c:v>
                </c:pt>
                <c:pt idx="457">
                  <c:v>380189.39632056188</c:v>
                </c:pt>
                <c:pt idx="458">
                  <c:v>389045.14499428123</c:v>
                </c:pt>
                <c:pt idx="459">
                  <c:v>398107.17055349716</c:v>
                </c:pt>
                <c:pt idx="460">
                  <c:v>407380.27780411334</c:v>
                </c:pt>
                <c:pt idx="461">
                  <c:v>416869.38347033598</c:v>
                </c:pt>
                <c:pt idx="462">
                  <c:v>426579.51880159322</c:v>
                </c:pt>
                <c:pt idx="463">
                  <c:v>436515.83224016649</c:v>
                </c:pt>
                <c:pt idx="464">
                  <c:v>446683.59215096442</c:v>
                </c:pt>
                <c:pt idx="465">
                  <c:v>457088.18961487547</c:v>
                </c:pt>
                <c:pt idx="466">
                  <c:v>467735.14128719864</c:v>
                </c:pt>
                <c:pt idx="467">
                  <c:v>478630.09232263872</c:v>
                </c:pt>
                <c:pt idx="468">
                  <c:v>489778.81936844654</c:v>
                </c:pt>
                <c:pt idx="469">
                  <c:v>501187.23362727347</c:v>
                </c:pt>
                <c:pt idx="470">
                  <c:v>512861.38399136515</c:v>
                </c:pt>
                <c:pt idx="471">
                  <c:v>524807.46024977288</c:v>
                </c:pt>
                <c:pt idx="472">
                  <c:v>537031.7963702539</c:v>
                </c:pt>
                <c:pt idx="473">
                  <c:v>549540.87385762564</c:v>
                </c:pt>
                <c:pt idx="474">
                  <c:v>562341.32519035018</c:v>
                </c:pt>
                <c:pt idx="475">
                  <c:v>575439.93733715697</c:v>
                </c:pt>
                <c:pt idx="476">
                  <c:v>588843.65535558888</c:v>
                </c:pt>
                <c:pt idx="477">
                  <c:v>602559.58607435878</c:v>
                </c:pt>
                <c:pt idx="478">
                  <c:v>616595.00186148309</c:v>
                </c:pt>
                <c:pt idx="479">
                  <c:v>630957.34448019415</c:v>
                </c:pt>
                <c:pt idx="480">
                  <c:v>645654.22903465747</c:v>
                </c:pt>
                <c:pt idx="481">
                  <c:v>660693.44800759677</c:v>
                </c:pt>
                <c:pt idx="482">
                  <c:v>676082.97539198259</c:v>
                </c:pt>
                <c:pt idx="483">
                  <c:v>691830.97091893724</c:v>
                </c:pt>
                <c:pt idx="484">
                  <c:v>707945.78438413853</c:v>
                </c:pt>
                <c:pt idx="485">
                  <c:v>724435.96007499192</c:v>
                </c:pt>
                <c:pt idx="486">
                  <c:v>741310.24130091805</c:v>
                </c:pt>
                <c:pt idx="487">
                  <c:v>758577.57502918423</c:v>
                </c:pt>
                <c:pt idx="488">
                  <c:v>776247.11662869214</c:v>
                </c:pt>
                <c:pt idx="489">
                  <c:v>794328.23472428333</c:v>
                </c:pt>
                <c:pt idx="490">
                  <c:v>812830.51616410096</c:v>
                </c:pt>
                <c:pt idx="491">
                  <c:v>831763.77110267128</c:v>
                </c:pt>
                <c:pt idx="492">
                  <c:v>851138.03820237669</c:v>
                </c:pt>
                <c:pt idx="493">
                  <c:v>870963.58995608077</c:v>
                </c:pt>
                <c:pt idx="494">
                  <c:v>891250.93813374708</c:v>
                </c:pt>
                <c:pt idx="495">
                  <c:v>912010.83935591124</c:v>
                </c:pt>
                <c:pt idx="496">
                  <c:v>933254.30079699249</c:v>
                </c:pt>
                <c:pt idx="497">
                  <c:v>954992.58602143743</c:v>
                </c:pt>
                <c:pt idx="498">
                  <c:v>977237.22095581202</c:v>
                </c:pt>
                <c:pt idx="499">
                  <c:v>1000000</c:v>
                </c:pt>
                <c:pt idx="500">
                  <c:v>1023292.9922807553</c:v>
                </c:pt>
                <c:pt idx="501">
                  <c:v>1047128.5480509007</c:v>
                </c:pt>
                <c:pt idx="502">
                  <c:v>1071519.3052376076</c:v>
                </c:pt>
                <c:pt idx="503">
                  <c:v>1096478.196143186</c:v>
                </c:pt>
                <c:pt idx="504">
                  <c:v>1122018.4543019643</c:v>
                </c:pt>
                <c:pt idx="505">
                  <c:v>1148153.6214968837</c:v>
                </c:pt>
                <c:pt idx="506">
                  <c:v>1174897.5549395324</c:v>
                </c:pt>
                <c:pt idx="507">
                  <c:v>1202264.4346174158</c:v>
                </c:pt>
                <c:pt idx="508">
                  <c:v>1230268.770812382</c:v>
                </c:pt>
                <c:pt idx="509">
                  <c:v>1258925.4117941677</c:v>
                </c:pt>
                <c:pt idx="510">
                  <c:v>1288249.5516931366</c:v>
                </c:pt>
                <c:pt idx="511">
                  <c:v>1318256.7385564097</c:v>
                </c:pt>
                <c:pt idx="512">
                  <c:v>1348962.8825916562</c:v>
                </c:pt>
                <c:pt idx="513">
                  <c:v>1380384.2646028849</c:v>
                </c:pt>
                <c:pt idx="514">
                  <c:v>1412537.5446227565</c:v>
                </c:pt>
                <c:pt idx="515">
                  <c:v>1445439.7707459298</c:v>
                </c:pt>
                <c:pt idx="516">
                  <c:v>1479108.3881682095</c:v>
                </c:pt>
                <c:pt idx="517">
                  <c:v>1513561.2484362102</c:v>
                </c:pt>
                <c:pt idx="518">
                  <c:v>1548816.6189124861</c:v>
                </c:pt>
                <c:pt idx="519">
                  <c:v>1584893.1924611153</c:v>
                </c:pt>
                <c:pt idx="520">
                  <c:v>1621810.0973589318</c:v>
                </c:pt>
                <c:pt idx="521">
                  <c:v>1659586.9074375622</c:v>
                </c:pt>
                <c:pt idx="522">
                  <c:v>1698243.6524617488</c:v>
                </c:pt>
                <c:pt idx="523">
                  <c:v>1737800.8287493798</c:v>
                </c:pt>
                <c:pt idx="524">
                  <c:v>1778279.4100389241</c:v>
                </c:pt>
                <c:pt idx="525">
                  <c:v>1819700.8586099846</c:v>
                </c:pt>
                <c:pt idx="526">
                  <c:v>1862087.1366628683</c:v>
                </c:pt>
                <c:pt idx="527">
                  <c:v>1905460.7179632513</c:v>
                </c:pt>
                <c:pt idx="528">
                  <c:v>1949844.5997580495</c:v>
                </c:pt>
                <c:pt idx="529">
                  <c:v>1995262.31496888</c:v>
                </c:pt>
                <c:pt idx="530">
                  <c:v>2041737.9446695296</c:v>
                </c:pt>
                <c:pt idx="531">
                  <c:v>2089296.1308540432</c:v>
                </c:pt>
                <c:pt idx="532">
                  <c:v>2137962.0895022359</c:v>
                </c:pt>
                <c:pt idx="533">
                  <c:v>2187761.6239495561</c:v>
                </c:pt>
                <c:pt idx="534">
                  <c:v>2238721.1385683389</c:v>
                </c:pt>
                <c:pt idx="535">
                  <c:v>2290867.6527677765</c:v>
                </c:pt>
                <c:pt idx="536">
                  <c:v>2344228.8153199251</c:v>
                </c:pt>
                <c:pt idx="537">
                  <c:v>2398832.9190194933</c:v>
                </c:pt>
                <c:pt idx="538">
                  <c:v>2454708.915685033</c:v>
                </c:pt>
                <c:pt idx="539">
                  <c:v>2511886.431509587</c:v>
                </c:pt>
                <c:pt idx="540">
                  <c:v>2570395.782768866</c:v>
                </c:pt>
                <c:pt idx="541">
                  <c:v>2630267.9918953842</c:v>
                </c:pt>
              </c:numCache>
            </c:numRef>
          </c:xVal>
          <c:yVal>
            <c:numRef>
              <c:f>Control_Loop_Tables!$BF$19:$BF$560</c:f>
              <c:numCache>
                <c:formatCode>0.000</c:formatCode>
                <c:ptCount val="542"/>
                <c:pt idx="0">
                  <c:v>40.5341394683998</c:v>
                </c:pt>
                <c:pt idx="1">
                  <c:v>40.327036842818899</c:v>
                </c:pt>
                <c:pt idx="2">
                  <c:v>40.120107012066427</c:v>
                </c:pt>
                <c:pt idx="3">
                  <c:v>39.913350815790494</c:v>
                </c:pt>
                <c:pt idx="4">
                  <c:v>39.706768694079898</c:v>
                </c:pt>
                <c:pt idx="5">
                  <c:v>39.500360705923761</c:v>
                </c:pt>
                <c:pt idx="6">
                  <c:v>39.294126548594058</c:v>
                </c:pt>
                <c:pt idx="7">
                  <c:v>39.088065577742995</c:v>
                </c:pt>
                <c:pt idx="8">
                  <c:v>38.882176828016732</c:v>
                </c:pt>
                <c:pt idx="9">
                  <c:v>38.676459034000089</c:v>
                </c:pt>
                <c:pt idx="10">
                  <c:v>38.470910651316707</c:v>
                </c:pt>
                <c:pt idx="11">
                  <c:v>38.265529877725378</c:v>
                </c:pt>
                <c:pt idx="12">
                  <c:v>38.060314674064344</c:v>
                </c:pt>
                <c:pt idx="13">
                  <c:v>37.855262784913251</c:v>
                </c:pt>
                <c:pt idx="14">
                  <c:v>37.650371758853225</c:v>
                </c:pt>
                <c:pt idx="15">
                  <c:v>37.445638968223442</c:v>
                </c:pt>
                <c:pt idx="16">
                  <c:v>37.241061628283575</c:v>
                </c:pt>
                <c:pt idx="17">
                  <c:v>37.036636815707269</c:v>
                </c:pt>
                <c:pt idx="18">
                  <c:v>36.832361486344183</c:v>
                </c:pt>
                <c:pt idx="19">
                  <c:v>36.628232492199324</c:v>
                </c:pt>
                <c:pt idx="20">
                  <c:v>36.42424659759201</c:v>
                </c:pt>
                <c:pt idx="21">
                  <c:v>36.220400494464712</c:v>
                </c:pt>
                <c:pt idx="22">
                  <c:v>36.016690816825445</c:v>
                </c:pt>
                <c:pt idx="23">
                  <c:v>35.813114154311414</c:v>
                </c:pt>
                <c:pt idx="24">
                  <c:v>35.609667064874692</c:v>
                </c:pt>
                <c:pt idx="25">
                  <c:v>35.406346086593445</c:v>
                </c:pt>
                <c:pt idx="26">
                  <c:v>35.203147748621817</c:v>
                </c:pt>
                <c:pt idx="27">
                  <c:v>35.000068581293803</c:v>
                </c:pt>
                <c:pt idx="28">
                  <c:v>34.79710512540391</c:v>
                </c:pt>
                <c:pt idx="29">
                  <c:v>34.594253940689342</c:v>
                </c:pt>
                <c:pt idx="30">
                  <c:v>34.391511613542363</c:v>
                </c:pt>
                <c:pt idx="31">
                  <c:v>34.188874763983293</c:v>
                </c:pt>
                <c:pt idx="32">
                  <c:v>33.986340051928053</c:v>
                </c:pt>
                <c:pt idx="33">
                  <c:v>33.783904182783509</c:v>
                </c:pt>
                <c:pt idx="34">
                  <c:v>33.581563912406395</c:v>
                </c:pt>
                <c:pt idx="35">
                  <c:v>33.379316051461558</c:v>
                </c:pt>
                <c:pt idx="36">
                  <c:v>33.177157469215324</c:v>
                </c:pt>
                <c:pt idx="37">
                  <c:v>32.975085096799013</c:v>
                </c:pt>
                <c:pt idx="38">
                  <c:v>32.773095929979206</c:v>
                </c:pt>
                <c:pt idx="39">
                  <c:v>32.571187031468035</c:v>
                </c:pt>
                <c:pt idx="40">
                  <c:v>32.369355532807923</c:v>
                </c:pt>
                <c:pt idx="41">
                  <c:v>32.167598635862447</c:v>
                </c:pt>
                <c:pt idx="42">
                  <c:v>31.965913613946011</c:v>
                </c:pt>
                <c:pt idx="43">
                  <c:v>31.76429781262161</c:v>
                </c:pt>
                <c:pt idx="44">
                  <c:v>31.562748650195513</c:v>
                </c:pt>
                <c:pt idx="45">
                  <c:v>31.361263617936231</c:v>
                </c:pt>
                <c:pt idx="46">
                  <c:v>31.159840280044392</c:v>
                </c:pt>
                <c:pt idx="47">
                  <c:v>30.958476273397181</c:v>
                </c:pt>
                <c:pt idx="48">
                  <c:v>30.757169307090763</c:v>
                </c:pt>
                <c:pt idx="49">
                  <c:v>30.555917161802398</c:v>
                </c:pt>
                <c:pt idx="50">
                  <c:v>30.354717688992231</c:v>
                </c:pt>
                <c:pt idx="51">
                  <c:v>30.153568809964032</c:v>
                </c:pt>
                <c:pt idx="52">
                  <c:v>29.952468514802039</c:v>
                </c:pt>
                <c:pt idx="53">
                  <c:v>29.751414861199589</c:v>
                </c:pt>
                <c:pt idx="54">
                  <c:v>29.550405973196355</c:v>
                </c:pt>
                <c:pt idx="55">
                  <c:v>29.349440039835635</c:v>
                </c:pt>
                <c:pt idx="56">
                  <c:v>29.148515313756384</c:v>
                </c:pt>
                <c:pt idx="57">
                  <c:v>28.94763010973023</c:v>
                </c:pt>
                <c:pt idx="58">
                  <c:v>28.746782803154872</c:v>
                </c:pt>
                <c:pt idx="59">
                  <c:v>28.545971828513078</c:v>
                </c:pt>
                <c:pt idx="60">
                  <c:v>28.345195677806537</c:v>
                </c:pt>
                <c:pt idx="61">
                  <c:v>28.144452898971618</c:v>
                </c:pt>
                <c:pt idx="62">
                  <c:v>27.943742094285287</c:v>
                </c:pt>
                <c:pt idx="63">
                  <c:v>27.743061918766418</c:v>
                </c:pt>
                <c:pt idx="64">
                  <c:v>27.542411078579129</c:v>
                </c:pt>
                <c:pt idx="65">
                  <c:v>27.341788329442785</c:v>
                </c:pt>
                <c:pt idx="66">
                  <c:v>27.141192475053352</c:v>
                </c:pt>
                <c:pt idx="67">
                  <c:v>26.940622365519754</c:v>
                </c:pt>
                <c:pt idx="68">
                  <c:v>26.740076895819161</c:v>
                </c:pt>
                <c:pt idx="69">
                  <c:v>26.539555004273737</c:v>
                </c:pt>
                <c:pt idx="70">
                  <c:v>26.339055671051774</c:v>
                </c:pt>
                <c:pt idx="71">
                  <c:v>26.138577916695837</c:v>
                </c:pt>
                <c:pt idx="72">
                  <c:v>25.938120800678117</c:v>
                </c:pt>
                <c:pt idx="73">
                  <c:v>25.737683419986737</c:v>
                </c:pt>
                <c:pt idx="74">
                  <c:v>25.537264907742628</c:v>
                </c:pt>
                <c:pt idx="75">
                  <c:v>25.336864431849317</c:v>
                </c:pt>
                <c:pt idx="76">
                  <c:v>25.136481193674665</c:v>
                </c:pt>
                <c:pt idx="77">
                  <c:v>24.936114426766132</c:v>
                </c:pt>
                <c:pt idx="78">
                  <c:v>24.735763395601055</c:v>
                </c:pt>
                <c:pt idx="79">
                  <c:v>24.535427394369727</c:v>
                </c:pt>
                <c:pt idx="80">
                  <c:v>24.335105745792536</c:v>
                </c:pt>
                <c:pt idx="81">
                  <c:v>24.134797799971803</c:v>
                </c:pt>
                <c:pt idx="82">
                  <c:v>23.93450293327685</c:v>
                </c:pt>
                <c:pt idx="83">
                  <c:v>23.734220547262158</c:v>
                </c:pt>
                <c:pt idx="84">
                  <c:v>23.533950067619269</c:v>
                </c:pt>
                <c:pt idx="85">
                  <c:v>23.333690943160121</c:v>
                </c:pt>
                <c:pt idx="86">
                  <c:v>23.133442644833156</c:v>
                </c:pt>
                <c:pt idx="87">
                  <c:v>22.93320466477001</c:v>
                </c:pt>
                <c:pt idx="88">
                  <c:v>22.732976515363184</c:v>
                </c:pt>
                <c:pt idx="89">
                  <c:v>22.532757728373397</c:v>
                </c:pt>
                <c:pt idx="90">
                  <c:v>22.332547854065407</c:v>
                </c:pt>
                <c:pt idx="91">
                  <c:v>22.132346460373256</c:v>
                </c:pt>
                <c:pt idx="92">
                  <c:v>21.932153132091567</c:v>
                </c:pt>
                <c:pt idx="93">
                  <c:v>21.731967470094599</c:v>
                </c:pt>
                <c:pt idx="94">
                  <c:v>21.531789090579927</c:v>
                </c:pt>
                <c:pt idx="95">
                  <c:v>21.331617624337788</c:v>
                </c:pt>
                <c:pt idx="96">
                  <c:v>21.131452716043796</c:v>
                </c:pt>
                <c:pt idx="97">
                  <c:v>20.931294023575454</c:v>
                </c:pt>
                <c:pt idx="98">
                  <c:v>20.731141217349396</c:v>
                </c:pt>
                <c:pt idx="99">
                  <c:v>20.530993979681575</c:v>
                </c:pt>
                <c:pt idx="100">
                  <c:v>20.330852004167173</c:v>
                </c:pt>
                <c:pt idx="101">
                  <c:v>20.130714995079341</c:v>
                </c:pt>
                <c:pt idx="102">
                  <c:v>19.9305826667877</c:v>
                </c:pt>
                <c:pt idx="103">
                  <c:v>19.730454743194027</c:v>
                </c:pt>
                <c:pt idx="104">
                  <c:v>19.530330957185175</c:v>
                </c:pt>
                <c:pt idx="105">
                  <c:v>19.330211050101564</c:v>
                </c:pt>
                <c:pt idx="106">
                  <c:v>19.130094771221479</c:v>
                </c:pt>
                <c:pt idx="107">
                  <c:v>18.929981877259468</c:v>
                </c:pt>
                <c:pt idx="108">
                  <c:v>18.729872131878686</c:v>
                </c:pt>
                <c:pt idx="109">
                  <c:v>18.52976530521563</c:v>
                </c:pt>
                <c:pt idx="110">
                  <c:v>18.32966117341703</c:v>
                </c:pt>
                <c:pt idx="111">
                  <c:v>18.129559518188266</c:v>
                </c:pt>
                <c:pt idx="112">
                  <c:v>17.92946012635193</c:v>
                </c:pt>
                <c:pt idx="113">
                  <c:v>17.729362789416228</c:v>
                </c:pt>
                <c:pt idx="114">
                  <c:v>17.529267303152224</c:v>
                </c:pt>
                <c:pt idx="115">
                  <c:v>17.329173467179615</c:v>
                </c:pt>
                <c:pt idx="116">
                  <c:v>17.129081084559811</c:v>
                </c:pt>
                <c:pt idx="117">
                  <c:v>16.928989961395843</c:v>
                </c:pt>
                <c:pt idx="118">
                  <c:v>16.728899906438187</c:v>
                </c:pt>
                <c:pt idx="119">
                  <c:v>16.528810730696584</c:v>
                </c:pt>
                <c:pt idx="120">
                  <c:v>16.328722247055964</c:v>
                </c:pt>
                <c:pt idx="121">
                  <c:v>16.128634269896484</c:v>
                </c:pt>
                <c:pt idx="122">
                  <c:v>15.928546614717751</c:v>
                </c:pt>
                <c:pt idx="123">
                  <c:v>15.728459097764311</c:v>
                </c:pt>
                <c:pt idx="124">
                  <c:v>15.528371535654738</c:v>
                </c:pt>
                <c:pt idx="125">
                  <c:v>15.328283745011531</c:v>
                </c:pt>
                <c:pt idx="126">
                  <c:v>15.128195542091067</c:v>
                </c:pt>
                <c:pt idx="127">
                  <c:v>14.92810674241537</c:v>
                </c:pt>
                <c:pt idx="128">
                  <c:v>14.72801716040239</c:v>
                </c:pt>
                <c:pt idx="129">
                  <c:v>14.527926608994907</c:v>
                </c:pt>
                <c:pt idx="130">
                  <c:v>14.327834899289194</c:v>
                </c:pt>
                <c:pt idx="131">
                  <c:v>14.127741840159908</c:v>
                </c:pt>
                <c:pt idx="132">
                  <c:v>13.927647237883676</c:v>
                </c:pt>
                <c:pt idx="133">
                  <c:v>13.727550895757732</c:v>
                </c:pt>
                <c:pt idx="134">
                  <c:v>13.527452613716207</c:v>
                </c:pt>
                <c:pt idx="135">
                  <c:v>13.3273521879408</c:v>
                </c:pt>
                <c:pt idx="136">
                  <c:v>13.127249410467122</c:v>
                </c:pt>
                <c:pt idx="137">
                  <c:v>12.927144068784738</c:v>
                </c:pt>
                <c:pt idx="138">
                  <c:v>12.727035945432096</c:v>
                </c:pt>
                <c:pt idx="139">
                  <c:v>12.526924817584044</c:v>
                </c:pt>
                <c:pt idx="140">
                  <c:v>12.326810456632948</c:v>
                </c:pt>
                <c:pt idx="141">
                  <c:v>12.126692627761637</c:v>
                </c:pt>
                <c:pt idx="142">
                  <c:v>11.92657108950884</c:v>
                </c:pt>
                <c:pt idx="143">
                  <c:v>11.726445593326162</c:v>
                </c:pt>
                <c:pt idx="144">
                  <c:v>11.526315883125992</c:v>
                </c:pt>
                <c:pt idx="145">
                  <c:v>11.326181694820397</c:v>
                </c:pt>
                <c:pt idx="146">
                  <c:v>11.126042755850523</c:v>
                </c:pt>
                <c:pt idx="147">
                  <c:v>10.925898784706018</c:v>
                </c:pt>
                <c:pt idx="148">
                  <c:v>10.725749490434147</c:v>
                </c:pt>
                <c:pt idx="149">
                  <c:v>10.525594572139113</c:v>
                </c:pt>
                <c:pt idx="150">
                  <c:v>10.325433718469988</c:v>
                </c:pt>
                <c:pt idx="151">
                  <c:v>10.125266607098576</c:v>
                </c:pt>
                <c:pt idx="152">
                  <c:v>9.925092904186231</c:v>
                </c:pt>
                <c:pt idx="153">
                  <c:v>9.7249122638397374</c:v>
                </c:pt>
                <c:pt idx="154">
                  <c:v>9.524724327556374</c:v>
                </c:pt>
                <c:pt idx="155">
                  <c:v>9.3245287236586698</c:v>
                </c:pt>
                <c:pt idx="156">
                  <c:v>9.1243250667184466</c:v>
                </c:pt>
                <c:pt idx="157">
                  <c:v>8.9241129569702178</c:v>
                </c:pt>
                <c:pt idx="158">
                  <c:v>8.7238919797156917</c:v>
                </c:pt>
                <c:pt idx="159">
                  <c:v>8.5236617047182186</c:v>
                </c:pt>
                <c:pt idx="160">
                  <c:v>8.3234216855886896</c:v>
                </c:pt>
                <c:pt idx="161">
                  <c:v>8.1231714591637214</c:v>
                </c:pt>
                <c:pt idx="162">
                  <c:v>7.9229105448766841</c:v>
                </c:pt>
                <c:pt idx="163">
                  <c:v>7.7226384441222589</c:v>
                </c:pt>
                <c:pt idx="164">
                  <c:v>7.5223546396166707</c:v>
                </c:pt>
                <c:pt idx="165">
                  <c:v>7.3220585947540187</c:v>
                </c:pt>
                <c:pt idx="166">
                  <c:v>7.1217497529609801</c:v>
                </c:pt>
                <c:pt idx="167">
                  <c:v>6.9214275370507572</c:v>
                </c:pt>
                <c:pt idx="168">
                  <c:v>6.7210913485794066</c:v>
                </c:pt>
                <c:pt idx="169">
                  <c:v>6.5207405672056549</c:v>
                </c:pt>
                <c:pt idx="170">
                  <c:v>6.3203745500571511</c:v>
                </c:pt>
                <c:pt idx="171">
                  <c:v>6.1199926311059354</c:v>
                </c:pt>
                <c:pt idx="172">
                  <c:v>5.9195941205558134</c:v>
                </c:pt>
                <c:pt idx="173">
                  <c:v>5.7191783042447408</c:v>
                </c:pt>
                <c:pt idx="174">
                  <c:v>5.5187444430663497</c:v>
                </c:pt>
                <c:pt idx="175">
                  <c:v>5.3182917724139687</c:v>
                </c:pt>
                <c:pt idx="176">
                  <c:v>5.1178195016516224</c:v>
                </c:pt>
                <c:pt idx="177">
                  <c:v>4.9173268136150874</c:v>
                </c:pt>
                <c:pt idx="178">
                  <c:v>4.7168128641512936</c:v>
                </c:pt>
                <c:pt idx="179">
                  <c:v>4.5162767816970426</c:v>
                </c:pt>
                <c:pt idx="180">
                  <c:v>4.3157176669050008</c:v>
                </c:pt>
                <c:pt idx="181">
                  <c:v>4.1151345923226943</c:v>
                </c:pt>
                <c:pt idx="182">
                  <c:v>3.9145266021301142</c:v>
                </c:pt>
                <c:pt idx="183">
                  <c:v>3.7138927119422571</c:v>
                </c:pt>
                <c:pt idx="184">
                  <c:v>3.5132319086848223</c:v>
                </c:pt>
                <c:pt idx="185">
                  <c:v>3.3125431505474943</c:v>
                </c:pt>
                <c:pt idx="186">
                  <c:v>3.1118253670257836</c:v>
                </c:pt>
                <c:pt idx="187">
                  <c:v>2.9110774590556456</c:v>
                </c:pt>
                <c:pt idx="188">
                  <c:v>2.7102982992512414</c:v>
                </c:pt>
                <c:pt idx="189">
                  <c:v>2.50948673225209</c:v>
                </c:pt>
                <c:pt idx="190">
                  <c:v>2.3086415751884126</c:v>
                </c:pt>
                <c:pt idx="191">
                  <c:v>2.1077616182732717</c:v>
                </c:pt>
                <c:pt idx="192">
                  <c:v>1.9068456255274489</c:v>
                </c:pt>
                <c:pt idx="193">
                  <c:v>1.7058923356472362</c:v>
                </c:pt>
                <c:pt idx="194">
                  <c:v>1.5049004630214802</c:v>
                </c:pt>
                <c:pt idx="195">
                  <c:v>1.3038686989042205</c:v>
                </c:pt>
                <c:pt idx="196">
                  <c:v>1.1027957127514254</c:v>
                </c:pt>
                <c:pt idx="197">
                  <c:v>0.90168015372500132</c:v>
                </c:pt>
                <c:pt idx="198">
                  <c:v>0.70052065237250183</c:v>
                </c:pt>
                <c:pt idx="199">
                  <c:v>0.49931582248190909</c:v>
                </c:pt>
                <c:pt idx="200">
                  <c:v>0.29806426311967521</c:v>
                </c:pt>
                <c:pt idx="201">
                  <c:v>9.6764560846854031E-2</c:v>
                </c:pt>
                <c:pt idx="202">
                  <c:v>-0.10458470788007859</c:v>
                </c:pt>
                <c:pt idx="203">
                  <c:v>-0.30598497413231512</c:v>
                </c:pt>
                <c:pt idx="204">
                  <c:v>-0.50743767375645132</c:v>
                </c:pt>
                <c:pt idx="205">
                  <c:v>-0.70894424445447524</c:v>
                </c:pt>
                <c:pt idx="206">
                  <c:v>-0.91050612270636955</c:v>
                </c:pt>
                <c:pt idx="207">
                  <c:v>-1.1121247405457706</c:v>
                </c:pt>
                <c:pt idx="208">
                  <c:v>-1.3138015222057773</c:v>
                </c:pt>
                <c:pt idx="209">
                  <c:v>-1.5155378806521189</c:v>
                </c:pt>
                <c:pt idx="210">
                  <c:v>-1.7173352140263429</c:v>
                </c:pt>
                <c:pt idx="211">
                  <c:v>-1.9191949020236201</c:v>
                </c:pt>
                <c:pt idx="212">
                  <c:v>-2.121118302235788</c:v>
                </c:pt>
                <c:pt idx="213">
                  <c:v>-2.3231067464913209</c:v>
                </c:pt>
                <c:pt idx="214">
                  <c:v>-2.5251615372298137</c:v>
                </c:pt>
                <c:pt idx="215">
                  <c:v>-2.7272839439514778</c:v>
                </c:pt>
                <c:pt idx="216">
                  <c:v>-2.9294751997857555</c:v>
                </c:pt>
                <c:pt idx="217">
                  <c:v>-3.1317364982272187</c:v>
                </c:pt>
                <c:pt idx="218">
                  <c:v>-3.3340689900900204</c:v>
                </c:pt>
                <c:pt idx="219">
                  <c:v>-3.5364737807342421</c:v>
                </c:pt>
                <c:pt idx="220">
                  <c:v>-3.7389519276223804</c:v>
                </c:pt>
                <c:pt idx="221">
                  <c:v>-3.941504438262728</c:v>
                </c:pt>
                <c:pt idx="222">
                  <c:v>-4.1441322686017381</c:v>
                </c:pt>
                <c:pt idx="223">
                  <c:v>-4.3468363219252826</c:v>
                </c:pt>
                <c:pt idx="224">
                  <c:v>-4.5496174483297063</c:v>
                </c:pt>
                <c:pt idx="225">
                  <c:v>-4.7524764448234373</c:v>
                </c:pt>
                <c:pt idx="226">
                  <c:v>-4.9554140561180322</c:v>
                </c:pt>
                <c:pt idx="227">
                  <c:v>-5.1584309761620792</c:v>
                </c:pt>
                <c:pt idx="228">
                  <c:v>-5.3615278504728234</c:v>
                </c:pt>
                <c:pt idx="229">
                  <c:v>-5.5647052793114042</c:v>
                </c:pt>
                <c:pt idx="230">
                  <c:v>-5.7679638217429066</c:v>
                </c:pt>
                <c:pt idx="231">
                  <c:v>-5.9713040006167919</c:v>
                </c:pt>
                <c:pt idx="232">
                  <c:v>-6.1747263084944262</c:v>
                </c:pt>
                <c:pt idx="233">
                  <c:v>-6.378231214543213</c:v>
                </c:pt>
                <c:pt idx="234">
                  <c:v>-6.5818191724041286</c:v>
                </c:pt>
                <c:pt idx="235">
                  <c:v>-6.7854906290354444</c:v>
                </c:pt>
                <c:pt idx="236">
                  <c:v>-6.9892460345179774</c:v>
                </c:pt>
                <c:pt idx="237">
                  <c:v>-7.1930858528019677</c:v>
                </c:pt>
                <c:pt idx="238">
                  <c:v>-7.3970105733619604</c:v>
                </c:pt>
                <c:pt idx="239">
                  <c:v>-7.6010207237143179</c:v>
                </c:pt>
                <c:pt idx="240">
                  <c:v>-7.8051168827442154</c:v>
                </c:pt>
                <c:pt idx="241">
                  <c:v>-8.0092996947762121</c:v>
                </c:pt>
                <c:pt idx="242">
                  <c:v>-8.2135698843125624</c:v>
                </c:pt>
                <c:pt idx="243">
                  <c:v>-8.4179282713564909</c:v>
                </c:pt>
                <c:pt idx="244">
                  <c:v>-8.6223757872280373</c:v>
                </c:pt>
                <c:pt idx="245">
                  <c:v>-8.8269134907743165</c:v>
                </c:pt>
                <c:pt idx="246">
                  <c:v>-9.0315425848691433</c:v>
                </c:pt>
                <c:pt idx="247">
                  <c:v>-9.2362644330945756</c:v>
                </c:pt>
                <c:pt idx="248">
                  <c:v>-9.4410805764928867</c:v>
                </c:pt>
                <c:pt idx="249">
                  <c:v>-9.6459927502768732</c:v>
                </c:pt>
                <c:pt idx="250">
                  <c:v>-9.8510029003855593</c:v>
                </c:pt>
                <c:pt idx="251">
                  <c:v>-10.056113199775842</c:v>
                </c:pt>
                <c:pt idx="252">
                  <c:v>-10.26132606434053</c:v>
                </c:pt>
                <c:pt idx="253">
                  <c:v>-10.466644168350532</c:v>
                </c:pt>
                <c:pt idx="254">
                  <c:v>-10.672070459321381</c:v>
                </c:pt>
                <c:pt idx="255">
                  <c:v>-10.877608172211543</c:v>
                </c:pt>
                <c:pt idx="256">
                  <c:v>-11.083260842866004</c:v>
                </c:pt>
                <c:pt idx="257">
                  <c:v>-11.28903232062685</c:v>
                </c:pt>
                <c:pt idx="258">
                  <c:v>-11.494926780037879</c:v>
                </c:pt>
                <c:pt idx="259">
                  <c:v>-11.700948731580649</c:v>
                </c:pt>
                <c:pt idx="260">
                  <c:v>-11.907103031383055</c:v>
                </c:pt>
                <c:pt idx="261">
                  <c:v>-12.11339488985211</c:v>
                </c:pt>
                <c:pt idx="262">
                  <c:v>-12.31982987918747</c:v>
                </c:pt>
                <c:pt idx="263">
                  <c:v>-12.526413939736651</c:v>
                </c:pt>
                <c:pt idx="264">
                  <c:v>-12.733153385160954</c:v>
                </c:pt>
                <c:pt idx="265">
                  <c:v>-12.94005490638266</c:v>
                </c:pt>
                <c:pt idx="266">
                  <c:v>-13.147125574288072</c:v>
                </c:pt>
                <c:pt idx="267">
                  <c:v>-13.354372841163613</c:v>
                </c:pt>
                <c:pt idx="268">
                  <c:v>-13.561804540841223</c:v>
                </c:pt>
                <c:pt idx="269">
                  <c:v>-13.769428887531653</c:v>
                </c:pt>
                <c:pt idx="270">
                  <c:v>-13.977254473320951</c:v>
                </c:pt>
                <c:pt idx="271">
                  <c:v>-14.185290264304227</c:v>
                </c:pt>
                <c:pt idx="272">
                  <c:v>-14.393545595327485</c:v>
                </c:pt>
                <c:pt idx="273">
                  <c:v>-14.602030163305049</c:v>
                </c:pt>
                <c:pt idx="274">
                  <c:v>-14.810754019074434</c:v>
                </c:pt>
                <c:pt idx="275">
                  <c:v>-15.019727557745288</c:v>
                </c:pt>
                <c:pt idx="276">
                  <c:v>-15.228961507496832</c:v>
                </c:pt>
                <c:pt idx="277">
                  <c:v>-15.438466916766886</c:v>
                </c:pt>
                <c:pt idx="278">
                  <c:v>-15.648255139776087</c:v>
                </c:pt>
                <c:pt idx="279">
                  <c:v>-15.858337820320511</c:v>
                </c:pt>
                <c:pt idx="280">
                  <c:v>-16.068726873764813</c:v>
                </c:pt>
                <c:pt idx="281">
                  <c:v>-16.279434467160577</c:v>
                </c:pt>
                <c:pt idx="282">
                  <c:v>-16.490472997413267</c:v>
                </c:pt>
                <c:pt idx="283">
                  <c:v>-16.701855067416879</c:v>
                </c:pt>
                <c:pt idx="284">
                  <c:v>-16.913593460075816</c:v>
                </c:pt>
                <c:pt idx="285">
                  <c:v>-17.12570111013337</c:v>
                </c:pt>
                <c:pt idx="286">
                  <c:v>-17.338191073725845</c:v>
                </c:pt>
                <c:pt idx="287">
                  <c:v>-17.551076495589452</c:v>
                </c:pt>
                <c:pt idx="288">
                  <c:v>-17.764370573849106</c:v>
                </c:pt>
                <c:pt idx="289">
                  <c:v>-17.978086522328816</c:v>
                </c:pt>
                <c:pt idx="290">
                  <c:v>-18.192237530333184</c:v>
                </c:pt>
                <c:pt idx="291">
                  <c:v>-18.406836719862071</c:v>
                </c:pt>
                <c:pt idx="292">
                  <c:v>-18.621897100239305</c:v>
                </c:pt>
                <c:pt idx="293">
                  <c:v>-18.837431520150744</c:v>
                </c:pt>
                <c:pt idx="294">
                  <c:v>-19.053452617114424</c:v>
                </c:pt>
                <c:pt idx="295">
                  <c:v>-19.269972764424626</c:v>
                </c:pt>
                <c:pt idx="296">
                  <c:v>-19.487004015644334</c:v>
                </c:pt>
                <c:pt idx="297">
                  <c:v>-19.704558046747859</c:v>
                </c:pt>
                <c:pt idx="298">
                  <c:v>-19.922646096052073</c:v>
                </c:pt>
                <c:pt idx="299">
                  <c:v>-20.141278902107622</c:v>
                </c:pt>
                <c:pt idx="300">
                  <c:v>-20.360466639763239</c:v>
                </c:pt>
                <c:pt idx="301">
                  <c:v>-20.580218854655449</c:v>
                </c:pt>
                <c:pt idx="302">
                  <c:v>-20.80054439641782</c:v>
                </c:pt>
                <c:pt idx="303">
                  <c:v>-21.021451350951214</c:v>
                </c:pt>
                <c:pt idx="304">
                  <c:v>-21.242946972135339</c:v>
                </c:pt>
                <c:pt idx="305">
                  <c:v>-21.465037613413127</c:v>
                </c:pt>
                <c:pt idx="306">
                  <c:v>-21.687728659718132</c:v>
                </c:pt>
                <c:pt idx="307">
                  <c:v>-21.911024460260357</c:v>
                </c:pt>
                <c:pt idx="308">
                  <c:v>-22.134928262727101</c:v>
                </c:pt>
                <c:pt idx="309">
                  <c:v>-22.35944214949064</c:v>
                </c:pt>
                <c:pt idx="310">
                  <c:v>-22.584566976449306</c:v>
                </c:pt>
                <c:pt idx="311">
                  <c:v>-22.810302315156626</c:v>
                </c:pt>
                <c:pt idx="312">
                  <c:v>-23.036646398914826</c:v>
                </c:pt>
                <c:pt idx="313">
                  <c:v>-23.263596073525171</c:v>
                </c:pt>
                <c:pt idx="314">
                  <c:v>-23.491146753394286</c:v>
                </c:pt>
                <c:pt idx="315">
                  <c:v>-23.719292383693762</c:v>
                </c:pt>
                <c:pt idx="316">
                  <c:v>-23.94802540926079</c:v>
                </c:pt>
                <c:pt idx="317">
                  <c:v>-24.177336750904903</c:v>
                </c:pt>
                <c:pt idx="318">
                  <c:v>-24.407215789755096</c:v>
                </c:pt>
                <c:pt idx="319">
                  <c:v>-24.637650360237821</c:v>
                </c:pt>
                <c:pt idx="320">
                  <c:v>-24.868626752223463</c:v>
                </c:pt>
                <c:pt idx="321">
                  <c:v>-25.100129722812383</c:v>
                </c:pt>
                <c:pt idx="322">
                  <c:v>-25.332142518157852</c:v>
                </c:pt>
                <c:pt idx="323">
                  <c:v>-25.564646905634852</c:v>
                </c:pt>
                <c:pt idx="324">
                  <c:v>-25.797623216571708</c:v>
                </c:pt>
                <c:pt idx="325">
                  <c:v>-26.031050399655697</c:v>
                </c:pt>
                <c:pt idx="326">
                  <c:v>-26.264906085014253</c:v>
                </c:pt>
                <c:pt idx="327">
                  <c:v>-26.499166658860446</c:v>
                </c:pt>
                <c:pt idx="328">
                  <c:v>-26.73380734846905</c:v>
                </c:pt>
                <c:pt idx="329">
                  <c:v>-26.968802317132802</c:v>
                </c:pt>
                <c:pt idx="330">
                  <c:v>-27.204124768625071</c:v>
                </c:pt>
                <c:pt idx="331">
                  <c:v>-27.439747060582775</c:v>
                </c:pt>
                <c:pt idx="332">
                  <c:v>-27.675640826105443</c:v>
                </c:pt>
                <c:pt idx="333">
                  <c:v>-27.911777102767243</c:v>
                </c:pt>
                <c:pt idx="334">
                  <c:v>-28.148126468136965</c:v>
                </c:pt>
                <c:pt idx="335">
                  <c:v>-28.384659180820119</c:v>
                </c:pt>
                <c:pt idx="336">
                  <c:v>-28.621345325961116</c:v>
                </c:pt>
                <c:pt idx="337">
                  <c:v>-28.858154964088754</c:v>
                </c:pt>
                <c:pt idx="338">
                  <c:v>-29.095058282142507</c:v>
                </c:pt>
                <c:pt idx="339">
                  <c:v>-29.332025745491176</c:v>
                </c:pt>
                <c:pt idx="340">
                  <c:v>-29.569028249746321</c:v>
                </c:pt>
                <c:pt idx="341">
                  <c:v>-29.806037271180891</c:v>
                </c:pt>
                <c:pt idx="342">
                  <c:v>-30.043025014584693</c:v>
                </c:pt>
                <c:pt idx="343">
                  <c:v>-30.279964557432052</c:v>
                </c:pt>
                <c:pt idx="344">
                  <c:v>-30.516829989292688</c:v>
                </c:pt>
                <c:pt idx="345">
                  <c:v>-30.753596545484726</c:v>
                </c:pt>
                <c:pt idx="346">
                  <c:v>-30.990240734054648</c:v>
                </c:pt>
                <c:pt idx="347">
                  <c:v>-31.226740455262771</c:v>
                </c:pt>
                <c:pt idx="348">
                  <c:v>-31.463075112855069</c:v>
                </c:pt>
                <c:pt idx="349">
                  <c:v>-31.699225716514153</c:v>
                </c:pt>
                <c:pt idx="350">
                  <c:v>-31.935174974997057</c:v>
                </c:pt>
                <c:pt idx="351">
                  <c:v>-32.170907379586644</c:v>
                </c:pt>
                <c:pt idx="352">
                  <c:v>-32.406409277600218</c:v>
                </c:pt>
                <c:pt idx="353">
                  <c:v>-32.641668935820306</c:v>
                </c:pt>
                <c:pt idx="354">
                  <c:v>-32.876676593824214</c:v>
                </c:pt>
                <c:pt idx="355">
                  <c:v>-33.111424507295212</c:v>
                </c:pt>
                <c:pt idx="356">
                  <c:v>-33.345906981508541</c:v>
                </c:pt>
                <c:pt idx="357">
                  <c:v>-33.580120395268764</c:v>
                </c:pt>
                <c:pt idx="358">
                  <c:v>-33.814063215668071</c:v>
                </c:pt>
                <c:pt idx="359">
                  <c:v>-34.047736004105637</c:v>
                </c:pt>
                <c:pt idx="360">
                  <c:v>-34.281141414069829</c:v>
                </c:pt>
                <c:pt idx="361">
                  <c:v>-34.514284181241635</c:v>
                </c:pt>
                <c:pt idx="362">
                  <c:v>-34.747171106515168</c:v>
                </c:pt>
                <c:pt idx="363">
                  <c:v>-34.979811032559056</c:v>
                </c:pt>
                <c:pt idx="364">
                  <c:v>-35.212214814567048</c:v>
                </c:pt>
                <c:pt idx="365">
                  <c:v>-35.444395285844969</c:v>
                </c:pt>
                <c:pt idx="366">
                  <c:v>-35.676367218886618</c:v>
                </c:pt>
                <c:pt idx="367">
                  <c:v>-35.908147282574696</c:v>
                </c:pt>
                <c:pt idx="368">
                  <c:v>-36.139753996125961</c:v>
                </c:pt>
                <c:pt idx="369">
                  <c:v>-36.371207680370595</c:v>
                </c:pt>
                <c:pt idx="370">
                  <c:v>-36.602530406921552</c:v>
                </c:pt>
                <c:pt idx="371">
                  <c:v>-36.833745945753094</c:v>
                </c:pt>
                <c:pt idx="372">
                  <c:v>-37.064879711660076</c:v>
                </c:pt>
                <c:pt idx="373">
                  <c:v>-37.295958710024372</c:v>
                </c:pt>
                <c:pt idx="374">
                  <c:v>-37.527011482265145</c:v>
                </c:pt>
                <c:pt idx="375">
                  <c:v>-37.75806805129384</c:v>
                </c:pt>
                <c:pt idx="376">
                  <c:v>-37.989159867248517</c:v>
                </c:pt>
                <c:pt idx="377">
                  <c:v>-38.220319753722642</c:v>
                </c:pt>
                <c:pt idx="378">
                  <c:v>-38.451581854653625</c:v>
                </c:pt>
                <c:pt idx="379">
                  <c:v>-38.682981581986155</c:v>
                </c:pt>
                <c:pt idx="380">
                  <c:v>-38.914555564174272</c:v>
                </c:pt>
                <c:pt idx="381">
                  <c:v>-39.146341595535858</c:v>
                </c:pt>
                <c:pt idx="382">
                  <c:v>-39.37837858643411</c:v>
                </c:pt>
                <c:pt idx="383">
                  <c:v>-39.610706514211422</c:v>
                </c:pt>
                <c:pt idx="384">
                  <c:v>-39.843366374768166</c:v>
                </c:pt>
                <c:pt idx="385">
                  <c:v>-40.076400134638234</c:v>
                </c:pt>
                <c:pt idx="386">
                  <c:v>-40.309850683383708</c:v>
                </c:pt>
                <c:pt idx="387">
                  <c:v>-40.543761786102749</c:v>
                </c:pt>
                <c:pt idx="388">
                  <c:v>-40.778178035820218</c:v>
                </c:pt>
                <c:pt idx="389">
                  <c:v>-41.013144805509434</c:v>
                </c:pt>
                <c:pt idx="390">
                  <c:v>-41.248708199477555</c:v>
                </c:pt>
                <c:pt idx="391">
                  <c:v>-41.484915003838651</c:v>
                </c:pt>
                <c:pt idx="392">
                  <c:v>-41.721812635785334</c:v>
                </c:pt>
                <c:pt idx="393">
                  <c:v>-41.959449091371042</c:v>
                </c:pt>
                <c:pt idx="394">
                  <c:v>-42.197872891515615</c:v>
                </c:pt>
                <c:pt idx="395">
                  <c:v>-42.437133025951077</c:v>
                </c:pt>
                <c:pt idx="396">
                  <c:v>-42.677278894837407</c:v>
                </c:pt>
                <c:pt idx="397">
                  <c:v>-42.918360247789224</c:v>
                </c:pt>
                <c:pt idx="398">
                  <c:v>-43.160427120079241</c:v>
                </c:pt>
                <c:pt idx="399">
                  <c:v>-43.40352976580143</c:v>
                </c:pt>
                <c:pt idx="400">
                  <c:v>-43.647718587810687</c:v>
                </c:pt>
                <c:pt idx="401">
                  <c:v>-43.893044064284872</c:v>
                </c:pt>
                <c:pt idx="402">
                  <c:v>-44.139556671792917</c:v>
                </c:pt>
                <c:pt idx="403">
                  <c:v>-44.387306804793042</c:v>
                </c:pt>
                <c:pt idx="404">
                  <c:v>-44.636344691530638</c:v>
                </c:pt>
                <c:pt idx="405">
                  <c:v>-44.886720306348209</c:v>
                </c:pt>
                <c:pt idx="406">
                  <c:v>-45.138483278478468</c:v>
                </c:pt>
                <c:pt idx="407">
                  <c:v>-45.3916827974368</c:v>
                </c:pt>
                <c:pt idx="408">
                  <c:v>-45.646367515190256</c:v>
                </c:pt>
                <c:pt idx="409">
                  <c:v>-45.90258544533291</c:v>
                </c:pt>
                <c:pt idx="410">
                  <c:v>-46.16038385955973</c:v>
                </c:pt>
                <c:pt idx="411">
                  <c:v>-46.419809181783087</c:v>
                </c:pt>
                <c:pt idx="412">
                  <c:v>-46.680906880298323</c:v>
                </c:pt>
                <c:pt idx="413">
                  <c:v>-46.943721358456934</c:v>
                </c:pt>
                <c:pt idx="414">
                  <c:v>-47.208295844359583</c:v>
                </c:pt>
                <c:pt idx="415">
                  <c:v>-47.474672280133383</c:v>
                </c:pt>
                <c:pt idx="416">
                  <c:v>-47.742891211399254</c:v>
                </c:pt>
                <c:pt idx="417">
                  <c:v>-48.012991677579315</c:v>
                </c:pt>
                <c:pt idx="418">
                  <c:v>-48.285011103726163</c:v>
                </c:pt>
                <c:pt idx="419">
                  <c:v>-48.558985194584743</c:v>
                </c:pt>
                <c:pt idx="420">
                  <c:v>-48.834947831617313</c:v>
                </c:pt>
                <c:pt idx="421">
                  <c:v>-49.11293097373111</c:v>
                </c:pt>
                <c:pt idx="422">
                  <c:v>-49.392964562454694</c:v>
                </c:pt>
                <c:pt idx="423">
                  <c:v>-49.67507643229883</c:v>
                </c:pt>
                <c:pt idx="424">
                  <c:v>-49.959292227021905</c:v>
                </c:pt>
                <c:pt idx="425">
                  <c:v>-50.245635322495261</c:v>
                </c:pt>
                <c:pt idx="426">
                  <c:v>-50.534126756825806</c:v>
                </c:pt>
                <c:pt idx="427">
                  <c:v>-50.82478516834783</c:v>
                </c:pt>
                <c:pt idx="428">
                  <c:v>-51.117626742042688</c:v>
                </c:pt>
                <c:pt idx="429">
                  <c:v>-51.412665164882398</c:v>
                </c:pt>
                <c:pt idx="430">
                  <c:v>-51.709911590519262</c:v>
                </c:pt>
                <c:pt idx="431">
                  <c:v>-52.009374613671078</c:v>
                </c:pt>
                <c:pt idx="432">
                  <c:v>-52.311060254464721</c:v>
                </c:pt>
                <c:pt idx="433">
                  <c:v>-52.614971952917678</c:v>
                </c:pt>
                <c:pt idx="434">
                  <c:v>-52.921110573642736</c:v>
                </c:pt>
                <c:pt idx="435">
                  <c:v>-53.229474420773798</c:v>
                </c:pt>
                <c:pt idx="436">
                  <c:v>-53.540059263015998</c:v>
                </c:pt>
                <c:pt idx="437">
                  <c:v>-53.852858368634529</c:v>
                </c:pt>
                <c:pt idx="438">
                  <c:v>-54.167862550108836</c:v>
                </c:pt>
                <c:pt idx="439">
                  <c:v>-54.485060218093444</c:v>
                </c:pt>
                <c:pt idx="440">
                  <c:v>-54.804437444251491</c:v>
                </c:pt>
                <c:pt idx="441">
                  <c:v>-55.125978032452288</c:v>
                </c:pt>
                <c:pt idx="442">
                  <c:v>-55.449663597760157</c:v>
                </c:pt>
                <c:pt idx="443">
                  <c:v>-55.775473652586896</c:v>
                </c:pt>
                <c:pt idx="444">
                  <c:v>-56.103385699330872</c:v>
                </c:pt>
                <c:pt idx="445">
                  <c:v>-56.433375328787662</c:v>
                </c:pt>
                <c:pt idx="446">
                  <c:v>-56.765416323588951</c:v>
                </c:pt>
                <c:pt idx="447">
                  <c:v>-57.099480765906669</c:v>
                </c:pt>
                <c:pt idx="448">
                  <c:v>-57.43553914864809</c:v>
                </c:pt>
                <c:pt idx="449">
                  <c:v>-57.773560489370382</c:v>
                </c:pt>
                <c:pt idx="450">
                  <c:v>-58.11351244614643</c:v>
                </c:pt>
                <c:pt idx="451">
                  <c:v>-58.455361434634</c:v>
                </c:pt>
                <c:pt idx="452">
                  <c:v>-58.799072745620265</c:v>
                </c:pt>
                <c:pt idx="453">
                  <c:v>-59.144610662348768</c:v>
                </c:pt>
                <c:pt idx="454">
                  <c:v>-59.491938576966859</c:v>
                </c:pt>
                <c:pt idx="455">
                  <c:v>-59.841019105476818</c:v>
                </c:pt>
                <c:pt idx="456">
                  <c:v>-60.191814200617145</c:v>
                </c:pt>
                <c:pt idx="457">
                  <c:v>-60.544285262150851</c:v>
                </c:pt>
                <c:pt idx="458">
                  <c:v>-60.898393244085945</c:v>
                </c:pt>
                <c:pt idx="459">
                  <c:v>-61.254098758408958</c:v>
                </c:pt>
                <c:pt idx="460">
                  <c:v>-61.611362174961847</c:v>
                </c:pt>
                <c:pt idx="461">
                  <c:v>-61.970143717148218</c:v>
                </c:pt>
                <c:pt idx="462">
                  <c:v>-62.330403553206295</c:v>
                </c:pt>
                <c:pt idx="463">
                  <c:v>-62.692101882835409</c:v>
                </c:pt>
                <c:pt idx="464">
                  <c:v>-63.05519901901414</c:v>
                </c:pt>
                <c:pt idx="465">
                  <c:v>-63.419655464892116</c:v>
                </c:pt>
                <c:pt idx="466">
                  <c:v>-63.785431985684262</c:v>
                </c:pt>
                <c:pt idx="467">
                  <c:v>-64.152489675533232</c:v>
                </c:pt>
                <c:pt idx="468">
                  <c:v>-64.520790019348567</c:v>
                </c:pt>
                <c:pt idx="469">
                  <c:v>-64.890294949660046</c:v>
                </c:pt>
                <c:pt idx="470">
                  <c:v>-65.260966898557029</c:v>
                </c:pt>
                <c:pt idx="471">
                  <c:v>-65.632768844813754</c:v>
                </c:pt>
                <c:pt idx="472">
                  <c:v>-66.005664356318348</c:v>
                </c:pt>
                <c:pt idx="473">
                  <c:v>-66.379617627955454</c:v>
                </c:pt>
                <c:pt idx="474">
                  <c:v>-66.754593515096815</c:v>
                </c:pt>
                <c:pt idx="475">
                  <c:v>-67.130557562878749</c:v>
                </c:pt>
                <c:pt idx="476">
                  <c:v>-67.507476031451745</c:v>
                </c:pt>
                <c:pt idx="477">
                  <c:v>-67.885315917399453</c:v>
                </c:pt>
                <c:pt idx="478">
                  <c:v>-68.264044971525692</c:v>
                </c:pt>
                <c:pt idx="479">
                  <c:v>-68.643631713220131</c:v>
                </c:pt>
                <c:pt idx="480">
                  <c:v>-69.024045441608195</c:v>
                </c:pt>
                <c:pt idx="481">
                  <c:v>-69.405256243692534</c:v>
                </c:pt>
                <c:pt idx="482">
                  <c:v>-69.787234999697347</c:v>
                </c:pt>
                <c:pt idx="483">
                  <c:v>-70.169953385814324</c:v>
                </c:pt>
                <c:pt idx="484">
                  <c:v>-70.553383874554271</c:v>
                </c:pt>
                <c:pt idx="485">
                  <c:v>-70.937499732897351</c:v>
                </c:pt>
                <c:pt idx="486">
                  <c:v>-71.322275018430446</c:v>
                </c:pt>
                <c:pt idx="487">
                  <c:v>-71.707684573655044</c:v>
                </c:pt>
                <c:pt idx="488">
                  <c:v>-72.0937040186366</c:v>
                </c:pt>
                <c:pt idx="489">
                  <c:v>-72.480309742167492</c:v>
                </c:pt>
                <c:pt idx="490">
                  <c:v>-72.867478891596505</c:v>
                </c:pt>
                <c:pt idx="491">
                  <c:v>-73.255189361478244</c:v>
                </c:pt>
                <c:pt idx="492">
                  <c:v>-73.643419781183312</c:v>
                </c:pt>
                <c:pt idx="493">
                  <c:v>-74.032149501601879</c:v>
                </c:pt>
                <c:pt idx="494">
                  <c:v>-74.421358581066585</c:v>
                </c:pt>
                <c:pt idx="495">
                  <c:v>-74.811027770609414</c:v>
                </c:pt>
                <c:pt idx="496">
                  <c:v>-75.201138498662786</c:v>
                </c:pt>
                <c:pt idx="497">
                  <c:v>-75.5916728553035</c:v>
                </c:pt>
                <c:pt idx="498">
                  <c:v>-75.982613576133105</c:v>
                </c:pt>
                <c:pt idx="499">
                  <c:v>-76.373944025879922</c:v>
                </c:pt>
                <c:pt idx="500">
                  <c:v>-76.765648181800103</c:v>
                </c:pt>
                <c:pt idx="501">
                  <c:v>-77.157710616950069</c:v>
                </c:pt>
                <c:pt idx="502">
                  <c:v>-77.550116483394561</c:v>
                </c:pt>
                <c:pt idx="503">
                  <c:v>-77.942851495409073</c:v>
                </c:pt>
                <c:pt idx="504">
                  <c:v>-78.335901912730549</c:v>
                </c:pt>
                <c:pt idx="505">
                  <c:v>-78.729254523902824</c:v>
                </c:pt>
                <c:pt idx="506">
                  <c:v>-79.122896629759808</c:v>
                </c:pt>
                <c:pt idx="507">
                  <c:v>-79.516816027084715</c:v>
                </c:pt>
                <c:pt idx="508">
                  <c:v>-79.911000992477938</c:v>
                </c:pt>
                <c:pt idx="509">
                  <c:v>-80.305440266462668</c:v>
                </c:pt>
                <c:pt idx="510">
                  <c:v>-80.700123037854951</c:v>
                </c:pt>
                <c:pt idx="511">
                  <c:v>-81.095038928418305</c:v>
                </c:pt>
                <c:pt idx="512">
                  <c:v>-81.490177977822697</c:v>
                </c:pt>
                <c:pt idx="513">
                  <c:v>-81.885530628923831</c:v>
                </c:pt>
                <c:pt idx="514">
                  <c:v>-82.281087713373864</c:v>
                </c:pt>
                <c:pt idx="515">
                  <c:v>-82.676840437576089</c:v>
                </c:pt>
                <c:pt idx="516">
                  <c:v>-83.072780368991033</c:v>
                </c:pt>
                <c:pt idx="517">
                  <c:v>-83.468899422798955</c:v>
                </c:pt>
                <c:pt idx="518">
                  <c:v>-83.865189848924871</c:v>
                </c:pt>
                <c:pt idx="519">
                  <c:v>-84.261644219426856</c:v>
                </c:pt>
                <c:pt idx="520">
                  <c:v>-84.658255416250483</c:v>
                </c:pt>
                <c:pt idx="521">
                  <c:v>-85.055016619347469</c:v>
                </c:pt>
                <c:pt idx="522">
                  <c:v>-85.451921295157376</c:v>
                </c:pt>
                <c:pt idx="523">
                  <c:v>-85.848963185450927</c:v>
                </c:pt>
                <c:pt idx="524">
                  <c:v>-86.246136296530707</c:v>
                </c:pt>
                <c:pt idx="525">
                  <c:v>-86.643434888783531</c:v>
                </c:pt>
                <c:pt idx="526">
                  <c:v>-87.040853466582234</c:v>
                </c:pt>
                <c:pt idx="527">
                  <c:v>-87.438386768528758</c:v>
                </c:pt>
                <c:pt idx="528">
                  <c:v>-87.836029758033348</c:v>
                </c:pt>
                <c:pt idx="529">
                  <c:v>-88.233777614224408</c:v>
                </c:pt>
                <c:pt idx="530">
                  <c:v>-88.631625723178587</c:v>
                </c:pt>
                <c:pt idx="531">
                  <c:v>-89.029569669468032</c:v>
                </c:pt>
                <c:pt idx="532">
                  <c:v>-89.427605228013235</c:v>
                </c:pt>
                <c:pt idx="533">
                  <c:v>-89.82572835623786</c:v>
                </c:pt>
                <c:pt idx="534">
                  <c:v>-90.22393518651306</c:v>
                </c:pt>
                <c:pt idx="535">
                  <c:v>-90.622222018887157</c:v>
                </c:pt>
                <c:pt idx="536">
                  <c:v>-91.020585314090511</c:v>
                </c:pt>
                <c:pt idx="537">
                  <c:v>-91.419021686808236</c:v>
                </c:pt>
                <c:pt idx="538">
                  <c:v>-91.817527899212791</c:v>
                </c:pt>
                <c:pt idx="539">
                  <c:v>-92.216100854747097</c:v>
                </c:pt>
                <c:pt idx="540">
                  <c:v>-92.614737592152437</c:v>
                </c:pt>
                <c:pt idx="541">
                  <c:v>-93.013435279731794</c:v>
                </c:pt>
              </c:numCache>
            </c:numRef>
          </c:yVal>
          <c:smooth val="1"/>
          <c:extLst>
            <c:ext xmlns:c16="http://schemas.microsoft.com/office/drawing/2014/chart" uri="{C3380CC4-5D6E-409C-BE32-E72D297353CC}">
              <c16:uniqueId val="{00000000-A13D-4DDF-8712-0E4D219187A5}"/>
            </c:ext>
          </c:extLst>
        </c:ser>
        <c:dLbls>
          <c:showLegendKey val="0"/>
          <c:showVal val="0"/>
          <c:showCatName val="0"/>
          <c:showSerName val="0"/>
          <c:showPercent val="0"/>
          <c:showBubbleSize val="0"/>
        </c:dLbls>
        <c:axId val="365455232"/>
        <c:axId val="365465600"/>
      </c:scatterChart>
      <c:scatterChart>
        <c:scatterStyle val="smoothMarker"/>
        <c:varyColors val="0"/>
        <c:ser>
          <c:idx val="1"/>
          <c:order val="1"/>
          <c:tx>
            <c:v>Phase (deg)</c:v>
          </c:tx>
          <c:spPr>
            <a:ln w="38100">
              <a:solidFill>
                <a:schemeClr val="tx1">
                  <a:lumMod val="95000"/>
                  <a:lumOff val="5000"/>
                </a:schemeClr>
              </a:solidFill>
              <a:prstDash val="sysDash"/>
            </a:ln>
          </c:spPr>
          <c:marker>
            <c:symbol val="none"/>
          </c:marker>
          <c:xVal>
            <c:numRef>
              <c:f>Control_Loop_Tables!$N$19:$N$560</c:f>
              <c:numCache>
                <c:formatCode>0.00</c:formatCode>
                <c:ptCount val="542"/>
                <c:pt idx="0">
                  <c:v>10.232929922807543</c:v>
                </c:pt>
                <c:pt idx="1">
                  <c:v>10.471285480509</c:v>
                </c:pt>
                <c:pt idx="2">
                  <c:v>10.715193052376069</c:v>
                </c:pt>
                <c:pt idx="3">
                  <c:v>10.964781961431854</c:v>
                </c:pt>
                <c:pt idx="4">
                  <c:v>11.220184543019636</c:v>
                </c:pt>
                <c:pt idx="5">
                  <c:v>11.481536214968834</c:v>
                </c:pt>
                <c:pt idx="6">
                  <c:v>11.748975549395301</c:v>
                </c:pt>
                <c:pt idx="7">
                  <c:v>12.022644346174133</c:v>
                </c:pt>
                <c:pt idx="8">
                  <c:v>12.302687708123818</c:v>
                </c:pt>
                <c:pt idx="9">
                  <c:v>12.58925411794168</c:v>
                </c:pt>
                <c:pt idx="10">
                  <c:v>12.882495516931346</c:v>
                </c:pt>
                <c:pt idx="11">
                  <c:v>13.182567385564075</c:v>
                </c:pt>
                <c:pt idx="12">
                  <c:v>13.489628825916535</c:v>
                </c:pt>
                <c:pt idx="13">
                  <c:v>13.803842646028857</c:v>
                </c:pt>
                <c:pt idx="14">
                  <c:v>14.125375446227544</c:v>
                </c:pt>
                <c:pt idx="15">
                  <c:v>14.454397707459275</c:v>
                </c:pt>
                <c:pt idx="16">
                  <c:v>14.791083881682074</c:v>
                </c:pt>
                <c:pt idx="17">
                  <c:v>15.135612484362087</c:v>
                </c:pt>
                <c:pt idx="18">
                  <c:v>15.488166189124817</c:v>
                </c:pt>
                <c:pt idx="19">
                  <c:v>15.848931924611136</c:v>
                </c:pt>
                <c:pt idx="20">
                  <c:v>16.218100973589298</c:v>
                </c:pt>
                <c:pt idx="21">
                  <c:v>16.595869074375614</c:v>
                </c:pt>
                <c:pt idx="22">
                  <c:v>16.982436524617448</c:v>
                </c:pt>
                <c:pt idx="23">
                  <c:v>17.378008287493756</c:v>
                </c:pt>
                <c:pt idx="24">
                  <c:v>17.782794100389236</c:v>
                </c:pt>
                <c:pt idx="25">
                  <c:v>18.197008586099841</c:v>
                </c:pt>
                <c:pt idx="26">
                  <c:v>18.62087136662868</c:v>
                </c:pt>
                <c:pt idx="27">
                  <c:v>19.054607179632477</c:v>
                </c:pt>
                <c:pt idx="28">
                  <c:v>19.498445997580465</c:v>
                </c:pt>
                <c:pt idx="29">
                  <c:v>19.952623149688804</c:v>
                </c:pt>
                <c:pt idx="30">
                  <c:v>20.4173794466953</c:v>
                </c:pt>
                <c:pt idx="31">
                  <c:v>20.8929613085404</c:v>
                </c:pt>
                <c:pt idx="32">
                  <c:v>21.379620895022335</c:v>
                </c:pt>
                <c:pt idx="33">
                  <c:v>21.877616239495538</c:v>
                </c:pt>
                <c:pt idx="34">
                  <c:v>22.387211385683404</c:v>
                </c:pt>
                <c:pt idx="35">
                  <c:v>22.908676527677727</c:v>
                </c:pt>
                <c:pt idx="36">
                  <c:v>23.442288153199236</c:v>
                </c:pt>
                <c:pt idx="37">
                  <c:v>23.988329190194907</c:v>
                </c:pt>
                <c:pt idx="38">
                  <c:v>24.547089156850316</c:v>
                </c:pt>
                <c:pt idx="39">
                  <c:v>25.118864315095799</c:v>
                </c:pt>
                <c:pt idx="40">
                  <c:v>25.703957827688647</c:v>
                </c:pt>
                <c:pt idx="41">
                  <c:v>26.302679918953825</c:v>
                </c:pt>
                <c:pt idx="42">
                  <c:v>26.915348039269158</c:v>
                </c:pt>
                <c:pt idx="43">
                  <c:v>27.542287033381665</c:v>
                </c:pt>
                <c:pt idx="44">
                  <c:v>28.183829312644548</c:v>
                </c:pt>
                <c:pt idx="45">
                  <c:v>28.840315031266066</c:v>
                </c:pt>
                <c:pt idx="46">
                  <c:v>29.512092266663863</c:v>
                </c:pt>
                <c:pt idx="47">
                  <c:v>30.199517204020164</c:v>
                </c:pt>
                <c:pt idx="48">
                  <c:v>30.902954325135919</c:v>
                </c:pt>
                <c:pt idx="49">
                  <c:v>31.622776601683803</c:v>
                </c:pt>
                <c:pt idx="50">
                  <c:v>32.359365692962832</c:v>
                </c:pt>
                <c:pt idx="51">
                  <c:v>33.113112148259127</c:v>
                </c:pt>
                <c:pt idx="52">
                  <c:v>33.884415613920268</c:v>
                </c:pt>
                <c:pt idx="53">
                  <c:v>34.67368504525318</c:v>
                </c:pt>
                <c:pt idx="54">
                  <c:v>35.481338923357555</c:v>
                </c:pt>
                <c:pt idx="55">
                  <c:v>36.307805477010156</c:v>
                </c:pt>
                <c:pt idx="56">
                  <c:v>37.15352290971726</c:v>
                </c:pt>
                <c:pt idx="57">
                  <c:v>38.018939632056139</c:v>
                </c:pt>
                <c:pt idx="58">
                  <c:v>38.904514499428053</c:v>
                </c:pt>
                <c:pt idx="59">
                  <c:v>39.810717055349755</c:v>
                </c:pt>
                <c:pt idx="60">
                  <c:v>40.738027780411279</c:v>
                </c:pt>
                <c:pt idx="61">
                  <c:v>41.686938347033561</c:v>
                </c:pt>
                <c:pt idx="62">
                  <c:v>42.657951880159267</c:v>
                </c:pt>
                <c:pt idx="63">
                  <c:v>43.651583224016633</c:v>
                </c:pt>
                <c:pt idx="64">
                  <c:v>44.668359215096324</c:v>
                </c:pt>
                <c:pt idx="65">
                  <c:v>45.70881896148753</c:v>
                </c:pt>
                <c:pt idx="66">
                  <c:v>46.773514128719818</c:v>
                </c:pt>
                <c:pt idx="67">
                  <c:v>47.863009232263877</c:v>
                </c:pt>
                <c:pt idx="68">
                  <c:v>48.977881936844632</c:v>
                </c:pt>
                <c:pt idx="69">
                  <c:v>50.118723362727238</c:v>
                </c:pt>
                <c:pt idx="70">
                  <c:v>51.28613839913649</c:v>
                </c:pt>
                <c:pt idx="71">
                  <c:v>52.480746024977286</c:v>
                </c:pt>
                <c:pt idx="72">
                  <c:v>53.703179637025293</c:v>
                </c:pt>
                <c:pt idx="73">
                  <c:v>54.95408738576247</c:v>
                </c:pt>
                <c:pt idx="74">
                  <c:v>56.234132519034915</c:v>
                </c:pt>
                <c:pt idx="75">
                  <c:v>57.543993733715695</c:v>
                </c:pt>
                <c:pt idx="76">
                  <c:v>58.884365535558949</c:v>
                </c:pt>
                <c:pt idx="77">
                  <c:v>60.255958607435822</c:v>
                </c:pt>
                <c:pt idx="78">
                  <c:v>61.659500186148257</c:v>
                </c:pt>
                <c:pt idx="79">
                  <c:v>63.095734448019364</c:v>
                </c:pt>
                <c:pt idx="80">
                  <c:v>64.565422903465588</c:v>
                </c:pt>
                <c:pt idx="81">
                  <c:v>66.069344800759623</c:v>
                </c:pt>
                <c:pt idx="82">
                  <c:v>67.60829753919819</c:v>
                </c:pt>
                <c:pt idx="83">
                  <c:v>69.183097091893657</c:v>
                </c:pt>
                <c:pt idx="84">
                  <c:v>70.794578438413865</c:v>
                </c:pt>
                <c:pt idx="85">
                  <c:v>72.443596007499011</c:v>
                </c:pt>
                <c:pt idx="86">
                  <c:v>74.131024130091816</c:v>
                </c:pt>
                <c:pt idx="87">
                  <c:v>75.857757502918361</c:v>
                </c:pt>
                <c:pt idx="88">
                  <c:v>77.624711662869217</c:v>
                </c:pt>
                <c:pt idx="89">
                  <c:v>79.432823472428197</c:v>
                </c:pt>
                <c:pt idx="90">
                  <c:v>81.283051616409963</c:v>
                </c:pt>
                <c:pt idx="91">
                  <c:v>83.176377110267126</c:v>
                </c:pt>
                <c:pt idx="92">
                  <c:v>85.113803820237734</c:v>
                </c:pt>
                <c:pt idx="93">
                  <c:v>87.096358995608071</c:v>
                </c:pt>
                <c:pt idx="94">
                  <c:v>89.125093813374562</c:v>
                </c:pt>
                <c:pt idx="95">
                  <c:v>91.201083935590972</c:v>
                </c:pt>
                <c:pt idx="96">
                  <c:v>93.325430079699174</c:v>
                </c:pt>
                <c:pt idx="97">
                  <c:v>95.499258602143655</c:v>
                </c:pt>
                <c:pt idx="98">
                  <c:v>97.723722095581124</c:v>
                </c:pt>
                <c:pt idx="99">
                  <c:v>100</c:v>
                </c:pt>
                <c:pt idx="100">
                  <c:v>102.32929922807544</c:v>
                </c:pt>
                <c:pt idx="101">
                  <c:v>104.71285480508998</c:v>
                </c:pt>
                <c:pt idx="102">
                  <c:v>107.15193052376065</c:v>
                </c:pt>
                <c:pt idx="103">
                  <c:v>109.64781961431861</c:v>
                </c:pt>
                <c:pt idx="104">
                  <c:v>112.20184543019634</c:v>
                </c:pt>
                <c:pt idx="105">
                  <c:v>114.81536214968835</c:v>
                </c:pt>
                <c:pt idx="106">
                  <c:v>117.48975549395293</c:v>
                </c:pt>
                <c:pt idx="107">
                  <c:v>120.22644346174135</c:v>
                </c:pt>
                <c:pt idx="108">
                  <c:v>123.02687708123821</c:v>
                </c:pt>
                <c:pt idx="109">
                  <c:v>125.89254117941677</c:v>
                </c:pt>
                <c:pt idx="110">
                  <c:v>128.82495516931343</c:v>
                </c:pt>
                <c:pt idx="111">
                  <c:v>131.82567385564084</c:v>
                </c:pt>
                <c:pt idx="112">
                  <c:v>134.89628825916537</c:v>
                </c:pt>
                <c:pt idx="113">
                  <c:v>138.0384264602886</c:v>
                </c:pt>
                <c:pt idx="114">
                  <c:v>141.25375446227542</c:v>
                </c:pt>
                <c:pt idx="115">
                  <c:v>144.54397707459285</c:v>
                </c:pt>
                <c:pt idx="116">
                  <c:v>147.91083881682084</c:v>
                </c:pt>
                <c:pt idx="117">
                  <c:v>151.3561248436209</c:v>
                </c:pt>
                <c:pt idx="118">
                  <c:v>154.8816618912482</c:v>
                </c:pt>
                <c:pt idx="119">
                  <c:v>158.48931924611153</c:v>
                </c:pt>
                <c:pt idx="120">
                  <c:v>162.18100973589304</c:v>
                </c:pt>
                <c:pt idx="121">
                  <c:v>165.95869074375622</c:v>
                </c:pt>
                <c:pt idx="122">
                  <c:v>169.82436524617444</c:v>
                </c:pt>
                <c:pt idx="123">
                  <c:v>173.78008287493768</c:v>
                </c:pt>
                <c:pt idx="124">
                  <c:v>177.82794100389242</c:v>
                </c:pt>
                <c:pt idx="125">
                  <c:v>181.9700858609983</c:v>
                </c:pt>
                <c:pt idx="126">
                  <c:v>186.20871366628685</c:v>
                </c:pt>
                <c:pt idx="127">
                  <c:v>190.54607179632498</c:v>
                </c:pt>
                <c:pt idx="128">
                  <c:v>194.98445997580458</c:v>
                </c:pt>
                <c:pt idx="129">
                  <c:v>199.52623149688802</c:v>
                </c:pt>
                <c:pt idx="130">
                  <c:v>204.17379446695315</c:v>
                </c:pt>
                <c:pt idx="131">
                  <c:v>208.92961308540396</c:v>
                </c:pt>
                <c:pt idx="132">
                  <c:v>213.79620895022339</c:v>
                </c:pt>
                <c:pt idx="133">
                  <c:v>218.77616239495524</c:v>
                </c:pt>
                <c:pt idx="134">
                  <c:v>223.87211385683412</c:v>
                </c:pt>
                <c:pt idx="135">
                  <c:v>229.08676527677744</c:v>
                </c:pt>
                <c:pt idx="136">
                  <c:v>234.42288153199232</c:v>
                </c:pt>
                <c:pt idx="137">
                  <c:v>239.88329190194912</c:v>
                </c:pt>
                <c:pt idx="138">
                  <c:v>245.4708915685033</c:v>
                </c:pt>
                <c:pt idx="139">
                  <c:v>251.18864315095806</c:v>
                </c:pt>
                <c:pt idx="140">
                  <c:v>257.03957827688663</c:v>
                </c:pt>
                <c:pt idx="141">
                  <c:v>263.02679918953817</c:v>
                </c:pt>
                <c:pt idx="142">
                  <c:v>269.15348039269179</c:v>
                </c:pt>
                <c:pt idx="143">
                  <c:v>275.42287033381683</c:v>
                </c:pt>
                <c:pt idx="144">
                  <c:v>281.83829312644554</c:v>
                </c:pt>
                <c:pt idx="145">
                  <c:v>288.40315031266073</c:v>
                </c:pt>
                <c:pt idx="146">
                  <c:v>295.12092266663871</c:v>
                </c:pt>
                <c:pt idx="147">
                  <c:v>301.99517204020168</c:v>
                </c:pt>
                <c:pt idx="148">
                  <c:v>309.02954325135937</c:v>
                </c:pt>
                <c:pt idx="149">
                  <c:v>316.22776601683825</c:v>
                </c:pt>
                <c:pt idx="150">
                  <c:v>323.59365692962825</c:v>
                </c:pt>
                <c:pt idx="151">
                  <c:v>331.13112148259137</c:v>
                </c:pt>
                <c:pt idx="152">
                  <c:v>338.84415613920277</c:v>
                </c:pt>
                <c:pt idx="153">
                  <c:v>346.73685045253183</c:v>
                </c:pt>
                <c:pt idx="154">
                  <c:v>354.81338923357566</c:v>
                </c:pt>
                <c:pt idx="155">
                  <c:v>363.07805477010152</c:v>
                </c:pt>
                <c:pt idx="156">
                  <c:v>371.53522909717265</c:v>
                </c:pt>
                <c:pt idx="157">
                  <c:v>380.18939632056163</c:v>
                </c:pt>
                <c:pt idx="158">
                  <c:v>389.04514499428063</c:v>
                </c:pt>
                <c:pt idx="159">
                  <c:v>398.10717055349761</c:v>
                </c:pt>
                <c:pt idx="160">
                  <c:v>407.38027780411272</c:v>
                </c:pt>
                <c:pt idx="161">
                  <c:v>416.86938347033572</c:v>
                </c:pt>
                <c:pt idx="162">
                  <c:v>426.57951880159294</c:v>
                </c:pt>
                <c:pt idx="163">
                  <c:v>436.51583224016622</c:v>
                </c:pt>
                <c:pt idx="164">
                  <c:v>446.68359215096331</c:v>
                </c:pt>
                <c:pt idx="165">
                  <c:v>457.0881896148756</c:v>
                </c:pt>
                <c:pt idx="166">
                  <c:v>467.7351412871983</c:v>
                </c:pt>
                <c:pt idx="167">
                  <c:v>478.63009232263886</c:v>
                </c:pt>
                <c:pt idx="168">
                  <c:v>489.77881936844625</c:v>
                </c:pt>
                <c:pt idx="169">
                  <c:v>501.18723362727269</c:v>
                </c:pt>
                <c:pt idx="170">
                  <c:v>512.86138399136519</c:v>
                </c:pt>
                <c:pt idx="171">
                  <c:v>524.80746024977248</c:v>
                </c:pt>
                <c:pt idx="172">
                  <c:v>537.03179637025301</c:v>
                </c:pt>
                <c:pt idx="173">
                  <c:v>549.54087385762534</c:v>
                </c:pt>
                <c:pt idx="174">
                  <c:v>562.34132519034927</c:v>
                </c:pt>
                <c:pt idx="175">
                  <c:v>575.43993733715706</c:v>
                </c:pt>
                <c:pt idx="176">
                  <c:v>588.84365535558959</c:v>
                </c:pt>
                <c:pt idx="177">
                  <c:v>602.55958607435832</c:v>
                </c:pt>
                <c:pt idx="178">
                  <c:v>616.59500186148273</c:v>
                </c:pt>
                <c:pt idx="179">
                  <c:v>630.95734448019323</c:v>
                </c:pt>
                <c:pt idx="180">
                  <c:v>645.65422903465594</c:v>
                </c:pt>
                <c:pt idx="181">
                  <c:v>660.69344800759643</c:v>
                </c:pt>
                <c:pt idx="182">
                  <c:v>676.08297539198213</c:v>
                </c:pt>
                <c:pt idx="183">
                  <c:v>691.83097091893671</c:v>
                </c:pt>
                <c:pt idx="184">
                  <c:v>707.94578438413873</c:v>
                </c:pt>
                <c:pt idx="185">
                  <c:v>724.43596007499025</c:v>
                </c:pt>
                <c:pt idx="186">
                  <c:v>741.31024130091828</c:v>
                </c:pt>
                <c:pt idx="187">
                  <c:v>758.57757502918378</c:v>
                </c:pt>
                <c:pt idx="188">
                  <c:v>776.24711662869231</c:v>
                </c:pt>
                <c:pt idx="189">
                  <c:v>794.32823472428208</c:v>
                </c:pt>
                <c:pt idx="190">
                  <c:v>812.83051616409978</c:v>
                </c:pt>
                <c:pt idx="191">
                  <c:v>831.7637711026714</c:v>
                </c:pt>
                <c:pt idx="192">
                  <c:v>851.13803820237763</c:v>
                </c:pt>
                <c:pt idx="193">
                  <c:v>870.96358995608091</c:v>
                </c:pt>
                <c:pt idx="194">
                  <c:v>891.25093813374656</c:v>
                </c:pt>
                <c:pt idx="195">
                  <c:v>912.01083935590987</c:v>
                </c:pt>
                <c:pt idx="196">
                  <c:v>933.25430079699106</c:v>
                </c:pt>
                <c:pt idx="197">
                  <c:v>954.99258602143675</c:v>
                </c:pt>
                <c:pt idx="198">
                  <c:v>977.23722095581138</c:v>
                </c:pt>
                <c:pt idx="199">
                  <c:v>1000</c:v>
                </c:pt>
                <c:pt idx="200">
                  <c:v>1023.2929922807547</c:v>
                </c:pt>
                <c:pt idx="201">
                  <c:v>1047.1285480509</c:v>
                </c:pt>
                <c:pt idx="202">
                  <c:v>1071.5193052376069</c:v>
                </c:pt>
                <c:pt idx="203">
                  <c:v>1096.4781961431863</c:v>
                </c:pt>
                <c:pt idx="204">
                  <c:v>1122.0184543019636</c:v>
                </c:pt>
                <c:pt idx="205">
                  <c:v>1148.1536214968839</c:v>
                </c:pt>
                <c:pt idx="206">
                  <c:v>1174.8975549395295</c:v>
                </c:pt>
                <c:pt idx="207">
                  <c:v>1202.2644346174138</c:v>
                </c:pt>
                <c:pt idx="208">
                  <c:v>1230.2687708123824</c:v>
                </c:pt>
                <c:pt idx="209">
                  <c:v>1258.925411794168</c:v>
                </c:pt>
                <c:pt idx="210">
                  <c:v>1288.2495516931347</c:v>
                </c:pt>
                <c:pt idx="211">
                  <c:v>1318.2567385564089</c:v>
                </c:pt>
                <c:pt idx="212">
                  <c:v>1348.9628825916541</c:v>
                </c:pt>
                <c:pt idx="213">
                  <c:v>1380.3842646028863</c:v>
                </c:pt>
                <c:pt idx="214">
                  <c:v>1412.5375446227545</c:v>
                </c:pt>
                <c:pt idx="215">
                  <c:v>1445.4397707459289</c:v>
                </c:pt>
                <c:pt idx="216">
                  <c:v>1479.1083881682086</c:v>
                </c:pt>
                <c:pt idx="217">
                  <c:v>1513.5612484362093</c:v>
                </c:pt>
                <c:pt idx="218">
                  <c:v>1548.8166189124822</c:v>
                </c:pt>
                <c:pt idx="219">
                  <c:v>1584.8931924611156</c:v>
                </c:pt>
                <c:pt idx="220">
                  <c:v>1621.8100973589308</c:v>
                </c:pt>
                <c:pt idx="221">
                  <c:v>1659.5869074375626</c:v>
                </c:pt>
                <c:pt idx="222">
                  <c:v>1698.2436524617447</c:v>
                </c:pt>
                <c:pt idx="223">
                  <c:v>1737.8008287493772</c:v>
                </c:pt>
                <c:pt idx="224">
                  <c:v>1778.2794100389244</c:v>
                </c:pt>
                <c:pt idx="225">
                  <c:v>1819.7008586099832</c:v>
                </c:pt>
                <c:pt idx="226">
                  <c:v>1862.0871366628687</c:v>
                </c:pt>
                <c:pt idx="227">
                  <c:v>1905.4607179632501</c:v>
                </c:pt>
                <c:pt idx="228">
                  <c:v>1949.8445997580463</c:v>
                </c:pt>
                <c:pt idx="229">
                  <c:v>1995.2623149688804</c:v>
                </c:pt>
                <c:pt idx="230">
                  <c:v>2041.7379446695318</c:v>
                </c:pt>
                <c:pt idx="231">
                  <c:v>2089.2961308540398</c:v>
                </c:pt>
                <c:pt idx="232">
                  <c:v>2137.9620895022344</c:v>
                </c:pt>
                <c:pt idx="233">
                  <c:v>2187.7616239495528</c:v>
                </c:pt>
                <c:pt idx="234">
                  <c:v>2238.7211385683418</c:v>
                </c:pt>
                <c:pt idx="235">
                  <c:v>2290.8676527677749</c:v>
                </c:pt>
                <c:pt idx="236">
                  <c:v>2344.2288153199238</c:v>
                </c:pt>
                <c:pt idx="237">
                  <c:v>2398.8329190194918</c:v>
                </c:pt>
                <c:pt idx="238">
                  <c:v>2454.7089156850338</c:v>
                </c:pt>
                <c:pt idx="239">
                  <c:v>2511.8864315095811</c:v>
                </c:pt>
                <c:pt idx="240">
                  <c:v>2570.3957827688669</c:v>
                </c:pt>
                <c:pt idx="241">
                  <c:v>2630.2679918953822</c:v>
                </c:pt>
                <c:pt idx="242">
                  <c:v>2691.5348039269184</c:v>
                </c:pt>
                <c:pt idx="243">
                  <c:v>2754.228703338169</c:v>
                </c:pt>
                <c:pt idx="244">
                  <c:v>2818.3829312644561</c:v>
                </c:pt>
                <c:pt idx="245">
                  <c:v>2884.0315031266077</c:v>
                </c:pt>
                <c:pt idx="246">
                  <c:v>2951.2092266663876</c:v>
                </c:pt>
                <c:pt idx="247">
                  <c:v>3019.9517204020176</c:v>
                </c:pt>
                <c:pt idx="248">
                  <c:v>3090.295432513592</c:v>
                </c:pt>
                <c:pt idx="249">
                  <c:v>3162.2776601683804</c:v>
                </c:pt>
                <c:pt idx="250">
                  <c:v>3235.9365692962833</c:v>
                </c:pt>
                <c:pt idx="251">
                  <c:v>3311.3112148259115</c:v>
                </c:pt>
                <c:pt idx="252">
                  <c:v>3388.4415613920314</c:v>
                </c:pt>
                <c:pt idx="253">
                  <c:v>3467.3685045253224</c:v>
                </c:pt>
                <c:pt idx="254">
                  <c:v>3548.1338923357539</c:v>
                </c:pt>
                <c:pt idx="255">
                  <c:v>3630.7805477010188</c:v>
                </c:pt>
                <c:pt idx="256">
                  <c:v>3715.352290971724</c:v>
                </c:pt>
                <c:pt idx="257">
                  <c:v>3801.8939632056172</c:v>
                </c:pt>
                <c:pt idx="258">
                  <c:v>3890.451449942811</c:v>
                </c:pt>
                <c:pt idx="259">
                  <c:v>3981.0717055349769</c:v>
                </c:pt>
                <c:pt idx="260">
                  <c:v>4073.8027780411317</c:v>
                </c:pt>
                <c:pt idx="261">
                  <c:v>4168.6938347033583</c:v>
                </c:pt>
                <c:pt idx="262">
                  <c:v>4265.7951880159299</c:v>
                </c:pt>
                <c:pt idx="263">
                  <c:v>4365.1583224016631</c:v>
                </c:pt>
                <c:pt idx="264">
                  <c:v>4466.8359215096343</c:v>
                </c:pt>
                <c:pt idx="265">
                  <c:v>4570.8818961487532</c:v>
                </c:pt>
                <c:pt idx="266">
                  <c:v>4677.3514128719844</c:v>
                </c:pt>
                <c:pt idx="267">
                  <c:v>4786.3009232263848</c:v>
                </c:pt>
                <c:pt idx="268">
                  <c:v>4897.7881936844633</c:v>
                </c:pt>
                <c:pt idx="269">
                  <c:v>5011.8723362727324</c:v>
                </c:pt>
                <c:pt idx="270">
                  <c:v>5128.6138399136489</c:v>
                </c:pt>
                <c:pt idx="271">
                  <c:v>5248.0746024977261</c:v>
                </c:pt>
                <c:pt idx="272">
                  <c:v>5370.3179637025269</c:v>
                </c:pt>
                <c:pt idx="273">
                  <c:v>5495.4087385762541</c:v>
                </c:pt>
                <c:pt idx="274">
                  <c:v>5623.4132519034993</c:v>
                </c:pt>
                <c:pt idx="275">
                  <c:v>5754.399373371567</c:v>
                </c:pt>
                <c:pt idx="276">
                  <c:v>5888.4365535558973</c:v>
                </c:pt>
                <c:pt idx="277">
                  <c:v>6025.595860743585</c:v>
                </c:pt>
                <c:pt idx="278">
                  <c:v>6165.9500186148289</c:v>
                </c:pt>
                <c:pt idx="279">
                  <c:v>6309.5734448019384</c:v>
                </c:pt>
                <c:pt idx="280">
                  <c:v>6456.5422903465615</c:v>
                </c:pt>
                <c:pt idx="281">
                  <c:v>6606.9344800759654</c:v>
                </c:pt>
                <c:pt idx="282">
                  <c:v>6760.8297539198229</c:v>
                </c:pt>
                <c:pt idx="283">
                  <c:v>6918.3097091893687</c:v>
                </c:pt>
                <c:pt idx="284">
                  <c:v>7079.4578438413828</c:v>
                </c:pt>
                <c:pt idx="285">
                  <c:v>7244.3596007499036</c:v>
                </c:pt>
                <c:pt idx="286">
                  <c:v>7413.1024130091773</c:v>
                </c:pt>
                <c:pt idx="287">
                  <c:v>7585.7757502918394</c:v>
                </c:pt>
                <c:pt idx="288">
                  <c:v>7762.4711662869322</c:v>
                </c:pt>
                <c:pt idx="289">
                  <c:v>7943.2823472428154</c:v>
                </c:pt>
                <c:pt idx="290">
                  <c:v>8128.3051616410066</c:v>
                </c:pt>
                <c:pt idx="291">
                  <c:v>8317.6377110267094</c:v>
                </c:pt>
                <c:pt idx="292">
                  <c:v>8511.3803820237772</c:v>
                </c:pt>
                <c:pt idx="293">
                  <c:v>8709.6358995608189</c:v>
                </c:pt>
                <c:pt idx="294">
                  <c:v>8912.5093813374679</c:v>
                </c:pt>
                <c:pt idx="295">
                  <c:v>9120.1083935591087</c:v>
                </c:pt>
                <c:pt idx="296">
                  <c:v>9332.5430079699217</c:v>
                </c:pt>
                <c:pt idx="297">
                  <c:v>9549.9258602143691</c:v>
                </c:pt>
                <c:pt idx="298">
                  <c:v>9772.3722095581161</c:v>
                </c:pt>
                <c:pt idx="299">
                  <c:v>10000</c:v>
                </c:pt>
                <c:pt idx="300">
                  <c:v>10232.929922807549</c:v>
                </c:pt>
                <c:pt idx="301">
                  <c:v>10471.285480509003</c:v>
                </c:pt>
                <c:pt idx="302">
                  <c:v>10715.193052376071</c:v>
                </c:pt>
                <c:pt idx="303">
                  <c:v>10964.781961431856</c:v>
                </c:pt>
                <c:pt idx="304">
                  <c:v>11220.184543019639</c:v>
                </c:pt>
                <c:pt idx="305">
                  <c:v>11481.536214968832</c:v>
                </c:pt>
                <c:pt idx="306">
                  <c:v>11748.975549395318</c:v>
                </c:pt>
                <c:pt idx="307">
                  <c:v>12022.644346174151</c:v>
                </c:pt>
                <c:pt idx="308">
                  <c:v>12302.687708123816</c:v>
                </c:pt>
                <c:pt idx="309">
                  <c:v>12589.254117941671</c:v>
                </c:pt>
                <c:pt idx="310">
                  <c:v>12882.49551693136</c:v>
                </c:pt>
                <c:pt idx="311">
                  <c:v>13182.567385564091</c:v>
                </c:pt>
                <c:pt idx="312">
                  <c:v>13489.628825916556</c:v>
                </c:pt>
                <c:pt idx="313">
                  <c:v>13803.842646028841</c:v>
                </c:pt>
                <c:pt idx="314">
                  <c:v>14125.375446227561</c:v>
                </c:pt>
                <c:pt idx="315">
                  <c:v>14454.397707459291</c:v>
                </c:pt>
                <c:pt idx="316">
                  <c:v>14791.083881682089</c:v>
                </c:pt>
                <c:pt idx="317">
                  <c:v>15135.612484362096</c:v>
                </c:pt>
                <c:pt idx="318">
                  <c:v>15488.166189124853</c:v>
                </c:pt>
                <c:pt idx="319">
                  <c:v>15848.931924611146</c:v>
                </c:pt>
                <c:pt idx="320">
                  <c:v>16218.100973589309</c:v>
                </c:pt>
                <c:pt idx="321">
                  <c:v>16595.869074375616</c:v>
                </c:pt>
                <c:pt idx="322">
                  <c:v>16982.436524617482</c:v>
                </c:pt>
                <c:pt idx="323">
                  <c:v>17378.008287493791</c:v>
                </c:pt>
                <c:pt idx="324">
                  <c:v>17782.794100389234</c:v>
                </c:pt>
                <c:pt idx="325">
                  <c:v>18197.008586099837</c:v>
                </c:pt>
                <c:pt idx="326">
                  <c:v>18620.871366628675</c:v>
                </c:pt>
                <c:pt idx="327">
                  <c:v>19054.607179632505</c:v>
                </c:pt>
                <c:pt idx="328">
                  <c:v>19498.445997580486</c:v>
                </c:pt>
                <c:pt idx="329">
                  <c:v>19952.623149688792</c:v>
                </c:pt>
                <c:pt idx="330">
                  <c:v>20417.379446695286</c:v>
                </c:pt>
                <c:pt idx="331">
                  <c:v>20892.961308540423</c:v>
                </c:pt>
                <c:pt idx="332">
                  <c:v>21379.620895022348</c:v>
                </c:pt>
                <c:pt idx="333">
                  <c:v>21877.61623949555</c:v>
                </c:pt>
                <c:pt idx="334">
                  <c:v>22387.211385683382</c:v>
                </c:pt>
                <c:pt idx="335">
                  <c:v>22908.676527677751</c:v>
                </c:pt>
                <c:pt idx="336">
                  <c:v>23442.288153199243</c:v>
                </c:pt>
                <c:pt idx="337">
                  <c:v>23988.329190194923</c:v>
                </c:pt>
                <c:pt idx="338">
                  <c:v>24547.089156850321</c:v>
                </c:pt>
                <c:pt idx="339">
                  <c:v>25118.86431509586</c:v>
                </c:pt>
                <c:pt idx="340">
                  <c:v>25703.95782768865</c:v>
                </c:pt>
                <c:pt idx="341">
                  <c:v>26302.679918953829</c:v>
                </c:pt>
                <c:pt idx="342">
                  <c:v>26915.348039269167</c:v>
                </c:pt>
                <c:pt idx="343">
                  <c:v>27542.287033381719</c:v>
                </c:pt>
                <c:pt idx="344">
                  <c:v>28183.829312644593</c:v>
                </c:pt>
                <c:pt idx="345">
                  <c:v>28840.315031266062</c:v>
                </c:pt>
                <c:pt idx="346">
                  <c:v>29512.092266663854</c:v>
                </c:pt>
                <c:pt idx="347">
                  <c:v>30199.517204020212</c:v>
                </c:pt>
                <c:pt idx="348">
                  <c:v>30902.954325135954</c:v>
                </c:pt>
                <c:pt idx="349">
                  <c:v>31622.77660168384</c:v>
                </c:pt>
                <c:pt idx="350">
                  <c:v>32359.365692962871</c:v>
                </c:pt>
                <c:pt idx="351">
                  <c:v>33113.11214825909</c:v>
                </c:pt>
                <c:pt idx="352">
                  <c:v>33884.41561392029</c:v>
                </c:pt>
                <c:pt idx="353">
                  <c:v>34673.685045253202</c:v>
                </c:pt>
                <c:pt idx="354">
                  <c:v>35481.33892335758</c:v>
                </c:pt>
                <c:pt idx="355">
                  <c:v>36307.805477010232</c:v>
                </c:pt>
                <c:pt idx="356">
                  <c:v>37153.522909717351</c:v>
                </c:pt>
                <c:pt idx="357">
                  <c:v>38018.939632056143</c:v>
                </c:pt>
                <c:pt idx="358">
                  <c:v>38904.514499428085</c:v>
                </c:pt>
                <c:pt idx="359">
                  <c:v>39810.717055349742</c:v>
                </c:pt>
                <c:pt idx="360">
                  <c:v>40738.027780411358</c:v>
                </c:pt>
                <c:pt idx="361">
                  <c:v>41686.938347033625</c:v>
                </c:pt>
                <c:pt idx="362">
                  <c:v>42657.951880159271</c:v>
                </c:pt>
                <c:pt idx="363">
                  <c:v>43651.583224016598</c:v>
                </c:pt>
                <c:pt idx="364">
                  <c:v>44668.359215096389</c:v>
                </c:pt>
                <c:pt idx="365">
                  <c:v>45708.818961487581</c:v>
                </c:pt>
                <c:pt idx="366">
                  <c:v>46773.514128719893</c:v>
                </c:pt>
                <c:pt idx="367">
                  <c:v>47863.009232263823</c:v>
                </c:pt>
                <c:pt idx="368">
                  <c:v>48977.881936844598</c:v>
                </c:pt>
                <c:pt idx="369">
                  <c:v>50118.723362727294</c:v>
                </c:pt>
                <c:pt idx="370">
                  <c:v>51286.138399136544</c:v>
                </c:pt>
                <c:pt idx="371">
                  <c:v>52480.746024977314</c:v>
                </c:pt>
                <c:pt idx="372">
                  <c:v>53703.179637025423</c:v>
                </c:pt>
                <c:pt idx="373">
                  <c:v>54954.087385762505</c:v>
                </c:pt>
                <c:pt idx="374">
                  <c:v>56234.132519034953</c:v>
                </c:pt>
                <c:pt idx="375">
                  <c:v>57543.993733715732</c:v>
                </c:pt>
                <c:pt idx="376">
                  <c:v>58884.365535558936</c:v>
                </c:pt>
                <c:pt idx="377">
                  <c:v>60255.95860743591</c:v>
                </c:pt>
                <c:pt idx="378">
                  <c:v>61659.500186148245</c:v>
                </c:pt>
                <c:pt idx="379">
                  <c:v>63095.734448019342</c:v>
                </c:pt>
                <c:pt idx="380">
                  <c:v>64565.422903465682</c:v>
                </c:pt>
                <c:pt idx="381">
                  <c:v>66069.344800759733</c:v>
                </c:pt>
                <c:pt idx="382">
                  <c:v>67608.297539198305</c:v>
                </c:pt>
                <c:pt idx="383">
                  <c:v>69183.097091893651</c:v>
                </c:pt>
                <c:pt idx="384">
                  <c:v>70794.578438413781</c:v>
                </c:pt>
                <c:pt idx="385">
                  <c:v>72443.596007499116</c:v>
                </c:pt>
                <c:pt idx="386">
                  <c:v>74131.024130091857</c:v>
                </c:pt>
                <c:pt idx="387">
                  <c:v>75857.757502918481</c:v>
                </c:pt>
                <c:pt idx="388">
                  <c:v>77624.711662869129</c:v>
                </c:pt>
                <c:pt idx="389">
                  <c:v>79432.823472428237</c:v>
                </c:pt>
                <c:pt idx="390">
                  <c:v>81283.051616410012</c:v>
                </c:pt>
                <c:pt idx="391">
                  <c:v>83176.377110267174</c:v>
                </c:pt>
                <c:pt idx="392">
                  <c:v>85113.803820237721</c:v>
                </c:pt>
                <c:pt idx="393">
                  <c:v>87096.358995608127</c:v>
                </c:pt>
                <c:pt idx="394">
                  <c:v>89125.093813374609</c:v>
                </c:pt>
                <c:pt idx="395">
                  <c:v>91201.083935591028</c:v>
                </c:pt>
                <c:pt idx="396">
                  <c:v>93325.430079699145</c:v>
                </c:pt>
                <c:pt idx="397">
                  <c:v>95499.258602143804</c:v>
                </c:pt>
                <c:pt idx="398">
                  <c:v>97723.722095581266</c:v>
                </c:pt>
                <c:pt idx="399">
                  <c:v>100000</c:v>
                </c:pt>
                <c:pt idx="400">
                  <c:v>102329.29922807543</c:v>
                </c:pt>
                <c:pt idx="401">
                  <c:v>104712.85480508996</c:v>
                </c:pt>
                <c:pt idx="402">
                  <c:v>107151.93052376082</c:v>
                </c:pt>
                <c:pt idx="403">
                  <c:v>109647.81961431868</c:v>
                </c:pt>
                <c:pt idx="404">
                  <c:v>112201.84543019651</c:v>
                </c:pt>
                <c:pt idx="405">
                  <c:v>114815.36214968823</c:v>
                </c:pt>
                <c:pt idx="406">
                  <c:v>117489.75549395311</c:v>
                </c:pt>
                <c:pt idx="407">
                  <c:v>120226.44346174144</c:v>
                </c:pt>
                <c:pt idx="408">
                  <c:v>123026.87708123829</c:v>
                </c:pt>
                <c:pt idx="409">
                  <c:v>125892.54117941685</c:v>
                </c:pt>
                <c:pt idx="410">
                  <c:v>128824.95516931375</c:v>
                </c:pt>
                <c:pt idx="411">
                  <c:v>131825.67385564081</c:v>
                </c:pt>
                <c:pt idx="412">
                  <c:v>134896.28825916545</c:v>
                </c:pt>
                <c:pt idx="413">
                  <c:v>138038.42646028858</c:v>
                </c:pt>
                <c:pt idx="414">
                  <c:v>141253.75446227577</c:v>
                </c:pt>
                <c:pt idx="415">
                  <c:v>144543.97707459307</c:v>
                </c:pt>
                <c:pt idx="416">
                  <c:v>147910.83881682079</c:v>
                </c:pt>
                <c:pt idx="417">
                  <c:v>151356.12484362084</c:v>
                </c:pt>
                <c:pt idx="418">
                  <c:v>154881.66189124843</c:v>
                </c:pt>
                <c:pt idx="419">
                  <c:v>158489.31924611164</c:v>
                </c:pt>
                <c:pt idx="420">
                  <c:v>162181.00973589328</c:v>
                </c:pt>
                <c:pt idx="421">
                  <c:v>165958.69074375604</c:v>
                </c:pt>
                <c:pt idx="422">
                  <c:v>169824.36524617471</c:v>
                </c:pt>
                <c:pt idx="423">
                  <c:v>173780.0828749378</c:v>
                </c:pt>
                <c:pt idx="424">
                  <c:v>177827.94100389251</c:v>
                </c:pt>
                <c:pt idx="425">
                  <c:v>181970.08586099857</c:v>
                </c:pt>
                <c:pt idx="426">
                  <c:v>186208.71366628664</c:v>
                </c:pt>
                <c:pt idx="427">
                  <c:v>190546.07179632492</c:v>
                </c:pt>
                <c:pt idx="428">
                  <c:v>194984.45997580473</c:v>
                </c:pt>
                <c:pt idx="429">
                  <c:v>199526.23149688813</c:v>
                </c:pt>
                <c:pt idx="430">
                  <c:v>204173.79446695308</c:v>
                </c:pt>
                <c:pt idx="431">
                  <c:v>208929.61308540447</c:v>
                </c:pt>
                <c:pt idx="432">
                  <c:v>213796.20895022334</c:v>
                </c:pt>
                <c:pt idx="433">
                  <c:v>218776.16239495538</c:v>
                </c:pt>
                <c:pt idx="434">
                  <c:v>223872.11385683404</c:v>
                </c:pt>
                <c:pt idx="435">
                  <c:v>229086.76527677779</c:v>
                </c:pt>
                <c:pt idx="436">
                  <c:v>234422.88153199267</c:v>
                </c:pt>
                <c:pt idx="437">
                  <c:v>239883.29190194907</c:v>
                </c:pt>
                <c:pt idx="438">
                  <c:v>245470.89156850305</c:v>
                </c:pt>
                <c:pt idx="439">
                  <c:v>251188.64315095844</c:v>
                </c:pt>
                <c:pt idx="440">
                  <c:v>257039.57827688678</c:v>
                </c:pt>
                <c:pt idx="441">
                  <c:v>263026.79918953858</c:v>
                </c:pt>
                <c:pt idx="442">
                  <c:v>269153.48039269145</c:v>
                </c:pt>
                <c:pt idx="443">
                  <c:v>275422.87033381703</c:v>
                </c:pt>
                <c:pt idx="444">
                  <c:v>281838.29312644573</c:v>
                </c:pt>
                <c:pt idx="445">
                  <c:v>288403.1503126609</c:v>
                </c:pt>
                <c:pt idx="446">
                  <c:v>295120.92266663886</c:v>
                </c:pt>
                <c:pt idx="447">
                  <c:v>301995.17204020242</c:v>
                </c:pt>
                <c:pt idx="448">
                  <c:v>309029.54325135931</c:v>
                </c:pt>
                <c:pt idx="449">
                  <c:v>316227.7660168382</c:v>
                </c:pt>
                <c:pt idx="450">
                  <c:v>323593.65692962846</c:v>
                </c:pt>
                <c:pt idx="451">
                  <c:v>331131.12148259126</c:v>
                </c:pt>
                <c:pt idx="452">
                  <c:v>338844.15613920329</c:v>
                </c:pt>
                <c:pt idx="453">
                  <c:v>346736.85045253241</c:v>
                </c:pt>
                <c:pt idx="454">
                  <c:v>354813.38923357555</c:v>
                </c:pt>
                <c:pt idx="455">
                  <c:v>363078.05477010203</c:v>
                </c:pt>
                <c:pt idx="456">
                  <c:v>371535.2290971732</c:v>
                </c:pt>
                <c:pt idx="457">
                  <c:v>380189.39632056188</c:v>
                </c:pt>
                <c:pt idx="458">
                  <c:v>389045.14499428123</c:v>
                </c:pt>
                <c:pt idx="459">
                  <c:v>398107.17055349716</c:v>
                </c:pt>
                <c:pt idx="460">
                  <c:v>407380.27780411334</c:v>
                </c:pt>
                <c:pt idx="461">
                  <c:v>416869.38347033598</c:v>
                </c:pt>
                <c:pt idx="462">
                  <c:v>426579.51880159322</c:v>
                </c:pt>
                <c:pt idx="463">
                  <c:v>436515.83224016649</c:v>
                </c:pt>
                <c:pt idx="464">
                  <c:v>446683.59215096442</c:v>
                </c:pt>
                <c:pt idx="465">
                  <c:v>457088.18961487547</c:v>
                </c:pt>
                <c:pt idx="466">
                  <c:v>467735.14128719864</c:v>
                </c:pt>
                <c:pt idx="467">
                  <c:v>478630.09232263872</c:v>
                </c:pt>
                <c:pt idx="468">
                  <c:v>489778.81936844654</c:v>
                </c:pt>
                <c:pt idx="469">
                  <c:v>501187.23362727347</c:v>
                </c:pt>
                <c:pt idx="470">
                  <c:v>512861.38399136515</c:v>
                </c:pt>
                <c:pt idx="471">
                  <c:v>524807.46024977288</c:v>
                </c:pt>
                <c:pt idx="472">
                  <c:v>537031.7963702539</c:v>
                </c:pt>
                <c:pt idx="473">
                  <c:v>549540.87385762564</c:v>
                </c:pt>
                <c:pt idx="474">
                  <c:v>562341.32519035018</c:v>
                </c:pt>
                <c:pt idx="475">
                  <c:v>575439.93733715697</c:v>
                </c:pt>
                <c:pt idx="476">
                  <c:v>588843.65535558888</c:v>
                </c:pt>
                <c:pt idx="477">
                  <c:v>602559.58607435878</c:v>
                </c:pt>
                <c:pt idx="478">
                  <c:v>616595.00186148309</c:v>
                </c:pt>
                <c:pt idx="479">
                  <c:v>630957.34448019415</c:v>
                </c:pt>
                <c:pt idx="480">
                  <c:v>645654.22903465747</c:v>
                </c:pt>
                <c:pt idx="481">
                  <c:v>660693.44800759677</c:v>
                </c:pt>
                <c:pt idx="482">
                  <c:v>676082.97539198259</c:v>
                </c:pt>
                <c:pt idx="483">
                  <c:v>691830.97091893724</c:v>
                </c:pt>
                <c:pt idx="484">
                  <c:v>707945.78438413853</c:v>
                </c:pt>
                <c:pt idx="485">
                  <c:v>724435.96007499192</c:v>
                </c:pt>
                <c:pt idx="486">
                  <c:v>741310.24130091805</c:v>
                </c:pt>
                <c:pt idx="487">
                  <c:v>758577.57502918423</c:v>
                </c:pt>
                <c:pt idx="488">
                  <c:v>776247.11662869214</c:v>
                </c:pt>
                <c:pt idx="489">
                  <c:v>794328.23472428333</c:v>
                </c:pt>
                <c:pt idx="490">
                  <c:v>812830.51616410096</c:v>
                </c:pt>
                <c:pt idx="491">
                  <c:v>831763.77110267128</c:v>
                </c:pt>
                <c:pt idx="492">
                  <c:v>851138.03820237669</c:v>
                </c:pt>
                <c:pt idx="493">
                  <c:v>870963.58995608077</c:v>
                </c:pt>
                <c:pt idx="494">
                  <c:v>891250.93813374708</c:v>
                </c:pt>
                <c:pt idx="495">
                  <c:v>912010.83935591124</c:v>
                </c:pt>
                <c:pt idx="496">
                  <c:v>933254.30079699249</c:v>
                </c:pt>
                <c:pt idx="497">
                  <c:v>954992.58602143743</c:v>
                </c:pt>
                <c:pt idx="498">
                  <c:v>977237.22095581202</c:v>
                </c:pt>
                <c:pt idx="499">
                  <c:v>1000000</c:v>
                </c:pt>
                <c:pt idx="500">
                  <c:v>1023292.9922807553</c:v>
                </c:pt>
                <c:pt idx="501">
                  <c:v>1047128.5480509007</c:v>
                </c:pt>
                <c:pt idx="502">
                  <c:v>1071519.3052376076</c:v>
                </c:pt>
                <c:pt idx="503">
                  <c:v>1096478.196143186</c:v>
                </c:pt>
                <c:pt idx="504">
                  <c:v>1122018.4543019643</c:v>
                </c:pt>
                <c:pt idx="505">
                  <c:v>1148153.6214968837</c:v>
                </c:pt>
                <c:pt idx="506">
                  <c:v>1174897.5549395324</c:v>
                </c:pt>
                <c:pt idx="507">
                  <c:v>1202264.4346174158</c:v>
                </c:pt>
                <c:pt idx="508">
                  <c:v>1230268.770812382</c:v>
                </c:pt>
                <c:pt idx="509">
                  <c:v>1258925.4117941677</c:v>
                </c:pt>
                <c:pt idx="510">
                  <c:v>1288249.5516931366</c:v>
                </c:pt>
                <c:pt idx="511">
                  <c:v>1318256.7385564097</c:v>
                </c:pt>
                <c:pt idx="512">
                  <c:v>1348962.8825916562</c:v>
                </c:pt>
                <c:pt idx="513">
                  <c:v>1380384.2646028849</c:v>
                </c:pt>
                <c:pt idx="514">
                  <c:v>1412537.5446227565</c:v>
                </c:pt>
                <c:pt idx="515">
                  <c:v>1445439.7707459298</c:v>
                </c:pt>
                <c:pt idx="516">
                  <c:v>1479108.3881682095</c:v>
                </c:pt>
                <c:pt idx="517">
                  <c:v>1513561.2484362102</c:v>
                </c:pt>
                <c:pt idx="518">
                  <c:v>1548816.6189124861</c:v>
                </c:pt>
                <c:pt idx="519">
                  <c:v>1584893.1924611153</c:v>
                </c:pt>
                <c:pt idx="520">
                  <c:v>1621810.0973589318</c:v>
                </c:pt>
                <c:pt idx="521">
                  <c:v>1659586.9074375622</c:v>
                </c:pt>
                <c:pt idx="522">
                  <c:v>1698243.6524617488</c:v>
                </c:pt>
                <c:pt idx="523">
                  <c:v>1737800.8287493798</c:v>
                </c:pt>
                <c:pt idx="524">
                  <c:v>1778279.4100389241</c:v>
                </c:pt>
                <c:pt idx="525">
                  <c:v>1819700.8586099846</c:v>
                </c:pt>
                <c:pt idx="526">
                  <c:v>1862087.1366628683</c:v>
                </c:pt>
                <c:pt idx="527">
                  <c:v>1905460.7179632513</c:v>
                </c:pt>
                <c:pt idx="528">
                  <c:v>1949844.5997580495</c:v>
                </c:pt>
                <c:pt idx="529">
                  <c:v>1995262.31496888</c:v>
                </c:pt>
                <c:pt idx="530">
                  <c:v>2041737.9446695296</c:v>
                </c:pt>
                <c:pt idx="531">
                  <c:v>2089296.1308540432</c:v>
                </c:pt>
                <c:pt idx="532">
                  <c:v>2137962.0895022359</c:v>
                </c:pt>
                <c:pt idx="533">
                  <c:v>2187761.6239495561</c:v>
                </c:pt>
                <c:pt idx="534">
                  <c:v>2238721.1385683389</c:v>
                </c:pt>
                <c:pt idx="535">
                  <c:v>2290867.6527677765</c:v>
                </c:pt>
                <c:pt idx="536">
                  <c:v>2344228.8153199251</c:v>
                </c:pt>
                <c:pt idx="537">
                  <c:v>2398832.9190194933</c:v>
                </c:pt>
                <c:pt idx="538">
                  <c:v>2454708.915685033</c:v>
                </c:pt>
                <c:pt idx="539">
                  <c:v>2511886.431509587</c:v>
                </c:pt>
                <c:pt idx="540">
                  <c:v>2570395.782768866</c:v>
                </c:pt>
                <c:pt idx="541">
                  <c:v>2630267.9918953842</c:v>
                </c:pt>
              </c:numCache>
            </c:numRef>
          </c:xVal>
          <c:yVal>
            <c:numRef>
              <c:f>Control_Loop_Tables!$BG$19:$BG$560</c:f>
              <c:numCache>
                <c:formatCode>General</c:formatCode>
                <c:ptCount val="542"/>
                <c:pt idx="0">
                  <c:v>87.532408216588664</c:v>
                </c:pt>
                <c:pt idx="1">
                  <c:v>87.560115672199927</c:v>
                </c:pt>
                <c:pt idx="2">
                  <c:v>87.588329660134349</c:v>
                </c:pt>
                <c:pt idx="3">
                  <c:v>87.616998913534914</c:v>
                </c:pt>
                <c:pt idx="4">
                  <c:v>87.646072997994992</c:v>
                </c:pt>
                <c:pt idx="5">
                  <c:v>87.675502449525538</c:v>
                </c:pt>
                <c:pt idx="6">
                  <c:v>87.705238899041504</c:v>
                </c:pt>
                <c:pt idx="7">
                  <c:v>87.735235183388284</c:v>
                </c:pt>
                <c:pt idx="8">
                  <c:v>87.765445443054745</c:v>
                </c:pt>
                <c:pt idx="9">
                  <c:v>87.795825206831537</c:v>
                </c:pt>
                <c:pt idx="10">
                  <c:v>87.826331463785152</c:v>
                </c:pt>
                <c:pt idx="11">
                  <c:v>87.856922722996899</c:v>
                </c:pt>
                <c:pt idx="12">
                  <c:v>87.887559061591645</c:v>
                </c:pt>
                <c:pt idx="13">
                  <c:v>87.91820216164885</c:v>
                </c:pt>
                <c:pt idx="14">
                  <c:v>87.948815336622673</c:v>
                </c:pt>
                <c:pt idx="15">
                  <c:v>87.979363547947472</c:v>
                </c:pt>
                <c:pt idx="16">
                  <c:v>88.009813412518568</c:v>
                </c:pt>
                <c:pt idx="17">
                  <c:v>88.040133201758124</c:v>
                </c:pt>
                <c:pt idx="18">
                  <c:v>88.070292832977785</c:v>
                </c:pt>
                <c:pt idx="19">
                  <c:v>88.10026385374745</c:v>
                </c:pt>
                <c:pt idx="20">
                  <c:v>88.130019419967226</c:v>
                </c:pt>
                <c:pt idx="21">
                  <c:v>88.159534268324251</c:v>
                </c:pt>
                <c:pt idx="22">
                  <c:v>88.188784683792036</c:v>
                </c:pt>
                <c:pt idx="23">
                  <c:v>88.21774846280519</c:v>
                </c:pt>
                <c:pt idx="24">
                  <c:v>88.246404872708993</c:v>
                </c:pt>
                <c:pt idx="25">
                  <c:v>88.274734608055851</c:v>
                </c:pt>
                <c:pt idx="26">
                  <c:v>88.302719744280907</c:v>
                </c:pt>
                <c:pt idx="27">
                  <c:v>88.330343689255102</c:v>
                </c:pt>
                <c:pt idx="28">
                  <c:v>88.357591133180222</c:v>
                </c:pt>
                <c:pt idx="29">
                  <c:v>88.384447997248316</c:v>
                </c:pt>
                <c:pt idx="30">
                  <c:v>88.41090138145853</c:v>
                </c:pt>
                <c:pt idx="31">
                  <c:v>88.436939511940849</c:v>
                </c:pt>
                <c:pt idx="32">
                  <c:v>88.462551688110182</c:v>
                </c:pt>
                <c:pt idx="33">
                  <c:v>88.48772822993449</c:v>
                </c:pt>
                <c:pt idx="34">
                  <c:v>88.512460425571007</c:v>
                </c:pt>
                <c:pt idx="35">
                  <c:v>88.536740479596617</c:v>
                </c:pt>
                <c:pt idx="36">
                  <c:v>88.560561462025561</c:v>
                </c:pt>
                <c:pt idx="37">
                  <c:v>88.583917258285439</c:v>
                </c:pt>
                <c:pt idx="38">
                  <c:v>88.606802520293968</c:v>
                </c:pt>
                <c:pt idx="39">
                  <c:v>88.629212618759624</c:v>
                </c:pt>
                <c:pt idx="40">
                  <c:v>88.651143596804587</c:v>
                </c:pt>
                <c:pt idx="41">
                  <c:v>88.672592124989905</c:v>
                </c:pt>
                <c:pt idx="42">
                  <c:v>88.693555457809637</c:v>
                </c:pt>
                <c:pt idx="43">
                  <c:v>88.714031391696182</c:v>
                </c:pt>
                <c:pt idx="44">
                  <c:v>88.734018224573191</c:v>
                </c:pt>
                <c:pt idx="45">
                  <c:v>88.753514716973996</c:v>
                </c:pt>
                <c:pt idx="46">
                  <c:v>88.772520054734898</c:v>
                </c:pt>
                <c:pt idx="47">
                  <c:v>88.791033813261365</c:v>
                </c:pt>
                <c:pt idx="48">
                  <c:v>88.809055923356894</c:v>
                </c:pt>
                <c:pt idx="49">
                  <c:v>88.826586638595927</c:v>
                </c:pt>
                <c:pt idx="50">
                  <c:v>88.843626504217468</c:v>
                </c:pt>
                <c:pt idx="51">
                  <c:v>88.86017632750729</c:v>
                </c:pt>
                <c:pt idx="52">
                  <c:v>88.876237149635017</c:v>
                </c:pt>
                <c:pt idx="53">
                  <c:v>88.891810218906741</c:v>
                </c:pt>
                <c:pt idx="54">
                  <c:v>88.906896965391283</c:v>
                </c:pt>
                <c:pt idx="55">
                  <c:v>88.921498976874361</c:v>
                </c:pt>
                <c:pt idx="56">
                  <c:v>88.935617976096125</c:v>
                </c:pt>
                <c:pt idx="57">
                  <c:v>88.94925579922149</c:v>
                </c:pt>
                <c:pt idx="58">
                  <c:v>88.962414375497033</c:v>
                </c:pt>
                <c:pt idx="59">
                  <c:v>88.97509570804236</c:v>
                </c:pt>
                <c:pt idx="60">
                  <c:v>88.987301855728546</c:v>
                </c:pt>
                <c:pt idx="61">
                  <c:v>88.999034916092214</c:v>
                </c:pt>
                <c:pt idx="62">
                  <c:v>89.010297009237846</c:v>
                </c:pt>
                <c:pt idx="63">
                  <c:v>89.021090262678456</c:v>
                </c:pt>
                <c:pt idx="64">
                  <c:v>89.031416797068289</c:v>
                </c:pt>
                <c:pt idx="65">
                  <c:v>89.041278712778777</c:v>
                </c:pt>
                <c:pt idx="66">
                  <c:v>89.050678077274981</c:v>
                </c:pt>
                <c:pt idx="67">
                  <c:v>89.059616913245932</c:v>
                </c:pt>
                <c:pt idx="68">
                  <c:v>89.068097187447393</c:v>
                </c:pt>
                <c:pt idx="69">
                  <c:v>89.076120800214014</c:v>
                </c:pt>
                <c:pt idx="70">
                  <c:v>89.083689575602037</c:v>
                </c:pt>
                <c:pt idx="71">
                  <c:v>89.090805252123005</c:v>
                </c:pt>
                <c:pt idx="72">
                  <c:v>89.097469474031314</c:v>
                </c:pt>
                <c:pt idx="73">
                  <c:v>89.103683783130904</c:v>
                </c:pt>
                <c:pt idx="74">
                  <c:v>89.109449611064193</c:v>
                </c:pt>
                <c:pt idx="75">
                  <c:v>89.114768272054164</c:v>
                </c:pt>
                <c:pt idx="76">
                  <c:v>89.119640956064785</c:v>
                </c:pt>
                <c:pt idx="77">
                  <c:v>89.124068722351566</c:v>
                </c:pt>
                <c:pt idx="78">
                  <c:v>89.128052493374327</c:v>
                </c:pt>
                <c:pt idx="79">
                  <c:v>89.131593049042721</c:v>
                </c:pt>
                <c:pt idx="80">
                  <c:v>89.134691021270839</c:v>
                </c:pt>
                <c:pt idx="81">
                  <c:v>89.137346888815358</c:v>
                </c:pt>
                <c:pt idx="82">
                  <c:v>89.139560972373644</c:v>
                </c:pt>
                <c:pt idx="83">
                  <c:v>89.141333429920138</c:v>
                </c:pt>
                <c:pt idx="84">
                  <c:v>89.142664252259564</c:v>
                </c:pt>
                <c:pt idx="85">
                  <c:v>89.143553258777501</c:v>
                </c:pt>
                <c:pt idx="86">
                  <c:v>89.144000093368547</c:v>
                </c:pt>
                <c:pt idx="87">
                  <c:v>89.144004220525389</c:v>
                </c:pt>
                <c:pt idx="88">
                  <c:v>89.143564921570473</c:v>
                </c:pt>
                <c:pt idx="89">
                  <c:v>89.142681291015492</c:v>
                </c:pt>
                <c:pt idx="90">
                  <c:v>89.141352233032379</c:v>
                </c:pt>
                <c:pt idx="91">
                  <c:v>89.13957645802229</c:v>
                </c:pt>
                <c:pt idx="92">
                  <c:v>89.13735247926877</c:v>
                </c:pt>
                <c:pt idx="93">
                  <c:v>89.134678609661989</c:v>
                </c:pt>
                <c:pt idx="94">
                  <c:v>89.131552958482075</c:v>
                </c:pt>
                <c:pt idx="95">
                  <c:v>89.127973428230348</c:v>
                </c:pt>
                <c:pt idx="96">
                  <c:v>89.123937711497177</c:v>
                </c:pt>
                <c:pt idx="97">
                  <c:v>89.119443287856683</c:v>
                </c:pt>
                <c:pt idx="98">
                  <c:v>89.114487420777635</c:v>
                </c:pt>
                <c:pt idx="99">
                  <c:v>89.109067154543126</c:v>
                </c:pt>
                <c:pt idx="100">
                  <c:v>89.103179311168276</c:v>
                </c:pt>
                <c:pt idx="101">
                  <c:v>89.096820487309344</c:v>
                </c:pt>
                <c:pt idx="102">
                  <c:v>89.089987051155845</c:v>
                </c:pt>
                <c:pt idx="103">
                  <c:v>89.082675139298033</c:v>
                </c:pt>
                <c:pt idx="104">
                  <c:v>89.074880653563909</c:v>
                </c:pt>
                <c:pt idx="105">
                  <c:v>89.066599257817671</c:v>
                </c:pt>
                <c:pt idx="106">
                  <c:v>89.057826374714423</c:v>
                </c:pt>
                <c:pt idx="107">
                  <c:v>89.048557182404977</c:v>
                </c:pt>
                <c:pt idx="108">
                  <c:v>89.038786611185117</c:v>
                </c:pt>
                <c:pt idx="109">
                  <c:v>89.028509340083659</c:v>
                </c:pt>
                <c:pt idx="110">
                  <c:v>89.017719793385027</c:v>
                </c:pt>
                <c:pt idx="111">
                  <c:v>89.006412137080574</c:v>
                </c:pt>
                <c:pt idx="112">
                  <c:v>88.994580275245099</c:v>
                </c:pt>
                <c:pt idx="113">
                  <c:v>88.982217846333569</c:v>
                </c:pt>
                <c:pt idx="114">
                  <c:v>88.969318219393898</c:v>
                </c:pt>
                <c:pt idx="115">
                  <c:v>88.955874490192627</c:v>
                </c:pt>
                <c:pt idx="116">
                  <c:v>88.941879477248804</c:v>
                </c:pt>
                <c:pt idx="117">
                  <c:v>88.9273257177734</c:v>
                </c:pt>
                <c:pt idx="118">
                  <c:v>88.912205463510233</c:v>
                </c:pt>
                <c:pt idx="119">
                  <c:v>88.89651067647614</c:v>
                </c:pt>
                <c:pt idx="120">
                  <c:v>88.880233024596066</c:v>
                </c:pt>
                <c:pt idx="121">
                  <c:v>88.863363877231805</c:v>
                </c:pt>
                <c:pt idx="122">
                  <c:v>88.845894300600406</c:v>
                </c:pt>
                <c:pt idx="123">
                  <c:v>88.827815053080315</c:v>
                </c:pt>
                <c:pt idx="124">
                  <c:v>88.809116580403014</c:v>
                </c:pt>
                <c:pt idx="125">
                  <c:v>88.789789010727702</c:v>
                </c:pt>
                <c:pt idx="126">
                  <c:v>88.769822149596578</c:v>
                </c:pt>
                <c:pt idx="127">
                  <c:v>88.749205474769795</c:v>
                </c:pt>
                <c:pt idx="128">
                  <c:v>88.7279281309373</c:v>
                </c:pt>
                <c:pt idx="129">
                  <c:v>88.705978924306194</c:v>
                </c:pt>
                <c:pt idx="130">
                  <c:v>88.683346317062899</c:v>
                </c:pt>
                <c:pt idx="131">
                  <c:v>88.660018421707377</c:v>
                </c:pt>
                <c:pt idx="132">
                  <c:v>88.635982995259809</c:v>
                </c:pt>
                <c:pt idx="133">
                  <c:v>88.611227433337234</c:v>
                </c:pt>
                <c:pt idx="134">
                  <c:v>88.585738764100583</c:v>
                </c:pt>
                <c:pt idx="135">
                  <c:v>88.559503642070709</c:v>
                </c:pt>
                <c:pt idx="136">
                  <c:v>88.532508341812928</c:v>
                </c:pt>
                <c:pt idx="137">
                  <c:v>88.504738751490308</c:v>
                </c:pt>
                <c:pt idx="138">
                  <c:v>88.476180366284908</c:v>
                </c:pt>
                <c:pt idx="139">
                  <c:v>88.446818281687612</c:v>
                </c:pt>
                <c:pt idx="140">
                  <c:v>88.416637186656459</c:v>
                </c:pt>
                <c:pt idx="141">
                  <c:v>88.385621356644506</c:v>
                </c:pt>
                <c:pt idx="142">
                  <c:v>88.353754646496967</c:v>
                </c:pt>
                <c:pt idx="143">
                  <c:v>88.321020483220124</c:v>
                </c:pt>
                <c:pt idx="144">
                  <c:v>88.287401858621607</c:v>
                </c:pt>
                <c:pt idx="145">
                  <c:v>88.252881321824773</c:v>
                </c:pt>
                <c:pt idx="146">
                  <c:v>88.217440971658235</c:v>
                </c:pt>
                <c:pt idx="147">
                  <c:v>88.181062448922731</c:v>
                </c:pt>
                <c:pt idx="148">
                  <c:v>88.14372692853766</c:v>
                </c:pt>
                <c:pt idx="149">
                  <c:v>88.105415111570181</c:v>
                </c:pt>
                <c:pt idx="150">
                  <c:v>88.066107217148897</c:v>
                </c:pt>
                <c:pt idx="151">
                  <c:v>88.025782974266392</c:v>
                </c:pt>
                <c:pt idx="152">
                  <c:v>87.98442161347316</c:v>
                </c:pt>
                <c:pt idx="153">
                  <c:v>87.942001858467393</c:v>
                </c:pt>
                <c:pt idx="154">
                  <c:v>87.898501917585051</c:v>
                </c:pt>
                <c:pt idx="155">
                  <c:v>87.853899475192989</c:v>
                </c:pt>
                <c:pt idx="156">
                  <c:v>87.808171682992324</c:v>
                </c:pt>
                <c:pt idx="157">
                  <c:v>87.761295151235359</c:v>
                </c:pt>
                <c:pt idx="158">
                  <c:v>87.713245939862375</c:v>
                </c:pt>
                <c:pt idx="159">
                  <c:v>87.663999549563073</c:v>
                </c:pt>
                <c:pt idx="160">
                  <c:v>87.61353091276996</c:v>
                </c:pt>
                <c:pt idx="161">
                  <c:v>87.561814384589198</c:v>
                </c:pt>
                <c:pt idx="162">
                  <c:v>87.508823733674603</c:v>
                </c:pt>
                <c:pt idx="163">
                  <c:v>87.454532133053505</c:v>
                </c:pt>
                <c:pt idx="164">
                  <c:v>87.398912150909524</c:v>
                </c:pt>
                <c:pt idx="165">
                  <c:v>87.341935741329436</c:v>
                </c:pt>
                <c:pt idx="166">
                  <c:v>87.28357423502311</c:v>
                </c:pt>
                <c:pt idx="167">
                  <c:v>87.223798330020344</c:v>
                </c:pt>
                <c:pt idx="168">
                  <c:v>87.162578082354543</c:v>
                </c:pt>
                <c:pt idx="169">
                  <c:v>87.099882896738194</c:v>
                </c:pt>
                <c:pt idx="170">
                  <c:v>87.035681517237975</c:v>
                </c:pt>
                <c:pt idx="171">
                  <c:v>86.969942017954224</c:v>
                </c:pt>
                <c:pt idx="172">
                  <c:v>86.902631793712146</c:v>
                </c:pt>
                <c:pt idx="173">
                  <c:v>86.83371755076854</c:v>
                </c:pt>
                <c:pt idx="174">
                  <c:v>86.76316529753862</c:v>
                </c:pt>
                <c:pt idx="175">
                  <c:v>86.690940335346525</c:v>
                </c:pt>
                <c:pt idx="176">
                  <c:v>86.617007249201549</c:v>
                </c:pt>
                <c:pt idx="177">
                  <c:v>86.541329898599784</c:v>
                </c:pt>
                <c:pt idx="178">
                  <c:v>86.463871408352603</c:v>
                </c:pt>
                <c:pt idx="179">
                  <c:v>86.384594159435593</c:v>
                </c:pt>
                <c:pt idx="180">
                  <c:v>86.303459779857036</c:v>
                </c:pt>
                <c:pt idx="181">
                  <c:v>86.220429135534303</c:v>
                </c:pt>
                <c:pt idx="182">
                  <c:v>86.135462321171758</c:v>
                </c:pt>
                <c:pt idx="183">
                  <c:v>86.048518651123359</c:v>
                </c:pt>
                <c:pt idx="184">
                  <c:v>85.959556650225437</c:v>
                </c:pt>
                <c:pt idx="185">
                  <c:v>85.868534044577061</c:v>
                </c:pt>
                <c:pt idx="186">
                  <c:v>85.775407752243368</c:v>
                </c:pt>
                <c:pt idx="187">
                  <c:v>85.680133873853052</c:v>
                </c:pt>
                <c:pt idx="188">
                  <c:v>85.582667683052208</c:v>
                </c:pt>
                <c:pt idx="189">
                  <c:v>85.48296361677599</c:v>
                </c:pt>
                <c:pt idx="190">
                  <c:v>85.38097526529036</c:v>
                </c:pt>
                <c:pt idx="191">
                  <c:v>85.276655361950787</c:v>
                </c:pt>
                <c:pt idx="192">
                  <c:v>85.169955772617001</c:v>
                </c:pt>
                <c:pt idx="193">
                  <c:v>85.060827484658247</c:v>
                </c:pt>
                <c:pt idx="194">
                  <c:v>84.9492205954691</c:v>
                </c:pt>
                <c:pt idx="195">
                  <c:v>84.835084300418998</c:v>
                </c:pt>
                <c:pt idx="196">
                  <c:v>84.718366880137992</c:v>
                </c:pt>
                <c:pt idx="197">
                  <c:v>84.599015687042211</c:v>
                </c:pt>
                <c:pt idx="198">
                  <c:v>84.476977130987166</c:v>
                </c:pt>
                <c:pt idx="199">
                  <c:v>84.352196663935914</c:v>
                </c:pt>
                <c:pt idx="200">
                  <c:v>84.224618763509753</c:v>
                </c:pt>
                <c:pt idx="201">
                  <c:v>84.094186915293932</c:v>
                </c:pt>
                <c:pt idx="202">
                  <c:v>83.960843593749345</c:v>
                </c:pt>
                <c:pt idx="203">
                  <c:v>83.824530241587055</c:v>
                </c:pt>
                <c:pt idx="204">
                  <c:v>83.685187247443679</c:v>
                </c:pt>
                <c:pt idx="205">
                  <c:v>83.542753921699145</c:v>
                </c:pt>
                <c:pt idx="206">
                  <c:v>83.397168470270131</c:v>
                </c:pt>
                <c:pt idx="207">
                  <c:v>83.248367966208775</c:v>
                </c:pt>
                <c:pt idx="208">
                  <c:v>83.096288318938335</c:v>
                </c:pt>
                <c:pt idx="209">
                  <c:v>82.940864240953005</c:v>
                </c:pt>
                <c:pt idx="210">
                  <c:v>82.782029211821367</c:v>
                </c:pt>
                <c:pt idx="211">
                  <c:v>82.619715439324395</c:v>
                </c:pt>
                <c:pt idx="212">
                  <c:v>82.453853817584246</c:v>
                </c:pt>
                <c:pt idx="213">
                  <c:v>82.284373882038764</c:v>
                </c:pt>
                <c:pt idx="214">
                  <c:v>82.111203761135087</c:v>
                </c:pt>
                <c:pt idx="215">
                  <c:v>81.934270124641031</c:v>
                </c:pt>
                <c:pt idx="216">
                  <c:v>81.753498128479961</c:v>
                </c:pt>
                <c:pt idx="217">
                  <c:v>81.568811356042531</c:v>
                </c:pt>
                <c:pt idx="218">
                  <c:v>81.38013175593305</c:v>
                </c:pt>
                <c:pt idx="219">
                  <c:v>81.187379576166578</c:v>
                </c:pt>
                <c:pt idx="220">
                  <c:v>80.990473294854894</c:v>
                </c:pt>
                <c:pt idx="221">
                  <c:v>80.789329547460341</c:v>
                </c:pt>
                <c:pt idx="222">
                  <c:v>80.583863050756094</c:v>
                </c:pt>
                <c:pt idx="223">
                  <c:v>80.373986523659454</c:v>
                </c:pt>
                <c:pt idx="224">
                  <c:v>80.159610605170315</c:v>
                </c:pt>
                <c:pt idx="225">
                  <c:v>79.940643769687981</c:v>
                </c:pt>
                <c:pt idx="226">
                  <c:v>79.716992240043709</c:v>
                </c:pt>
                <c:pt idx="227">
                  <c:v>79.488559898628083</c:v>
                </c:pt>
                <c:pt idx="228">
                  <c:v>79.255248197056687</c:v>
                </c:pt>
                <c:pt idx="229">
                  <c:v>79.016956064863962</c:v>
                </c:pt>
                <c:pt idx="230">
                  <c:v>78.77357981776747</c:v>
                </c:pt>
                <c:pt idx="231">
                  <c:v>78.525013066087453</c:v>
                </c:pt>
                <c:pt idx="232">
                  <c:v>78.271146623963119</c:v>
                </c:pt>
                <c:pt idx="233">
                  <c:v>78.011868420022964</c:v>
                </c:pt>
                <c:pt idx="234">
                  <c:v>77.7470634102216</c:v>
                </c:pt>
                <c:pt idx="235">
                  <c:v>77.476613493564031</c:v>
                </c:pt>
                <c:pt idx="236">
                  <c:v>77.200397431463657</c:v>
                </c:pt>
                <c:pt idx="237">
                  <c:v>76.918290771491755</c:v>
                </c:pt>
                <c:pt idx="238">
                  <c:v>76.630165776266296</c:v>
                </c:pt>
                <c:pt idx="239">
                  <c:v>76.335891358239124</c:v>
                </c:pt>
                <c:pt idx="240">
                  <c:v>76.035333021105544</c:v>
                </c:pt>
                <c:pt idx="241">
                  <c:v>75.728352808545324</c:v>
                </c:pt>
                <c:pt idx="242">
                  <c:v>75.414809260975915</c:v>
                </c:pt>
                <c:pt idx="243">
                  <c:v>75.094557380947393</c:v>
                </c:pt>
                <c:pt idx="244">
                  <c:v>74.767448607768841</c:v>
                </c:pt>
                <c:pt idx="245">
                  <c:v>74.433330801906678</c:v>
                </c:pt>
                <c:pt idx="246">
                  <c:v>74.092048239631978</c:v>
                </c:pt>
                <c:pt idx="247">
                  <c:v>73.743441618339119</c:v>
                </c:pt>
                <c:pt idx="248">
                  <c:v>73.387348072896927</c:v>
                </c:pt>
                <c:pt idx="249">
                  <c:v>73.023601203333811</c:v>
                </c:pt>
                <c:pt idx="250">
                  <c:v>72.652031114088643</c:v>
                </c:pt>
                <c:pt idx="251">
                  <c:v>72.272464465022935</c:v>
                </c:pt>
                <c:pt idx="252">
                  <c:v>71.884724534314188</c:v>
                </c:pt>
                <c:pt idx="253">
                  <c:v>71.488631293319457</c:v>
                </c:pt>
                <c:pt idx="254">
                  <c:v>71.084001493447104</c:v>
                </c:pt>
                <c:pt idx="255">
                  <c:v>70.670648765052704</c:v>
                </c:pt>
                <c:pt idx="256">
                  <c:v>70.248383728335014</c:v>
                </c:pt>
                <c:pt idx="257">
                  <c:v>69.817014116203794</c:v>
                </c:pt>
                <c:pt idx="258">
                  <c:v>69.376344909079847</c:v>
                </c:pt>
                <c:pt idx="259">
                  <c:v>68.926178481582227</c:v>
                </c:pt>
                <c:pt idx="260">
                  <c:v>68.466314761077925</c:v>
                </c:pt>
                <c:pt idx="261">
                  <c:v>67.996551398078637</c:v>
                </c:pt>
                <c:pt idx="262">
                  <c:v>67.516683948495285</c:v>
                </c:pt>
                <c:pt idx="263">
                  <c:v>67.026506067796561</c:v>
                </c:pt>
                <c:pt idx="264">
                  <c:v>66.525809717149698</c:v>
                </c:pt>
                <c:pt idx="265">
                  <c:v>66.014385381667395</c:v>
                </c:pt>
                <c:pt idx="266">
                  <c:v>65.492022300920368</c:v>
                </c:pt>
                <c:pt idx="267">
                  <c:v>64.958508711934655</c:v>
                </c:pt>
                <c:pt idx="268">
                  <c:v>64.413632104925426</c:v>
                </c:pt>
                <c:pt idx="269">
                  <c:v>63.857179492071289</c:v>
                </c:pt>
                <c:pt idx="270">
                  <c:v>63.288937689669304</c:v>
                </c:pt>
                <c:pt idx="271">
                  <c:v>62.708693614059584</c:v>
                </c:pt>
                <c:pt idx="272">
                  <c:v>62.11623459172408</c:v>
                </c:pt>
                <c:pt idx="273">
                  <c:v>61.511348684008858</c:v>
                </c:pt>
                <c:pt idx="274">
                  <c:v>60.893825026917796</c:v>
                </c:pt>
                <c:pt idx="275">
                  <c:v>60.26345418644928</c:v>
                </c:pt>
                <c:pt idx="276">
                  <c:v>59.620028529935574</c:v>
                </c:pt>
                <c:pt idx="277">
                  <c:v>58.96334261383911</c:v>
                </c:pt>
                <c:pt idx="278">
                  <c:v>58.293193588419797</c:v>
                </c:pt>
                <c:pt idx="279">
                  <c:v>57.60938161967173</c:v>
                </c:pt>
                <c:pt idx="280">
                  <c:v>56.911710328848891</c:v>
                </c:pt>
                <c:pt idx="281">
                  <c:v>56.199987249856271</c:v>
                </c:pt>
                <c:pt idx="282">
                  <c:v>55.474024304681372</c:v>
                </c:pt>
                <c:pt idx="283">
                  <c:v>54.733638296957956</c:v>
                </c:pt>
                <c:pt idx="284">
                  <c:v>53.978651423639647</c:v>
                </c:pt>
                <c:pt idx="285">
                  <c:v>53.208891804619334</c:v>
                </c:pt>
                <c:pt idx="286">
                  <c:v>52.424194030010369</c:v>
                </c:pt>
                <c:pt idx="287">
                  <c:v>51.624399724623522</c:v>
                </c:pt>
                <c:pt idx="288">
                  <c:v>50.80935812902127</c:v>
                </c:pt>
                <c:pt idx="289">
                  <c:v>49.978926696315717</c:v>
                </c:pt>
                <c:pt idx="290">
                  <c:v>49.132971703710766</c:v>
                </c:pt>
                <c:pt idx="291">
                  <c:v>48.271368877537427</c:v>
                </c:pt>
                <c:pt idx="292">
                  <c:v>47.394004030326997</c:v>
                </c:pt>
                <c:pt idx="293">
                  <c:v>46.500773708226575</c:v>
                </c:pt>
                <c:pt idx="294">
                  <c:v>45.591585846807988</c:v>
                </c:pt>
                <c:pt idx="295">
                  <c:v>44.666360433078147</c:v>
                </c:pt>
                <c:pt idx="296">
                  <c:v>43.725030171233342</c:v>
                </c:pt>
                <c:pt idx="297">
                  <c:v>42.767541149448718</c:v>
                </c:pt>
                <c:pt idx="298">
                  <c:v>41.793853504729597</c:v>
                </c:pt>
                <c:pt idx="299">
                  <c:v>40.803942082600969</c:v>
                </c:pt>
                <c:pt idx="300">
                  <c:v>39.797797088158553</c:v>
                </c:pt>
                <c:pt idx="301">
                  <c:v>38.775424724775249</c:v>
                </c:pt>
                <c:pt idx="302">
                  <c:v>37.736847816522292</c:v>
                </c:pt>
                <c:pt idx="303">
                  <c:v>36.682106410173681</c:v>
                </c:pt>
                <c:pt idx="304">
                  <c:v>35.611258352464063</c:v>
                </c:pt>
                <c:pt idx="305">
                  <c:v>34.524379838128354</c:v>
                </c:pt>
                <c:pt idx="306">
                  <c:v>33.421565924109885</c:v>
                </c:pt>
                <c:pt idx="307">
                  <c:v>32.302931005248993</c:v>
                </c:pt>
                <c:pt idx="308">
                  <c:v>31.168609246690593</c:v>
                </c:pt>
                <c:pt idx="309">
                  <c:v>30.01875496825588</c:v>
                </c:pt>
                <c:pt idx="310">
                  <c:v>28.853542976040799</c:v>
                </c:pt>
                <c:pt idx="311">
                  <c:v>27.673168836596659</c:v>
                </c:pt>
                <c:pt idx="312">
                  <c:v>26.477849089170967</c:v>
                </c:pt>
                <c:pt idx="313">
                  <c:v>25.267821391675547</c:v>
                </c:pt>
                <c:pt idx="314">
                  <c:v>24.043344596285731</c:v>
                </c:pt>
                <c:pt idx="315">
                  <c:v>22.804698750861448</c:v>
                </c:pt>
                <c:pt idx="316">
                  <c:v>21.552185022727823</c:v>
                </c:pt>
                <c:pt idx="317">
                  <c:v>20.286125541754362</c:v>
                </c:pt>
                <c:pt idx="318">
                  <c:v>19.006863160108217</c:v>
                </c:pt>
                <c:pt idx="319">
                  <c:v>17.714761126560841</c:v>
                </c:pt>
                <c:pt idx="320">
                  <c:v>16.410202673762242</c:v>
                </c:pt>
                <c:pt idx="321">
                  <c:v>15.093590517471215</c:v>
                </c:pt>
                <c:pt idx="322">
                  <c:v>13.765346267349178</c:v>
                </c:pt>
                <c:pt idx="323">
                  <c:v>12.425909749553128</c:v>
                </c:pt>
                <c:pt idx="324">
                  <c:v>11.07573824203185</c:v>
                </c:pt>
                <c:pt idx="325">
                  <c:v>9.7153056241033706</c:v>
                </c:pt>
                <c:pt idx="326">
                  <c:v>8.3451014425689394</c:v>
                </c:pt>
                <c:pt idx="327">
                  <c:v>6.9656298972971378</c:v>
                </c:pt>
                <c:pt idx="328">
                  <c:v>5.5774087498948584</c:v>
                </c:pt>
                <c:pt idx="329">
                  <c:v>4.180968159711143</c:v>
                </c:pt>
                <c:pt idx="330">
                  <c:v>2.7768494520841682</c:v>
                </c:pt>
                <c:pt idx="331">
                  <c:v>1.3656038242977075</c:v>
                </c:pt>
                <c:pt idx="332">
                  <c:v>-5.2209004693293204E-2</c:v>
                </c:pt>
                <c:pt idx="333">
                  <c:v>-1.4760221942293441</c:v>
                </c:pt>
                <c:pt idx="334">
                  <c:v>-2.9052632245834782</c:v>
                </c:pt>
                <c:pt idx="335">
                  <c:v>-4.3393553748687239</c:v>
                </c:pt>
                <c:pt idx="336">
                  <c:v>-5.777719228463388</c:v>
                </c:pt>
                <c:pt idx="337">
                  <c:v>-7.2197741979527308</c:v>
                </c:pt>
                <c:pt idx="338">
                  <c:v>-8.6649400613677159</c:v>
                </c:pt>
                <c:pt idx="339">
                  <c:v>-10.112638501389936</c:v>
                </c:pt>
                <c:pt idx="340">
                  <c:v>-11.562294639138548</c:v>
                </c:pt>
                <c:pt idx="341">
                  <c:v>-13.013338554182891</c:v>
                </c:pt>
                <c:pt idx="342">
                  <c:v>-14.465206782511801</c:v>
                </c:pt>
                <c:pt idx="343">
                  <c:v>-15.917343784378815</c:v>
                </c:pt>
                <c:pt idx="344">
                  <c:v>-17.369203374178586</c:v>
                </c:pt>
                <c:pt idx="345">
                  <c:v>-18.820250104814484</c:v>
                </c:pt>
                <c:pt idx="346">
                  <c:v>-20.269960599409156</c:v>
                </c:pt>
                <c:pt idx="347">
                  <c:v>-21.717824823618116</c:v>
                </c:pt>
                <c:pt idx="348">
                  <c:v>-23.163347292331526</c:v>
                </c:pt>
                <c:pt idx="349">
                  <c:v>-24.606048205036231</c:v>
                </c:pt>
                <c:pt idx="350">
                  <c:v>-26.045464504735694</c:v>
                </c:pt>
                <c:pt idx="351">
                  <c:v>-27.481150855891805</c:v>
                </c:pt>
                <c:pt idx="352">
                  <c:v>-28.912680537522615</c:v>
                </c:pt>
                <c:pt idx="353">
                  <c:v>-30.33964624820949</c:v>
                </c:pt>
                <c:pt idx="354">
                  <c:v>-31.761660820475434</c:v>
                </c:pt>
                <c:pt idx="355">
                  <c:v>-33.17835784260253</c:v>
                </c:pt>
                <c:pt idx="356">
                  <c:v>-34.589392186682815</c:v>
                </c:pt>
                <c:pt idx="357">
                  <c:v>-35.994440442293495</c:v>
                </c:pt>
                <c:pt idx="358">
                  <c:v>-37.393201255845341</c:v>
                </c:pt>
                <c:pt idx="359">
                  <c:v>-38.785395576241399</c:v>
                </c:pt>
                <c:pt idx="360">
                  <c:v>-40.170766808064535</c:v>
                </c:pt>
                <c:pt idx="361">
                  <c:v>-41.549080874027254</c:v>
                </c:pt>
                <c:pt idx="362">
                  <c:v>-42.920126188934049</c:v>
                </c:pt>
                <c:pt idx="363">
                  <c:v>-44.283713547824277</c:v>
                </c:pt>
                <c:pt idx="364">
                  <c:v>-45.639675931379081</c:v>
                </c:pt>
                <c:pt idx="365">
                  <c:v>-46.987868232018286</c:v>
                </c:pt>
                <c:pt idx="366">
                  <c:v>-48.328166904404171</c:v>
                </c:pt>
                <c:pt idx="367">
                  <c:v>-49.66046954431966</c:v>
                </c:pt>
                <c:pt idx="368">
                  <c:v>-50.984694400078858</c:v>
                </c:pt>
                <c:pt idx="369">
                  <c:v>-52.300779820773826</c:v>
                </c:pt>
                <c:pt idx="370">
                  <c:v>-53.608683645758497</c:v>
                </c:pt>
                <c:pt idx="371">
                  <c:v>-54.908382539822263</c:v>
                </c:pt>
                <c:pt idx="372">
                  <c:v>-56.199871278526068</c:v>
                </c:pt>
                <c:pt idx="373">
                  <c:v>-57.483161988127392</c:v>
                </c:pt>
                <c:pt idx="374">
                  <c:v>-58.758283344491758</c:v>
                </c:pt>
                <c:pt idx="375">
                  <c:v>-60.025279735270523</c:v>
                </c:pt>
                <c:pt idx="376">
                  <c:v>-61.28421038952974</c:v>
                </c:pt>
                <c:pt idx="377">
                  <c:v>-62.535148478874916</c:v>
                </c:pt>
                <c:pt idx="378">
                  <c:v>-63.778180193962918</c:v>
                </c:pt>
                <c:pt idx="379">
                  <c:v>-65.01340380014507</c:v>
                </c:pt>
                <c:pt idx="380">
                  <c:v>-66.240928675793327</c:v>
                </c:pt>
                <c:pt idx="381">
                  <c:v>-67.460874336715165</c:v>
                </c:pt>
                <c:pt idx="382">
                  <c:v>-68.673369449875437</c:v>
                </c:pt>
                <c:pt idx="383">
                  <c:v>-69.878550839481548</c:v>
                </c:pt>
                <c:pt idx="384">
                  <c:v>-71.076562488328364</c:v>
                </c:pt>
                <c:pt idx="385">
                  <c:v>-72.267554537150247</c:v>
                </c:pt>
                <c:pt idx="386">
                  <c:v>-73.451682284590703</c:v>
                </c:pt>
                <c:pt idx="387">
                  <c:v>-74.629105190276462</c:v>
                </c:pt>
                <c:pt idx="388">
                  <c:v>-75.799985883377857</c:v>
                </c:pt>
                <c:pt idx="389">
                  <c:v>-76.964489178947304</c:v>
                </c:pt>
                <c:pt idx="390">
                  <c:v>-78.122781104258607</c:v>
                </c:pt>
                <c:pt idx="391">
                  <c:v>-79.275027937315471</c:v>
                </c:pt>
                <c:pt idx="392">
                  <c:v>-80.42139525966445</c:v>
                </c:pt>
                <c:pt idx="393">
                  <c:v>-81.56204702563285</c:v>
                </c:pt>
                <c:pt idx="394">
                  <c:v>-82.697144650108825</c:v>
                </c:pt>
                <c:pt idx="395">
                  <c:v>-83.826846117002447</c:v>
                </c:pt>
                <c:pt idx="396">
                  <c:v>-84.951305110549669</c:v>
                </c:pt>
                <c:pt idx="397">
                  <c:v>-86.070670171670699</c:v>
                </c:pt>
                <c:pt idx="398">
                  <c:v>-87.185083881638008</c:v>
                </c:pt>
                <c:pt idx="399">
                  <c:v>-88.294682075370403</c:v>
                </c:pt>
                <c:pt idx="400">
                  <c:v>-89.39959308672816</c:v>
                </c:pt>
                <c:pt idx="401">
                  <c:v>-90.499937028245839</c:v>
                </c:pt>
                <c:pt idx="402">
                  <c:v>-91.595825107794454</c:v>
                </c:pt>
                <c:pt idx="403">
                  <c:v>-92.687358984715814</c:v>
                </c:pt>
                <c:pt idx="404">
                  <c:v>-93.774630168005231</c:v>
                </c:pt>
                <c:pt idx="405">
                  <c:v>-94.857719459147802</c:v>
                </c:pt>
                <c:pt idx="406">
                  <c:v>-95.936696442208557</c:v>
                </c:pt>
                <c:pt idx="407">
                  <c:v>-97.011619023761853</c:v>
                </c:pt>
                <c:pt idx="408">
                  <c:v>-98.082533025195758</c:v>
                </c:pt>
                <c:pt idx="409">
                  <c:v>-99.149471829851834</c:v>
                </c:pt>
                <c:pt idx="410">
                  <c:v>-100.21245608734402</c:v>
                </c:pt>
                <c:pt idx="411">
                  <c:v>-101.27149347726112</c:v>
                </c:pt>
                <c:pt idx="412">
                  <c:v>-102.32657853426666</c:v>
                </c:pt>
                <c:pt idx="413">
                  <c:v>-103.37769253638565</c:v>
                </c:pt>
                <c:pt idx="414">
                  <c:v>-104.42480345800834</c:v>
                </c:pt>
                <c:pt idx="415">
                  <c:v>-105.46786598882723</c:v>
                </c:pt>
                <c:pt idx="416">
                  <c:v>-106.50682161959024</c:v>
                </c:pt>
                <c:pt idx="417">
                  <c:v>-107.54159879516095</c:v>
                </c:pt>
                <c:pt idx="418">
                  <c:v>-108.57211313497345</c:v>
                </c:pt>
                <c:pt idx="419">
                  <c:v>-109.5982677205081</c:v>
                </c:pt>
                <c:pt idx="420">
                  <c:v>-110.61995344896106</c:v>
                </c:pt>
                <c:pt idx="421">
                  <c:v>-111.63704945177106</c:v>
                </c:pt>
                <c:pt idx="422">
                  <c:v>-112.64942357616687</c:v>
                </c:pt>
                <c:pt idx="423">
                  <c:v>-113.6569329273932</c:v>
                </c:pt>
                <c:pt idx="424">
                  <c:v>-114.65942446874166</c:v>
                </c:pt>
                <c:pt idx="425">
                  <c:v>-115.65673567602778</c:v>
                </c:pt>
                <c:pt idx="426">
                  <c:v>-116.64869524265853</c:v>
                </c:pt>
                <c:pt idx="427">
                  <c:v>-117.6351238309643</c:v>
                </c:pt>
                <c:pt idx="428">
                  <c:v>-118.61583486505664</c:v>
                </c:pt>
                <c:pt idx="429">
                  <c:v>-119.59063536007709</c:v>
                </c:pt>
                <c:pt idx="430">
                  <c:v>-120.55932678235141</c:v>
                </c:pt>
                <c:pt idx="431">
                  <c:v>-121.52170593469991</c:v>
                </c:pt>
                <c:pt idx="432">
                  <c:v>-122.47756586090956</c:v>
                </c:pt>
                <c:pt idx="433">
                  <c:v>-123.42669676323146</c:v>
                </c:pt>
                <c:pt idx="434">
                  <c:v>-124.36888692665565</c:v>
                </c:pt>
                <c:pt idx="435">
                  <c:v>-125.30392364371568</c:v>
                </c:pt>
                <c:pt idx="436">
                  <c:v>-126.23159413360979</c:v>
                </c:pt>
                <c:pt idx="437">
                  <c:v>-127.15168644955533</c:v>
                </c:pt>
                <c:pt idx="438">
                  <c:v>-128.06399036847159</c:v>
                </c:pt>
                <c:pt idx="439">
                  <c:v>-128.96829825735483</c:v>
                </c:pt>
                <c:pt idx="440">
                  <c:v>-129.86440591100916</c:v>
                </c:pt>
                <c:pt idx="441">
                  <c:v>-130.75211335617661</c:v>
                </c:pt>
                <c:pt idx="442">
                  <c:v>-131.63122561752127</c:v>
                </c:pt>
                <c:pt idx="443">
                  <c:v>-132.50155344138608</c:v>
                </c:pt>
                <c:pt idx="444">
                  <c:v>-133.36291397372614</c:v>
                </c:pt>
                <c:pt idx="445">
                  <c:v>-134.21513138915068</c:v>
                </c:pt>
                <c:pt idx="446">
                  <c:v>-135.05803746852277</c:v>
                </c:pt>
                <c:pt idx="447">
                  <c:v>-135.8914721231271</c:v>
                </c:pt>
                <c:pt idx="448">
                  <c:v>-136.71528386394149</c:v>
                </c:pt>
                <c:pt idx="449">
                  <c:v>-137.52933021509131</c:v>
                </c:pt>
                <c:pt idx="450">
                  <c:v>-138.33347807108154</c:v>
                </c:pt>
                <c:pt idx="451">
                  <c:v>-139.12760399789926</c:v>
                </c:pt>
                <c:pt idx="452">
                  <c:v>-139.91159447855256</c:v>
                </c:pt>
                <c:pt idx="453">
                  <c:v>-140.68534610404376</c:v>
                </c:pt>
                <c:pt idx="454">
                  <c:v>-141.4487657111805</c:v>
                </c:pt>
                <c:pt idx="455">
                  <c:v>-142.20177046899573</c:v>
                </c:pt>
                <c:pt idx="456">
                  <c:v>-142.94428791585065</c:v>
                </c:pt>
                <c:pt idx="457">
                  <c:v>-143.6762559495962</c:v>
                </c:pt>
                <c:pt idx="458">
                  <c:v>-144.39762277337837</c:v>
                </c:pt>
                <c:pt idx="459">
                  <c:v>-145.10834679988011</c:v>
                </c:pt>
                <c:pt idx="460">
                  <c:v>-145.80839651693051</c:v>
                </c:pt>
                <c:pt idx="461">
                  <c:v>-146.49775031751966</c:v>
                </c:pt>
                <c:pt idx="462">
                  <c:v>-147.17639629732673</c:v>
                </c:pt>
                <c:pt idx="463">
                  <c:v>-147.84433202290353</c:v>
                </c:pt>
                <c:pt idx="464">
                  <c:v>-148.50156427363692</c:v>
                </c:pt>
                <c:pt idx="465">
                  <c:v>-149.14810876060221</c:v>
                </c:pt>
                <c:pt idx="466">
                  <c:v>-149.78398982534284</c:v>
                </c:pt>
                <c:pt idx="467">
                  <c:v>-150.40924012153022</c:v>
                </c:pt>
                <c:pt idx="468">
                  <c:v>-151.02390028235533</c:v>
                </c:pt>
                <c:pt idx="469">
                  <c:v>-151.62801857637854</c:v>
                </c:pt>
                <c:pt idx="470">
                  <c:v>-152.22165055442375</c:v>
                </c:pt>
                <c:pt idx="471">
                  <c:v>-152.80485868996294</c:v>
                </c:pt>
                <c:pt idx="472">
                  <c:v>-153.37771201526749</c:v>
                </c:pt>
                <c:pt idx="473">
                  <c:v>-153.94028575545613</c:v>
                </c:pt>
                <c:pt idx="474">
                  <c:v>-154.49266096238796</c:v>
                </c:pt>
                <c:pt idx="475">
                  <c:v>-155.03492415019579</c:v>
                </c:pt>
                <c:pt idx="476">
                  <c:v>-155.56716693407733</c:v>
                </c:pt>
                <c:pt idx="477">
                  <c:v>-156.08948567381168</c:v>
                </c:pt>
                <c:pt idx="478">
                  <c:v>-156.6019811232961</c:v>
                </c:pt>
                <c:pt idx="479">
                  <c:v>-157.10475808725366</c:v>
                </c:pt>
                <c:pt idx="480">
                  <c:v>-157.59792508611415</c:v>
                </c:pt>
                <c:pt idx="481">
                  <c:v>-158.08159402992166</c:v>
                </c:pt>
                <c:pt idx="482">
                  <c:v>-158.55587990200434</c:v>
                </c:pt>
                <c:pt idx="483">
                  <c:v>-159.02090045300125</c:v>
                </c:pt>
                <c:pt idx="484">
                  <c:v>-159.47677590573792</c:v>
                </c:pt>
                <c:pt idx="485">
                  <c:v>-159.92362867132755</c:v>
                </c:pt>
                <c:pt idx="486">
                  <c:v>-160.36158307677667</c:v>
                </c:pt>
                <c:pt idx="487">
                  <c:v>-160.79076510429007</c:v>
                </c:pt>
                <c:pt idx="488">
                  <c:v>-161.21130214237078</c:v>
                </c:pt>
                <c:pt idx="489">
                  <c:v>-161.62332274876402</c:v>
                </c:pt>
                <c:pt idx="490">
                  <c:v>-162.02695642519498</c:v>
                </c:pt>
                <c:pt idx="491">
                  <c:v>-162.42233340382276</c:v>
                </c:pt>
                <c:pt idx="492">
                  <c:v>-162.80958444525569</c:v>
                </c:pt>
                <c:pt idx="493">
                  <c:v>-163.18884064794347</c:v>
                </c:pt>
                <c:pt idx="494">
                  <c:v>-163.56023326871778</c:v>
                </c:pt>
                <c:pt idx="495">
                  <c:v>-163.92389355421687</c:v>
                </c:pt>
                <c:pt idx="496">
                  <c:v>-164.27995258290684</c:v>
                </c:pt>
                <c:pt idx="497">
                  <c:v>-164.62854111738491</c:v>
                </c:pt>
                <c:pt idx="498">
                  <c:v>-164.96978946663509</c:v>
                </c:pt>
                <c:pt idx="499">
                  <c:v>-165.30382735788865</c:v>
                </c:pt>
                <c:pt idx="500">
                  <c:v>-165.63078381773391</c:v>
                </c:pt>
                <c:pt idx="501">
                  <c:v>-165.95078706211183</c:v>
                </c:pt>
                <c:pt idx="502">
                  <c:v>-166.26396439482627</c:v>
                </c:pt>
                <c:pt idx="503">
                  <c:v>-166.57044211420418</c:v>
                </c:pt>
                <c:pt idx="504">
                  <c:v>-166.87034542752878</c:v>
                </c:pt>
                <c:pt idx="505">
                  <c:v>-167.16379837288457</c:v>
                </c:pt>
                <c:pt idx="506">
                  <c:v>-167.45092374804889</c:v>
                </c:pt>
                <c:pt idx="507">
                  <c:v>-167.73184304607184</c:v>
                </c:pt>
                <c:pt idx="508">
                  <c:v>-168.00667639719748</c:v>
                </c:pt>
                <c:pt idx="509">
                  <c:v>-168.27554251678191</c:v>
                </c:pt>
                <c:pt idx="510">
                  <c:v>-168.53855865887704</c:v>
                </c:pt>
                <c:pt idx="511">
                  <c:v>-168.79584057515694</c:v>
                </c:pt>
                <c:pt idx="512">
                  <c:v>-169.04750247887392</c:v>
                </c:pt>
                <c:pt idx="513">
                  <c:v>-169.29365701354305</c:v>
                </c:pt>
                <c:pt idx="514">
                  <c:v>-169.53441522606485</c:v>
                </c:pt>
                <c:pt idx="515">
                  <c:v>-169.76988654400535</c:v>
                </c:pt>
                <c:pt idx="516">
                  <c:v>-170.00017875676855</c:v>
                </c:pt>
                <c:pt idx="517">
                  <c:v>-170.22539800040278</c:v>
                </c:pt>
                <c:pt idx="518">
                  <c:v>-170.44564874579524</c:v>
                </c:pt>
                <c:pt idx="519">
                  <c:v>-170.66103379002476</c:v>
                </c:pt>
                <c:pt idx="520">
                  <c:v>-170.87165425064634</c:v>
                </c:pt>
                <c:pt idx="521">
                  <c:v>-171.07760956269857</c:v>
                </c:pt>
                <c:pt idx="522">
                  <c:v>-171.27899747823133</c:v>
                </c:pt>
                <c:pt idx="523">
                  <c:v>-171.47591406816517</c:v>
                </c:pt>
                <c:pt idx="524">
                  <c:v>-171.66845372630013</c:v>
                </c:pt>
                <c:pt idx="525">
                  <c:v>-171.85670917530558</c:v>
                </c:pt>
                <c:pt idx="526">
                  <c:v>-172.0407714745279</c:v>
                </c:pt>
                <c:pt idx="527">
                  <c:v>-172.22073002946581</c:v>
                </c:pt>
                <c:pt idx="528">
                  <c:v>-172.3966726027698</c:v>
                </c:pt>
                <c:pt idx="529">
                  <c:v>-172.56868532663111</c:v>
                </c:pt>
                <c:pt idx="530">
                  <c:v>-172.73685271643248</c:v>
                </c:pt>
                <c:pt idx="531">
                  <c:v>-172.90125768554401</c:v>
                </c:pt>
                <c:pt idx="532">
                  <c:v>-173.06198156115096</c:v>
                </c:pt>
                <c:pt idx="533">
                  <c:v>-173.21910410100972</c:v>
                </c:pt>
                <c:pt idx="534">
                  <c:v>-173.37270351103422</c:v>
                </c:pt>
                <c:pt idx="535">
                  <c:v>-173.52285646362085</c:v>
                </c:pt>
                <c:pt idx="536">
                  <c:v>-173.66963811662757</c:v>
                </c:pt>
                <c:pt idx="537">
                  <c:v>-173.81312213292688</c:v>
                </c:pt>
                <c:pt idx="538">
                  <c:v>-173.95338070045827</c:v>
                </c:pt>
                <c:pt idx="539">
                  <c:v>-174.09048455271227</c:v>
                </c:pt>
                <c:pt idx="540">
                  <c:v>-174.22450298958003</c:v>
                </c:pt>
                <c:pt idx="541">
                  <c:v>-174.35550389851088</c:v>
                </c:pt>
              </c:numCache>
            </c:numRef>
          </c:yVal>
          <c:smooth val="1"/>
          <c:extLst>
            <c:ext xmlns:c16="http://schemas.microsoft.com/office/drawing/2014/chart" uri="{C3380CC4-5D6E-409C-BE32-E72D297353CC}">
              <c16:uniqueId val="{00000001-A13D-4DDF-8712-0E4D219187A5}"/>
            </c:ext>
          </c:extLst>
        </c:ser>
        <c:dLbls>
          <c:showLegendKey val="0"/>
          <c:showVal val="0"/>
          <c:showCatName val="0"/>
          <c:showSerName val="0"/>
          <c:showPercent val="0"/>
          <c:showBubbleSize val="0"/>
        </c:dLbls>
        <c:axId val="365469056"/>
        <c:axId val="365467520"/>
      </c:scatterChart>
      <c:valAx>
        <c:axId val="365455232"/>
        <c:scaling>
          <c:logBase val="10"/>
          <c:orientation val="minMax"/>
          <c:max val="2200000"/>
          <c:min val="10"/>
        </c:scaling>
        <c:delete val="0"/>
        <c:axPos val="b"/>
        <c:minorGridlines/>
        <c:title>
          <c:tx>
            <c:rich>
              <a:bodyPr/>
              <a:lstStyle/>
              <a:p>
                <a:pPr>
                  <a:defRPr/>
                </a:pPr>
                <a:r>
                  <a:rPr lang="en-US"/>
                  <a:t>Frequency</a:t>
                </a:r>
                <a:r>
                  <a:rPr lang="en-US" baseline="0"/>
                  <a:t> (Hz)</a:t>
                </a:r>
                <a:endParaRPr lang="en-US"/>
              </a:p>
            </c:rich>
          </c:tx>
          <c:overlay val="0"/>
        </c:title>
        <c:numFmt formatCode="0" sourceLinked="0"/>
        <c:majorTickMark val="out"/>
        <c:minorTickMark val="none"/>
        <c:tickLblPos val="low"/>
        <c:crossAx val="365465600"/>
        <c:crosses val="autoZero"/>
        <c:crossBetween val="midCat"/>
      </c:valAx>
      <c:valAx>
        <c:axId val="365465600"/>
        <c:scaling>
          <c:orientation val="minMax"/>
          <c:max val="200"/>
          <c:min val="-140"/>
        </c:scaling>
        <c:delete val="0"/>
        <c:axPos val="l"/>
        <c:majorGridlines/>
        <c:minorGridlines/>
        <c:title>
          <c:tx>
            <c:rich>
              <a:bodyPr rot="-5400000" vert="horz"/>
              <a:lstStyle/>
              <a:p>
                <a:pPr>
                  <a:defRPr/>
                </a:pPr>
                <a:r>
                  <a:rPr lang="en-US">
                    <a:solidFill>
                      <a:srgbClr val="FF0000"/>
                    </a:solidFill>
                  </a:rPr>
                  <a:t>Gain</a:t>
                </a:r>
                <a:r>
                  <a:rPr lang="en-US" baseline="0">
                    <a:solidFill>
                      <a:srgbClr val="FF0000"/>
                    </a:solidFill>
                  </a:rPr>
                  <a:t> (dB)</a:t>
                </a:r>
                <a:endParaRPr lang="en-US">
                  <a:solidFill>
                    <a:srgbClr val="FF0000"/>
                  </a:solidFill>
                </a:endParaRPr>
              </a:p>
            </c:rich>
          </c:tx>
          <c:overlay val="0"/>
        </c:title>
        <c:numFmt formatCode="General" sourceLinked="0"/>
        <c:majorTickMark val="out"/>
        <c:minorTickMark val="none"/>
        <c:tickLblPos val="nextTo"/>
        <c:txPr>
          <a:bodyPr/>
          <a:lstStyle/>
          <a:p>
            <a:pPr>
              <a:defRPr>
                <a:solidFill>
                  <a:srgbClr val="FF0000"/>
                </a:solidFill>
              </a:defRPr>
            </a:pPr>
            <a:endParaRPr lang="en-US"/>
          </a:p>
        </c:txPr>
        <c:crossAx val="365455232"/>
        <c:crosses val="autoZero"/>
        <c:crossBetween val="midCat"/>
        <c:majorUnit val="20"/>
        <c:minorUnit val="10"/>
      </c:valAx>
      <c:valAx>
        <c:axId val="365467520"/>
        <c:scaling>
          <c:orientation val="minMax"/>
          <c:max val="180"/>
          <c:min val="-180"/>
        </c:scaling>
        <c:delete val="0"/>
        <c:axPos val="r"/>
        <c:numFmt formatCode="General" sourceLinked="1"/>
        <c:majorTickMark val="out"/>
        <c:minorTickMark val="none"/>
        <c:tickLblPos val="nextTo"/>
        <c:txPr>
          <a:bodyPr/>
          <a:lstStyle/>
          <a:p>
            <a:pPr>
              <a:defRPr>
                <a:solidFill>
                  <a:schemeClr val="tx1">
                    <a:lumMod val="95000"/>
                    <a:lumOff val="5000"/>
                  </a:schemeClr>
                </a:solidFill>
              </a:defRPr>
            </a:pPr>
            <a:endParaRPr lang="en-US"/>
          </a:p>
        </c:txPr>
        <c:crossAx val="365469056"/>
        <c:crosses val="max"/>
        <c:crossBetween val="midCat"/>
        <c:majorUnit val="90"/>
        <c:minorUnit val="45"/>
      </c:valAx>
      <c:valAx>
        <c:axId val="365469056"/>
        <c:scaling>
          <c:logBase val="10"/>
          <c:orientation val="minMax"/>
        </c:scaling>
        <c:delete val="1"/>
        <c:axPos val="b"/>
        <c:numFmt formatCode="0.00" sourceLinked="1"/>
        <c:majorTickMark val="out"/>
        <c:minorTickMark val="none"/>
        <c:tickLblPos val="nextTo"/>
        <c:crossAx val="365467520"/>
        <c:crosses val="autoZero"/>
        <c:crossBetween val="midCat"/>
      </c:valAx>
    </c:plotArea>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DCM Plant Transfer</a:t>
            </a:r>
            <a:r>
              <a:rPr lang="en-US" baseline="0"/>
              <a:t> Function</a:t>
            </a:r>
            <a:endParaRPr lang="en-US"/>
          </a:p>
        </c:rich>
      </c:tx>
      <c:overlay val="0"/>
    </c:title>
    <c:autoTitleDeleted val="0"/>
    <c:plotArea>
      <c:layout/>
      <c:scatterChart>
        <c:scatterStyle val="smoothMarker"/>
        <c:varyColors val="0"/>
        <c:ser>
          <c:idx val="0"/>
          <c:order val="0"/>
          <c:tx>
            <c:v>Gain(dB)</c:v>
          </c:tx>
          <c:marker>
            <c:symbol val="none"/>
          </c:marker>
          <c:xVal>
            <c:numRef>
              <c:f>Control_Loop_Tables!$N$19:$N$560</c:f>
              <c:numCache>
                <c:formatCode>0.00</c:formatCode>
                <c:ptCount val="542"/>
                <c:pt idx="0">
                  <c:v>10.232929922807543</c:v>
                </c:pt>
                <c:pt idx="1">
                  <c:v>10.471285480509</c:v>
                </c:pt>
                <c:pt idx="2">
                  <c:v>10.715193052376069</c:v>
                </c:pt>
                <c:pt idx="3">
                  <c:v>10.964781961431854</c:v>
                </c:pt>
                <c:pt idx="4">
                  <c:v>11.220184543019636</c:v>
                </c:pt>
                <c:pt idx="5">
                  <c:v>11.481536214968834</c:v>
                </c:pt>
                <c:pt idx="6">
                  <c:v>11.748975549395301</c:v>
                </c:pt>
                <c:pt idx="7">
                  <c:v>12.022644346174133</c:v>
                </c:pt>
                <c:pt idx="8">
                  <c:v>12.302687708123818</c:v>
                </c:pt>
                <c:pt idx="9">
                  <c:v>12.58925411794168</c:v>
                </c:pt>
                <c:pt idx="10">
                  <c:v>12.882495516931346</c:v>
                </c:pt>
                <c:pt idx="11">
                  <c:v>13.182567385564075</c:v>
                </c:pt>
                <c:pt idx="12">
                  <c:v>13.489628825916535</c:v>
                </c:pt>
                <c:pt idx="13">
                  <c:v>13.803842646028857</c:v>
                </c:pt>
                <c:pt idx="14">
                  <c:v>14.125375446227544</c:v>
                </c:pt>
                <c:pt idx="15">
                  <c:v>14.454397707459275</c:v>
                </c:pt>
                <c:pt idx="16">
                  <c:v>14.791083881682074</c:v>
                </c:pt>
                <c:pt idx="17">
                  <c:v>15.135612484362087</c:v>
                </c:pt>
                <c:pt idx="18">
                  <c:v>15.488166189124817</c:v>
                </c:pt>
                <c:pt idx="19">
                  <c:v>15.848931924611136</c:v>
                </c:pt>
                <c:pt idx="20">
                  <c:v>16.218100973589298</c:v>
                </c:pt>
                <c:pt idx="21">
                  <c:v>16.595869074375614</c:v>
                </c:pt>
                <c:pt idx="22">
                  <c:v>16.982436524617448</c:v>
                </c:pt>
                <c:pt idx="23">
                  <c:v>17.378008287493756</c:v>
                </c:pt>
                <c:pt idx="24">
                  <c:v>17.782794100389236</c:v>
                </c:pt>
                <c:pt idx="25">
                  <c:v>18.197008586099841</c:v>
                </c:pt>
                <c:pt idx="26">
                  <c:v>18.62087136662868</c:v>
                </c:pt>
                <c:pt idx="27">
                  <c:v>19.054607179632477</c:v>
                </c:pt>
                <c:pt idx="28">
                  <c:v>19.498445997580465</c:v>
                </c:pt>
                <c:pt idx="29">
                  <c:v>19.952623149688804</c:v>
                </c:pt>
                <c:pt idx="30">
                  <c:v>20.4173794466953</c:v>
                </c:pt>
                <c:pt idx="31">
                  <c:v>20.8929613085404</c:v>
                </c:pt>
                <c:pt idx="32">
                  <c:v>21.379620895022335</c:v>
                </c:pt>
                <c:pt idx="33">
                  <c:v>21.877616239495538</c:v>
                </c:pt>
                <c:pt idx="34">
                  <c:v>22.387211385683404</c:v>
                </c:pt>
                <c:pt idx="35">
                  <c:v>22.908676527677727</c:v>
                </c:pt>
                <c:pt idx="36">
                  <c:v>23.442288153199236</c:v>
                </c:pt>
                <c:pt idx="37">
                  <c:v>23.988329190194907</c:v>
                </c:pt>
                <c:pt idx="38">
                  <c:v>24.547089156850316</c:v>
                </c:pt>
                <c:pt idx="39">
                  <c:v>25.118864315095799</c:v>
                </c:pt>
                <c:pt idx="40">
                  <c:v>25.703957827688647</c:v>
                </c:pt>
                <c:pt idx="41">
                  <c:v>26.302679918953825</c:v>
                </c:pt>
                <c:pt idx="42">
                  <c:v>26.915348039269158</c:v>
                </c:pt>
                <c:pt idx="43">
                  <c:v>27.542287033381665</c:v>
                </c:pt>
                <c:pt idx="44">
                  <c:v>28.183829312644548</c:v>
                </c:pt>
                <c:pt idx="45">
                  <c:v>28.840315031266066</c:v>
                </c:pt>
                <c:pt idx="46">
                  <c:v>29.512092266663863</c:v>
                </c:pt>
                <c:pt idx="47">
                  <c:v>30.199517204020164</c:v>
                </c:pt>
                <c:pt idx="48">
                  <c:v>30.902954325135919</c:v>
                </c:pt>
                <c:pt idx="49">
                  <c:v>31.622776601683803</c:v>
                </c:pt>
                <c:pt idx="50">
                  <c:v>32.359365692962832</c:v>
                </c:pt>
                <c:pt idx="51">
                  <c:v>33.113112148259127</c:v>
                </c:pt>
                <c:pt idx="52">
                  <c:v>33.884415613920268</c:v>
                </c:pt>
                <c:pt idx="53">
                  <c:v>34.67368504525318</c:v>
                </c:pt>
                <c:pt idx="54">
                  <c:v>35.481338923357555</c:v>
                </c:pt>
                <c:pt idx="55">
                  <c:v>36.307805477010156</c:v>
                </c:pt>
                <c:pt idx="56">
                  <c:v>37.15352290971726</c:v>
                </c:pt>
                <c:pt idx="57">
                  <c:v>38.018939632056139</c:v>
                </c:pt>
                <c:pt idx="58">
                  <c:v>38.904514499428053</c:v>
                </c:pt>
                <c:pt idx="59">
                  <c:v>39.810717055349755</c:v>
                </c:pt>
                <c:pt idx="60">
                  <c:v>40.738027780411279</c:v>
                </c:pt>
                <c:pt idx="61">
                  <c:v>41.686938347033561</c:v>
                </c:pt>
                <c:pt idx="62">
                  <c:v>42.657951880159267</c:v>
                </c:pt>
                <c:pt idx="63">
                  <c:v>43.651583224016633</c:v>
                </c:pt>
                <c:pt idx="64">
                  <c:v>44.668359215096324</c:v>
                </c:pt>
                <c:pt idx="65">
                  <c:v>45.70881896148753</c:v>
                </c:pt>
                <c:pt idx="66">
                  <c:v>46.773514128719818</c:v>
                </c:pt>
                <c:pt idx="67">
                  <c:v>47.863009232263877</c:v>
                </c:pt>
                <c:pt idx="68">
                  <c:v>48.977881936844632</c:v>
                </c:pt>
                <c:pt idx="69">
                  <c:v>50.118723362727238</c:v>
                </c:pt>
                <c:pt idx="70">
                  <c:v>51.28613839913649</c:v>
                </c:pt>
                <c:pt idx="71">
                  <c:v>52.480746024977286</c:v>
                </c:pt>
                <c:pt idx="72">
                  <c:v>53.703179637025293</c:v>
                </c:pt>
                <c:pt idx="73">
                  <c:v>54.95408738576247</c:v>
                </c:pt>
                <c:pt idx="74">
                  <c:v>56.234132519034915</c:v>
                </c:pt>
                <c:pt idx="75">
                  <c:v>57.543993733715695</c:v>
                </c:pt>
                <c:pt idx="76">
                  <c:v>58.884365535558949</c:v>
                </c:pt>
                <c:pt idx="77">
                  <c:v>60.255958607435822</c:v>
                </c:pt>
                <c:pt idx="78">
                  <c:v>61.659500186148257</c:v>
                </c:pt>
                <c:pt idx="79">
                  <c:v>63.095734448019364</c:v>
                </c:pt>
                <c:pt idx="80">
                  <c:v>64.565422903465588</c:v>
                </c:pt>
                <c:pt idx="81">
                  <c:v>66.069344800759623</c:v>
                </c:pt>
                <c:pt idx="82">
                  <c:v>67.60829753919819</c:v>
                </c:pt>
                <c:pt idx="83">
                  <c:v>69.183097091893657</c:v>
                </c:pt>
                <c:pt idx="84">
                  <c:v>70.794578438413865</c:v>
                </c:pt>
                <c:pt idx="85">
                  <c:v>72.443596007499011</c:v>
                </c:pt>
                <c:pt idx="86">
                  <c:v>74.131024130091816</c:v>
                </c:pt>
                <c:pt idx="87">
                  <c:v>75.857757502918361</c:v>
                </c:pt>
                <c:pt idx="88">
                  <c:v>77.624711662869217</c:v>
                </c:pt>
                <c:pt idx="89">
                  <c:v>79.432823472428197</c:v>
                </c:pt>
                <c:pt idx="90">
                  <c:v>81.283051616409963</c:v>
                </c:pt>
                <c:pt idx="91">
                  <c:v>83.176377110267126</c:v>
                </c:pt>
                <c:pt idx="92">
                  <c:v>85.113803820237734</c:v>
                </c:pt>
                <c:pt idx="93">
                  <c:v>87.096358995608071</c:v>
                </c:pt>
                <c:pt idx="94">
                  <c:v>89.125093813374562</c:v>
                </c:pt>
                <c:pt idx="95">
                  <c:v>91.201083935590972</c:v>
                </c:pt>
                <c:pt idx="96">
                  <c:v>93.325430079699174</c:v>
                </c:pt>
                <c:pt idx="97">
                  <c:v>95.499258602143655</c:v>
                </c:pt>
                <c:pt idx="98">
                  <c:v>97.723722095581124</c:v>
                </c:pt>
                <c:pt idx="99">
                  <c:v>100</c:v>
                </c:pt>
                <c:pt idx="100">
                  <c:v>102.32929922807544</c:v>
                </c:pt>
                <c:pt idx="101">
                  <c:v>104.71285480508998</c:v>
                </c:pt>
                <c:pt idx="102">
                  <c:v>107.15193052376065</c:v>
                </c:pt>
                <c:pt idx="103">
                  <c:v>109.64781961431861</c:v>
                </c:pt>
                <c:pt idx="104">
                  <c:v>112.20184543019634</c:v>
                </c:pt>
                <c:pt idx="105">
                  <c:v>114.81536214968835</c:v>
                </c:pt>
                <c:pt idx="106">
                  <c:v>117.48975549395293</c:v>
                </c:pt>
                <c:pt idx="107">
                  <c:v>120.22644346174135</c:v>
                </c:pt>
                <c:pt idx="108">
                  <c:v>123.02687708123821</c:v>
                </c:pt>
                <c:pt idx="109">
                  <c:v>125.89254117941677</c:v>
                </c:pt>
                <c:pt idx="110">
                  <c:v>128.82495516931343</c:v>
                </c:pt>
                <c:pt idx="111">
                  <c:v>131.82567385564084</c:v>
                </c:pt>
                <c:pt idx="112">
                  <c:v>134.89628825916537</c:v>
                </c:pt>
                <c:pt idx="113">
                  <c:v>138.0384264602886</c:v>
                </c:pt>
                <c:pt idx="114">
                  <c:v>141.25375446227542</c:v>
                </c:pt>
                <c:pt idx="115">
                  <c:v>144.54397707459285</c:v>
                </c:pt>
                <c:pt idx="116">
                  <c:v>147.91083881682084</c:v>
                </c:pt>
                <c:pt idx="117">
                  <c:v>151.3561248436209</c:v>
                </c:pt>
                <c:pt idx="118">
                  <c:v>154.8816618912482</c:v>
                </c:pt>
                <c:pt idx="119">
                  <c:v>158.48931924611153</c:v>
                </c:pt>
                <c:pt idx="120">
                  <c:v>162.18100973589304</c:v>
                </c:pt>
                <c:pt idx="121">
                  <c:v>165.95869074375622</c:v>
                </c:pt>
                <c:pt idx="122">
                  <c:v>169.82436524617444</c:v>
                </c:pt>
                <c:pt idx="123">
                  <c:v>173.78008287493768</c:v>
                </c:pt>
                <c:pt idx="124">
                  <c:v>177.82794100389242</c:v>
                </c:pt>
                <c:pt idx="125">
                  <c:v>181.9700858609983</c:v>
                </c:pt>
                <c:pt idx="126">
                  <c:v>186.20871366628685</c:v>
                </c:pt>
                <c:pt idx="127">
                  <c:v>190.54607179632498</c:v>
                </c:pt>
                <c:pt idx="128">
                  <c:v>194.98445997580458</c:v>
                </c:pt>
                <c:pt idx="129">
                  <c:v>199.52623149688802</c:v>
                </c:pt>
                <c:pt idx="130">
                  <c:v>204.17379446695315</c:v>
                </c:pt>
                <c:pt idx="131">
                  <c:v>208.92961308540396</c:v>
                </c:pt>
                <c:pt idx="132">
                  <c:v>213.79620895022339</c:v>
                </c:pt>
                <c:pt idx="133">
                  <c:v>218.77616239495524</c:v>
                </c:pt>
                <c:pt idx="134">
                  <c:v>223.87211385683412</c:v>
                </c:pt>
                <c:pt idx="135">
                  <c:v>229.08676527677744</c:v>
                </c:pt>
                <c:pt idx="136">
                  <c:v>234.42288153199232</c:v>
                </c:pt>
                <c:pt idx="137">
                  <c:v>239.88329190194912</c:v>
                </c:pt>
                <c:pt idx="138">
                  <c:v>245.4708915685033</c:v>
                </c:pt>
                <c:pt idx="139">
                  <c:v>251.18864315095806</c:v>
                </c:pt>
                <c:pt idx="140">
                  <c:v>257.03957827688663</c:v>
                </c:pt>
                <c:pt idx="141">
                  <c:v>263.02679918953817</c:v>
                </c:pt>
                <c:pt idx="142">
                  <c:v>269.15348039269179</c:v>
                </c:pt>
                <c:pt idx="143">
                  <c:v>275.42287033381683</c:v>
                </c:pt>
                <c:pt idx="144">
                  <c:v>281.83829312644554</c:v>
                </c:pt>
                <c:pt idx="145">
                  <c:v>288.40315031266073</c:v>
                </c:pt>
                <c:pt idx="146">
                  <c:v>295.12092266663871</c:v>
                </c:pt>
                <c:pt idx="147">
                  <c:v>301.99517204020168</c:v>
                </c:pt>
                <c:pt idx="148">
                  <c:v>309.02954325135937</c:v>
                </c:pt>
                <c:pt idx="149">
                  <c:v>316.22776601683825</c:v>
                </c:pt>
                <c:pt idx="150">
                  <c:v>323.59365692962825</c:v>
                </c:pt>
                <c:pt idx="151">
                  <c:v>331.13112148259137</c:v>
                </c:pt>
                <c:pt idx="152">
                  <c:v>338.84415613920277</c:v>
                </c:pt>
                <c:pt idx="153">
                  <c:v>346.73685045253183</c:v>
                </c:pt>
                <c:pt idx="154">
                  <c:v>354.81338923357566</c:v>
                </c:pt>
                <c:pt idx="155">
                  <c:v>363.07805477010152</c:v>
                </c:pt>
                <c:pt idx="156">
                  <c:v>371.53522909717265</c:v>
                </c:pt>
                <c:pt idx="157">
                  <c:v>380.18939632056163</c:v>
                </c:pt>
                <c:pt idx="158">
                  <c:v>389.04514499428063</c:v>
                </c:pt>
                <c:pt idx="159">
                  <c:v>398.10717055349761</c:v>
                </c:pt>
                <c:pt idx="160">
                  <c:v>407.38027780411272</c:v>
                </c:pt>
                <c:pt idx="161">
                  <c:v>416.86938347033572</c:v>
                </c:pt>
                <c:pt idx="162">
                  <c:v>426.57951880159294</c:v>
                </c:pt>
                <c:pt idx="163">
                  <c:v>436.51583224016622</c:v>
                </c:pt>
                <c:pt idx="164">
                  <c:v>446.68359215096331</c:v>
                </c:pt>
                <c:pt idx="165">
                  <c:v>457.0881896148756</c:v>
                </c:pt>
                <c:pt idx="166">
                  <c:v>467.7351412871983</c:v>
                </c:pt>
                <c:pt idx="167">
                  <c:v>478.63009232263886</c:v>
                </c:pt>
                <c:pt idx="168">
                  <c:v>489.77881936844625</c:v>
                </c:pt>
                <c:pt idx="169">
                  <c:v>501.18723362727269</c:v>
                </c:pt>
                <c:pt idx="170">
                  <c:v>512.86138399136519</c:v>
                </c:pt>
                <c:pt idx="171">
                  <c:v>524.80746024977248</c:v>
                </c:pt>
                <c:pt idx="172">
                  <c:v>537.03179637025301</c:v>
                </c:pt>
                <c:pt idx="173">
                  <c:v>549.54087385762534</c:v>
                </c:pt>
                <c:pt idx="174">
                  <c:v>562.34132519034927</c:v>
                </c:pt>
                <c:pt idx="175">
                  <c:v>575.43993733715706</c:v>
                </c:pt>
                <c:pt idx="176">
                  <c:v>588.84365535558959</c:v>
                </c:pt>
                <c:pt idx="177">
                  <c:v>602.55958607435832</c:v>
                </c:pt>
                <c:pt idx="178">
                  <c:v>616.59500186148273</c:v>
                </c:pt>
                <c:pt idx="179">
                  <c:v>630.95734448019323</c:v>
                </c:pt>
                <c:pt idx="180">
                  <c:v>645.65422903465594</c:v>
                </c:pt>
                <c:pt idx="181">
                  <c:v>660.69344800759643</c:v>
                </c:pt>
                <c:pt idx="182">
                  <c:v>676.08297539198213</c:v>
                </c:pt>
                <c:pt idx="183">
                  <c:v>691.83097091893671</c:v>
                </c:pt>
                <c:pt idx="184">
                  <c:v>707.94578438413873</c:v>
                </c:pt>
                <c:pt idx="185">
                  <c:v>724.43596007499025</c:v>
                </c:pt>
                <c:pt idx="186">
                  <c:v>741.31024130091828</c:v>
                </c:pt>
                <c:pt idx="187">
                  <c:v>758.57757502918378</c:v>
                </c:pt>
                <c:pt idx="188">
                  <c:v>776.24711662869231</c:v>
                </c:pt>
                <c:pt idx="189">
                  <c:v>794.32823472428208</c:v>
                </c:pt>
                <c:pt idx="190">
                  <c:v>812.83051616409978</c:v>
                </c:pt>
                <c:pt idx="191">
                  <c:v>831.7637711026714</c:v>
                </c:pt>
                <c:pt idx="192">
                  <c:v>851.13803820237763</c:v>
                </c:pt>
                <c:pt idx="193">
                  <c:v>870.96358995608091</c:v>
                </c:pt>
                <c:pt idx="194">
                  <c:v>891.25093813374656</c:v>
                </c:pt>
                <c:pt idx="195">
                  <c:v>912.01083935590987</c:v>
                </c:pt>
                <c:pt idx="196">
                  <c:v>933.25430079699106</c:v>
                </c:pt>
                <c:pt idx="197">
                  <c:v>954.99258602143675</c:v>
                </c:pt>
                <c:pt idx="198">
                  <c:v>977.23722095581138</c:v>
                </c:pt>
                <c:pt idx="199">
                  <c:v>1000</c:v>
                </c:pt>
                <c:pt idx="200">
                  <c:v>1023.2929922807547</c:v>
                </c:pt>
                <c:pt idx="201">
                  <c:v>1047.1285480509</c:v>
                </c:pt>
                <c:pt idx="202">
                  <c:v>1071.5193052376069</c:v>
                </c:pt>
                <c:pt idx="203">
                  <c:v>1096.4781961431863</c:v>
                </c:pt>
                <c:pt idx="204">
                  <c:v>1122.0184543019636</c:v>
                </c:pt>
                <c:pt idx="205">
                  <c:v>1148.1536214968839</c:v>
                </c:pt>
                <c:pt idx="206">
                  <c:v>1174.8975549395295</c:v>
                </c:pt>
                <c:pt idx="207">
                  <c:v>1202.2644346174138</c:v>
                </c:pt>
                <c:pt idx="208">
                  <c:v>1230.2687708123824</c:v>
                </c:pt>
                <c:pt idx="209">
                  <c:v>1258.925411794168</c:v>
                </c:pt>
                <c:pt idx="210">
                  <c:v>1288.2495516931347</c:v>
                </c:pt>
                <c:pt idx="211">
                  <c:v>1318.2567385564089</c:v>
                </c:pt>
                <c:pt idx="212">
                  <c:v>1348.9628825916541</c:v>
                </c:pt>
                <c:pt idx="213">
                  <c:v>1380.3842646028863</c:v>
                </c:pt>
                <c:pt idx="214">
                  <c:v>1412.5375446227545</c:v>
                </c:pt>
                <c:pt idx="215">
                  <c:v>1445.4397707459289</c:v>
                </c:pt>
                <c:pt idx="216">
                  <c:v>1479.1083881682086</c:v>
                </c:pt>
                <c:pt idx="217">
                  <c:v>1513.5612484362093</c:v>
                </c:pt>
                <c:pt idx="218">
                  <c:v>1548.8166189124822</c:v>
                </c:pt>
                <c:pt idx="219">
                  <c:v>1584.8931924611156</c:v>
                </c:pt>
                <c:pt idx="220">
                  <c:v>1621.8100973589308</c:v>
                </c:pt>
                <c:pt idx="221">
                  <c:v>1659.5869074375626</c:v>
                </c:pt>
                <c:pt idx="222">
                  <c:v>1698.2436524617447</c:v>
                </c:pt>
                <c:pt idx="223">
                  <c:v>1737.8008287493772</c:v>
                </c:pt>
                <c:pt idx="224">
                  <c:v>1778.2794100389244</c:v>
                </c:pt>
                <c:pt idx="225">
                  <c:v>1819.7008586099832</c:v>
                </c:pt>
                <c:pt idx="226">
                  <c:v>1862.0871366628687</c:v>
                </c:pt>
                <c:pt idx="227">
                  <c:v>1905.4607179632501</c:v>
                </c:pt>
                <c:pt idx="228">
                  <c:v>1949.8445997580463</c:v>
                </c:pt>
                <c:pt idx="229">
                  <c:v>1995.2623149688804</c:v>
                </c:pt>
                <c:pt idx="230">
                  <c:v>2041.7379446695318</c:v>
                </c:pt>
                <c:pt idx="231">
                  <c:v>2089.2961308540398</c:v>
                </c:pt>
                <c:pt idx="232">
                  <c:v>2137.9620895022344</c:v>
                </c:pt>
                <c:pt idx="233">
                  <c:v>2187.7616239495528</c:v>
                </c:pt>
                <c:pt idx="234">
                  <c:v>2238.7211385683418</c:v>
                </c:pt>
                <c:pt idx="235">
                  <c:v>2290.8676527677749</c:v>
                </c:pt>
                <c:pt idx="236">
                  <c:v>2344.2288153199238</c:v>
                </c:pt>
                <c:pt idx="237">
                  <c:v>2398.8329190194918</c:v>
                </c:pt>
                <c:pt idx="238">
                  <c:v>2454.7089156850338</c:v>
                </c:pt>
                <c:pt idx="239">
                  <c:v>2511.8864315095811</c:v>
                </c:pt>
                <c:pt idx="240">
                  <c:v>2570.3957827688669</c:v>
                </c:pt>
                <c:pt idx="241">
                  <c:v>2630.2679918953822</c:v>
                </c:pt>
                <c:pt idx="242">
                  <c:v>2691.5348039269184</c:v>
                </c:pt>
                <c:pt idx="243">
                  <c:v>2754.228703338169</c:v>
                </c:pt>
                <c:pt idx="244">
                  <c:v>2818.3829312644561</c:v>
                </c:pt>
                <c:pt idx="245">
                  <c:v>2884.0315031266077</c:v>
                </c:pt>
                <c:pt idx="246">
                  <c:v>2951.2092266663876</c:v>
                </c:pt>
                <c:pt idx="247">
                  <c:v>3019.9517204020176</c:v>
                </c:pt>
                <c:pt idx="248">
                  <c:v>3090.295432513592</c:v>
                </c:pt>
                <c:pt idx="249">
                  <c:v>3162.2776601683804</c:v>
                </c:pt>
                <c:pt idx="250">
                  <c:v>3235.9365692962833</c:v>
                </c:pt>
                <c:pt idx="251">
                  <c:v>3311.3112148259115</c:v>
                </c:pt>
                <c:pt idx="252">
                  <c:v>3388.4415613920314</c:v>
                </c:pt>
                <c:pt idx="253">
                  <c:v>3467.3685045253224</c:v>
                </c:pt>
                <c:pt idx="254">
                  <c:v>3548.1338923357539</c:v>
                </c:pt>
                <c:pt idx="255">
                  <c:v>3630.7805477010188</c:v>
                </c:pt>
                <c:pt idx="256">
                  <c:v>3715.352290971724</c:v>
                </c:pt>
                <c:pt idx="257">
                  <c:v>3801.8939632056172</c:v>
                </c:pt>
                <c:pt idx="258">
                  <c:v>3890.451449942811</c:v>
                </c:pt>
                <c:pt idx="259">
                  <c:v>3981.0717055349769</c:v>
                </c:pt>
                <c:pt idx="260">
                  <c:v>4073.8027780411317</c:v>
                </c:pt>
                <c:pt idx="261">
                  <c:v>4168.6938347033583</c:v>
                </c:pt>
                <c:pt idx="262">
                  <c:v>4265.7951880159299</c:v>
                </c:pt>
                <c:pt idx="263">
                  <c:v>4365.1583224016631</c:v>
                </c:pt>
                <c:pt idx="264">
                  <c:v>4466.8359215096343</c:v>
                </c:pt>
                <c:pt idx="265">
                  <c:v>4570.8818961487532</c:v>
                </c:pt>
                <c:pt idx="266">
                  <c:v>4677.3514128719844</c:v>
                </c:pt>
                <c:pt idx="267">
                  <c:v>4786.3009232263848</c:v>
                </c:pt>
                <c:pt idx="268">
                  <c:v>4897.7881936844633</c:v>
                </c:pt>
                <c:pt idx="269">
                  <c:v>5011.8723362727324</c:v>
                </c:pt>
                <c:pt idx="270">
                  <c:v>5128.6138399136489</c:v>
                </c:pt>
                <c:pt idx="271">
                  <c:v>5248.0746024977261</c:v>
                </c:pt>
                <c:pt idx="272">
                  <c:v>5370.3179637025269</c:v>
                </c:pt>
                <c:pt idx="273">
                  <c:v>5495.4087385762541</c:v>
                </c:pt>
                <c:pt idx="274">
                  <c:v>5623.4132519034993</c:v>
                </c:pt>
                <c:pt idx="275">
                  <c:v>5754.399373371567</c:v>
                </c:pt>
                <c:pt idx="276">
                  <c:v>5888.4365535558973</c:v>
                </c:pt>
                <c:pt idx="277">
                  <c:v>6025.595860743585</c:v>
                </c:pt>
                <c:pt idx="278">
                  <c:v>6165.9500186148289</c:v>
                </c:pt>
                <c:pt idx="279">
                  <c:v>6309.5734448019384</c:v>
                </c:pt>
                <c:pt idx="280">
                  <c:v>6456.5422903465615</c:v>
                </c:pt>
                <c:pt idx="281">
                  <c:v>6606.9344800759654</c:v>
                </c:pt>
                <c:pt idx="282">
                  <c:v>6760.8297539198229</c:v>
                </c:pt>
                <c:pt idx="283">
                  <c:v>6918.3097091893687</c:v>
                </c:pt>
                <c:pt idx="284">
                  <c:v>7079.4578438413828</c:v>
                </c:pt>
                <c:pt idx="285">
                  <c:v>7244.3596007499036</c:v>
                </c:pt>
                <c:pt idx="286">
                  <c:v>7413.1024130091773</c:v>
                </c:pt>
                <c:pt idx="287">
                  <c:v>7585.7757502918394</c:v>
                </c:pt>
                <c:pt idx="288">
                  <c:v>7762.4711662869322</c:v>
                </c:pt>
                <c:pt idx="289">
                  <c:v>7943.2823472428154</c:v>
                </c:pt>
                <c:pt idx="290">
                  <c:v>8128.3051616410066</c:v>
                </c:pt>
                <c:pt idx="291">
                  <c:v>8317.6377110267094</c:v>
                </c:pt>
                <c:pt idx="292">
                  <c:v>8511.3803820237772</c:v>
                </c:pt>
                <c:pt idx="293">
                  <c:v>8709.6358995608189</c:v>
                </c:pt>
                <c:pt idx="294">
                  <c:v>8912.5093813374679</c:v>
                </c:pt>
                <c:pt idx="295">
                  <c:v>9120.1083935591087</c:v>
                </c:pt>
                <c:pt idx="296">
                  <c:v>9332.5430079699217</c:v>
                </c:pt>
                <c:pt idx="297">
                  <c:v>9549.9258602143691</c:v>
                </c:pt>
                <c:pt idx="298">
                  <c:v>9772.3722095581161</c:v>
                </c:pt>
                <c:pt idx="299">
                  <c:v>10000</c:v>
                </c:pt>
                <c:pt idx="300">
                  <c:v>10232.929922807549</c:v>
                </c:pt>
                <c:pt idx="301">
                  <c:v>10471.285480509003</c:v>
                </c:pt>
                <c:pt idx="302">
                  <c:v>10715.193052376071</c:v>
                </c:pt>
                <c:pt idx="303">
                  <c:v>10964.781961431856</c:v>
                </c:pt>
                <c:pt idx="304">
                  <c:v>11220.184543019639</c:v>
                </c:pt>
                <c:pt idx="305">
                  <c:v>11481.536214968832</c:v>
                </c:pt>
                <c:pt idx="306">
                  <c:v>11748.975549395318</c:v>
                </c:pt>
                <c:pt idx="307">
                  <c:v>12022.644346174151</c:v>
                </c:pt>
                <c:pt idx="308">
                  <c:v>12302.687708123816</c:v>
                </c:pt>
                <c:pt idx="309">
                  <c:v>12589.254117941671</c:v>
                </c:pt>
                <c:pt idx="310">
                  <c:v>12882.49551693136</c:v>
                </c:pt>
                <c:pt idx="311">
                  <c:v>13182.567385564091</c:v>
                </c:pt>
                <c:pt idx="312">
                  <c:v>13489.628825916556</c:v>
                </c:pt>
                <c:pt idx="313">
                  <c:v>13803.842646028841</c:v>
                </c:pt>
                <c:pt idx="314">
                  <c:v>14125.375446227561</c:v>
                </c:pt>
                <c:pt idx="315">
                  <c:v>14454.397707459291</c:v>
                </c:pt>
                <c:pt idx="316">
                  <c:v>14791.083881682089</c:v>
                </c:pt>
                <c:pt idx="317">
                  <c:v>15135.612484362096</c:v>
                </c:pt>
                <c:pt idx="318">
                  <c:v>15488.166189124853</c:v>
                </c:pt>
                <c:pt idx="319">
                  <c:v>15848.931924611146</c:v>
                </c:pt>
                <c:pt idx="320">
                  <c:v>16218.100973589309</c:v>
                </c:pt>
                <c:pt idx="321">
                  <c:v>16595.869074375616</c:v>
                </c:pt>
                <c:pt idx="322">
                  <c:v>16982.436524617482</c:v>
                </c:pt>
                <c:pt idx="323">
                  <c:v>17378.008287493791</c:v>
                </c:pt>
                <c:pt idx="324">
                  <c:v>17782.794100389234</c:v>
                </c:pt>
                <c:pt idx="325">
                  <c:v>18197.008586099837</c:v>
                </c:pt>
                <c:pt idx="326">
                  <c:v>18620.871366628675</c:v>
                </c:pt>
                <c:pt idx="327">
                  <c:v>19054.607179632505</c:v>
                </c:pt>
                <c:pt idx="328">
                  <c:v>19498.445997580486</c:v>
                </c:pt>
                <c:pt idx="329">
                  <c:v>19952.623149688792</c:v>
                </c:pt>
                <c:pt idx="330">
                  <c:v>20417.379446695286</c:v>
                </c:pt>
                <c:pt idx="331">
                  <c:v>20892.961308540423</c:v>
                </c:pt>
                <c:pt idx="332">
                  <c:v>21379.620895022348</c:v>
                </c:pt>
                <c:pt idx="333">
                  <c:v>21877.61623949555</c:v>
                </c:pt>
                <c:pt idx="334">
                  <c:v>22387.211385683382</c:v>
                </c:pt>
                <c:pt idx="335">
                  <c:v>22908.676527677751</c:v>
                </c:pt>
                <c:pt idx="336">
                  <c:v>23442.288153199243</c:v>
                </c:pt>
                <c:pt idx="337">
                  <c:v>23988.329190194923</c:v>
                </c:pt>
                <c:pt idx="338">
                  <c:v>24547.089156850321</c:v>
                </c:pt>
                <c:pt idx="339">
                  <c:v>25118.86431509586</c:v>
                </c:pt>
                <c:pt idx="340">
                  <c:v>25703.95782768865</c:v>
                </c:pt>
                <c:pt idx="341">
                  <c:v>26302.679918953829</c:v>
                </c:pt>
                <c:pt idx="342">
                  <c:v>26915.348039269167</c:v>
                </c:pt>
                <c:pt idx="343">
                  <c:v>27542.287033381719</c:v>
                </c:pt>
                <c:pt idx="344">
                  <c:v>28183.829312644593</c:v>
                </c:pt>
                <c:pt idx="345">
                  <c:v>28840.315031266062</c:v>
                </c:pt>
                <c:pt idx="346">
                  <c:v>29512.092266663854</c:v>
                </c:pt>
                <c:pt idx="347">
                  <c:v>30199.517204020212</c:v>
                </c:pt>
                <c:pt idx="348">
                  <c:v>30902.954325135954</c:v>
                </c:pt>
                <c:pt idx="349">
                  <c:v>31622.77660168384</c:v>
                </c:pt>
                <c:pt idx="350">
                  <c:v>32359.365692962871</c:v>
                </c:pt>
                <c:pt idx="351">
                  <c:v>33113.11214825909</c:v>
                </c:pt>
                <c:pt idx="352">
                  <c:v>33884.41561392029</c:v>
                </c:pt>
                <c:pt idx="353">
                  <c:v>34673.685045253202</c:v>
                </c:pt>
                <c:pt idx="354">
                  <c:v>35481.33892335758</c:v>
                </c:pt>
                <c:pt idx="355">
                  <c:v>36307.805477010232</c:v>
                </c:pt>
                <c:pt idx="356">
                  <c:v>37153.522909717351</c:v>
                </c:pt>
                <c:pt idx="357">
                  <c:v>38018.939632056143</c:v>
                </c:pt>
                <c:pt idx="358">
                  <c:v>38904.514499428085</c:v>
                </c:pt>
                <c:pt idx="359">
                  <c:v>39810.717055349742</c:v>
                </c:pt>
                <c:pt idx="360">
                  <c:v>40738.027780411358</c:v>
                </c:pt>
                <c:pt idx="361">
                  <c:v>41686.938347033625</c:v>
                </c:pt>
                <c:pt idx="362">
                  <c:v>42657.951880159271</c:v>
                </c:pt>
                <c:pt idx="363">
                  <c:v>43651.583224016598</c:v>
                </c:pt>
                <c:pt idx="364">
                  <c:v>44668.359215096389</c:v>
                </c:pt>
                <c:pt idx="365">
                  <c:v>45708.818961487581</c:v>
                </c:pt>
                <c:pt idx="366">
                  <c:v>46773.514128719893</c:v>
                </c:pt>
                <c:pt idx="367">
                  <c:v>47863.009232263823</c:v>
                </c:pt>
                <c:pt idx="368">
                  <c:v>48977.881936844598</c:v>
                </c:pt>
                <c:pt idx="369">
                  <c:v>50118.723362727294</c:v>
                </c:pt>
                <c:pt idx="370">
                  <c:v>51286.138399136544</c:v>
                </c:pt>
                <c:pt idx="371">
                  <c:v>52480.746024977314</c:v>
                </c:pt>
                <c:pt idx="372">
                  <c:v>53703.179637025423</c:v>
                </c:pt>
                <c:pt idx="373">
                  <c:v>54954.087385762505</c:v>
                </c:pt>
                <c:pt idx="374">
                  <c:v>56234.132519034953</c:v>
                </c:pt>
                <c:pt idx="375">
                  <c:v>57543.993733715732</c:v>
                </c:pt>
                <c:pt idx="376">
                  <c:v>58884.365535558936</c:v>
                </c:pt>
                <c:pt idx="377">
                  <c:v>60255.95860743591</c:v>
                </c:pt>
                <c:pt idx="378">
                  <c:v>61659.500186148245</c:v>
                </c:pt>
                <c:pt idx="379">
                  <c:v>63095.734448019342</c:v>
                </c:pt>
                <c:pt idx="380">
                  <c:v>64565.422903465682</c:v>
                </c:pt>
                <c:pt idx="381">
                  <c:v>66069.344800759733</c:v>
                </c:pt>
                <c:pt idx="382">
                  <c:v>67608.297539198305</c:v>
                </c:pt>
                <c:pt idx="383">
                  <c:v>69183.097091893651</c:v>
                </c:pt>
                <c:pt idx="384">
                  <c:v>70794.578438413781</c:v>
                </c:pt>
                <c:pt idx="385">
                  <c:v>72443.596007499116</c:v>
                </c:pt>
                <c:pt idx="386">
                  <c:v>74131.024130091857</c:v>
                </c:pt>
                <c:pt idx="387">
                  <c:v>75857.757502918481</c:v>
                </c:pt>
                <c:pt idx="388">
                  <c:v>77624.711662869129</c:v>
                </c:pt>
                <c:pt idx="389">
                  <c:v>79432.823472428237</c:v>
                </c:pt>
                <c:pt idx="390">
                  <c:v>81283.051616410012</c:v>
                </c:pt>
                <c:pt idx="391">
                  <c:v>83176.377110267174</c:v>
                </c:pt>
                <c:pt idx="392">
                  <c:v>85113.803820237721</c:v>
                </c:pt>
                <c:pt idx="393">
                  <c:v>87096.358995608127</c:v>
                </c:pt>
                <c:pt idx="394">
                  <c:v>89125.093813374609</c:v>
                </c:pt>
                <c:pt idx="395">
                  <c:v>91201.083935591028</c:v>
                </c:pt>
                <c:pt idx="396">
                  <c:v>93325.430079699145</c:v>
                </c:pt>
                <c:pt idx="397">
                  <c:v>95499.258602143804</c:v>
                </c:pt>
                <c:pt idx="398">
                  <c:v>97723.722095581266</c:v>
                </c:pt>
                <c:pt idx="399">
                  <c:v>100000</c:v>
                </c:pt>
                <c:pt idx="400">
                  <c:v>102329.29922807543</c:v>
                </c:pt>
                <c:pt idx="401">
                  <c:v>104712.85480508996</c:v>
                </c:pt>
                <c:pt idx="402">
                  <c:v>107151.93052376082</c:v>
                </c:pt>
                <c:pt idx="403">
                  <c:v>109647.81961431868</c:v>
                </c:pt>
                <c:pt idx="404">
                  <c:v>112201.84543019651</c:v>
                </c:pt>
                <c:pt idx="405">
                  <c:v>114815.36214968823</c:v>
                </c:pt>
                <c:pt idx="406">
                  <c:v>117489.75549395311</c:v>
                </c:pt>
                <c:pt idx="407">
                  <c:v>120226.44346174144</c:v>
                </c:pt>
                <c:pt idx="408">
                  <c:v>123026.87708123829</c:v>
                </c:pt>
                <c:pt idx="409">
                  <c:v>125892.54117941685</c:v>
                </c:pt>
                <c:pt idx="410">
                  <c:v>128824.95516931375</c:v>
                </c:pt>
                <c:pt idx="411">
                  <c:v>131825.67385564081</c:v>
                </c:pt>
                <c:pt idx="412">
                  <c:v>134896.28825916545</c:v>
                </c:pt>
                <c:pt idx="413">
                  <c:v>138038.42646028858</c:v>
                </c:pt>
                <c:pt idx="414">
                  <c:v>141253.75446227577</c:v>
                </c:pt>
                <c:pt idx="415">
                  <c:v>144543.97707459307</c:v>
                </c:pt>
                <c:pt idx="416">
                  <c:v>147910.83881682079</c:v>
                </c:pt>
                <c:pt idx="417">
                  <c:v>151356.12484362084</c:v>
                </c:pt>
                <c:pt idx="418">
                  <c:v>154881.66189124843</c:v>
                </c:pt>
                <c:pt idx="419">
                  <c:v>158489.31924611164</c:v>
                </c:pt>
                <c:pt idx="420">
                  <c:v>162181.00973589328</c:v>
                </c:pt>
                <c:pt idx="421">
                  <c:v>165958.69074375604</c:v>
                </c:pt>
                <c:pt idx="422">
                  <c:v>169824.36524617471</c:v>
                </c:pt>
                <c:pt idx="423">
                  <c:v>173780.0828749378</c:v>
                </c:pt>
                <c:pt idx="424">
                  <c:v>177827.94100389251</c:v>
                </c:pt>
                <c:pt idx="425">
                  <c:v>181970.08586099857</c:v>
                </c:pt>
                <c:pt idx="426">
                  <c:v>186208.71366628664</c:v>
                </c:pt>
                <c:pt idx="427">
                  <c:v>190546.07179632492</c:v>
                </c:pt>
                <c:pt idx="428">
                  <c:v>194984.45997580473</c:v>
                </c:pt>
                <c:pt idx="429">
                  <c:v>199526.23149688813</c:v>
                </c:pt>
                <c:pt idx="430">
                  <c:v>204173.79446695308</c:v>
                </c:pt>
                <c:pt idx="431">
                  <c:v>208929.61308540447</c:v>
                </c:pt>
                <c:pt idx="432">
                  <c:v>213796.20895022334</c:v>
                </c:pt>
                <c:pt idx="433">
                  <c:v>218776.16239495538</c:v>
                </c:pt>
                <c:pt idx="434">
                  <c:v>223872.11385683404</c:v>
                </c:pt>
                <c:pt idx="435">
                  <c:v>229086.76527677779</c:v>
                </c:pt>
                <c:pt idx="436">
                  <c:v>234422.88153199267</c:v>
                </c:pt>
                <c:pt idx="437">
                  <c:v>239883.29190194907</c:v>
                </c:pt>
                <c:pt idx="438">
                  <c:v>245470.89156850305</c:v>
                </c:pt>
                <c:pt idx="439">
                  <c:v>251188.64315095844</c:v>
                </c:pt>
                <c:pt idx="440">
                  <c:v>257039.57827688678</c:v>
                </c:pt>
                <c:pt idx="441">
                  <c:v>263026.79918953858</c:v>
                </c:pt>
                <c:pt idx="442">
                  <c:v>269153.48039269145</c:v>
                </c:pt>
                <c:pt idx="443">
                  <c:v>275422.87033381703</c:v>
                </c:pt>
                <c:pt idx="444">
                  <c:v>281838.29312644573</c:v>
                </c:pt>
                <c:pt idx="445">
                  <c:v>288403.1503126609</c:v>
                </c:pt>
                <c:pt idx="446">
                  <c:v>295120.92266663886</c:v>
                </c:pt>
                <c:pt idx="447">
                  <c:v>301995.17204020242</c:v>
                </c:pt>
                <c:pt idx="448">
                  <c:v>309029.54325135931</c:v>
                </c:pt>
                <c:pt idx="449">
                  <c:v>316227.7660168382</c:v>
                </c:pt>
                <c:pt idx="450">
                  <c:v>323593.65692962846</c:v>
                </c:pt>
                <c:pt idx="451">
                  <c:v>331131.12148259126</c:v>
                </c:pt>
                <c:pt idx="452">
                  <c:v>338844.15613920329</c:v>
                </c:pt>
                <c:pt idx="453">
                  <c:v>346736.85045253241</c:v>
                </c:pt>
                <c:pt idx="454">
                  <c:v>354813.38923357555</c:v>
                </c:pt>
                <c:pt idx="455">
                  <c:v>363078.05477010203</c:v>
                </c:pt>
                <c:pt idx="456">
                  <c:v>371535.2290971732</c:v>
                </c:pt>
                <c:pt idx="457">
                  <c:v>380189.39632056188</c:v>
                </c:pt>
                <c:pt idx="458">
                  <c:v>389045.14499428123</c:v>
                </c:pt>
                <c:pt idx="459">
                  <c:v>398107.17055349716</c:v>
                </c:pt>
                <c:pt idx="460">
                  <c:v>407380.27780411334</c:v>
                </c:pt>
                <c:pt idx="461">
                  <c:v>416869.38347033598</c:v>
                </c:pt>
                <c:pt idx="462">
                  <c:v>426579.51880159322</c:v>
                </c:pt>
                <c:pt idx="463">
                  <c:v>436515.83224016649</c:v>
                </c:pt>
                <c:pt idx="464">
                  <c:v>446683.59215096442</c:v>
                </c:pt>
                <c:pt idx="465">
                  <c:v>457088.18961487547</c:v>
                </c:pt>
                <c:pt idx="466">
                  <c:v>467735.14128719864</c:v>
                </c:pt>
                <c:pt idx="467">
                  <c:v>478630.09232263872</c:v>
                </c:pt>
                <c:pt idx="468">
                  <c:v>489778.81936844654</c:v>
                </c:pt>
                <c:pt idx="469">
                  <c:v>501187.23362727347</c:v>
                </c:pt>
                <c:pt idx="470">
                  <c:v>512861.38399136515</c:v>
                </c:pt>
                <c:pt idx="471">
                  <c:v>524807.46024977288</c:v>
                </c:pt>
                <c:pt idx="472">
                  <c:v>537031.7963702539</c:v>
                </c:pt>
                <c:pt idx="473">
                  <c:v>549540.87385762564</c:v>
                </c:pt>
                <c:pt idx="474">
                  <c:v>562341.32519035018</c:v>
                </c:pt>
                <c:pt idx="475">
                  <c:v>575439.93733715697</c:v>
                </c:pt>
                <c:pt idx="476">
                  <c:v>588843.65535558888</c:v>
                </c:pt>
                <c:pt idx="477">
                  <c:v>602559.58607435878</c:v>
                </c:pt>
                <c:pt idx="478">
                  <c:v>616595.00186148309</c:v>
                </c:pt>
                <c:pt idx="479">
                  <c:v>630957.34448019415</c:v>
                </c:pt>
                <c:pt idx="480">
                  <c:v>645654.22903465747</c:v>
                </c:pt>
                <c:pt idx="481">
                  <c:v>660693.44800759677</c:v>
                </c:pt>
                <c:pt idx="482">
                  <c:v>676082.97539198259</c:v>
                </c:pt>
                <c:pt idx="483">
                  <c:v>691830.97091893724</c:v>
                </c:pt>
                <c:pt idx="484">
                  <c:v>707945.78438413853</c:v>
                </c:pt>
                <c:pt idx="485">
                  <c:v>724435.96007499192</c:v>
                </c:pt>
                <c:pt idx="486">
                  <c:v>741310.24130091805</c:v>
                </c:pt>
                <c:pt idx="487">
                  <c:v>758577.57502918423</c:v>
                </c:pt>
                <c:pt idx="488">
                  <c:v>776247.11662869214</c:v>
                </c:pt>
                <c:pt idx="489">
                  <c:v>794328.23472428333</c:v>
                </c:pt>
                <c:pt idx="490">
                  <c:v>812830.51616410096</c:v>
                </c:pt>
                <c:pt idx="491">
                  <c:v>831763.77110267128</c:v>
                </c:pt>
                <c:pt idx="492">
                  <c:v>851138.03820237669</c:v>
                </c:pt>
                <c:pt idx="493">
                  <c:v>870963.58995608077</c:v>
                </c:pt>
                <c:pt idx="494">
                  <c:v>891250.93813374708</c:v>
                </c:pt>
                <c:pt idx="495">
                  <c:v>912010.83935591124</c:v>
                </c:pt>
                <c:pt idx="496">
                  <c:v>933254.30079699249</c:v>
                </c:pt>
                <c:pt idx="497">
                  <c:v>954992.58602143743</c:v>
                </c:pt>
                <c:pt idx="498">
                  <c:v>977237.22095581202</c:v>
                </c:pt>
                <c:pt idx="499">
                  <c:v>1000000</c:v>
                </c:pt>
                <c:pt idx="500">
                  <c:v>1023292.9922807553</c:v>
                </c:pt>
                <c:pt idx="501">
                  <c:v>1047128.5480509007</c:v>
                </c:pt>
                <c:pt idx="502">
                  <c:v>1071519.3052376076</c:v>
                </c:pt>
                <c:pt idx="503">
                  <c:v>1096478.196143186</c:v>
                </c:pt>
                <c:pt idx="504">
                  <c:v>1122018.4543019643</c:v>
                </c:pt>
                <c:pt idx="505">
                  <c:v>1148153.6214968837</c:v>
                </c:pt>
                <c:pt idx="506">
                  <c:v>1174897.5549395324</c:v>
                </c:pt>
                <c:pt idx="507">
                  <c:v>1202264.4346174158</c:v>
                </c:pt>
                <c:pt idx="508">
                  <c:v>1230268.770812382</c:v>
                </c:pt>
                <c:pt idx="509">
                  <c:v>1258925.4117941677</c:v>
                </c:pt>
                <c:pt idx="510">
                  <c:v>1288249.5516931366</c:v>
                </c:pt>
                <c:pt idx="511">
                  <c:v>1318256.7385564097</c:v>
                </c:pt>
                <c:pt idx="512">
                  <c:v>1348962.8825916562</c:v>
                </c:pt>
                <c:pt idx="513">
                  <c:v>1380384.2646028849</c:v>
                </c:pt>
                <c:pt idx="514">
                  <c:v>1412537.5446227565</c:v>
                </c:pt>
                <c:pt idx="515">
                  <c:v>1445439.7707459298</c:v>
                </c:pt>
                <c:pt idx="516">
                  <c:v>1479108.3881682095</c:v>
                </c:pt>
                <c:pt idx="517">
                  <c:v>1513561.2484362102</c:v>
                </c:pt>
                <c:pt idx="518">
                  <c:v>1548816.6189124861</c:v>
                </c:pt>
                <c:pt idx="519">
                  <c:v>1584893.1924611153</c:v>
                </c:pt>
                <c:pt idx="520">
                  <c:v>1621810.0973589318</c:v>
                </c:pt>
                <c:pt idx="521">
                  <c:v>1659586.9074375622</c:v>
                </c:pt>
                <c:pt idx="522">
                  <c:v>1698243.6524617488</c:v>
                </c:pt>
                <c:pt idx="523">
                  <c:v>1737800.8287493798</c:v>
                </c:pt>
                <c:pt idx="524">
                  <c:v>1778279.4100389241</c:v>
                </c:pt>
                <c:pt idx="525">
                  <c:v>1819700.8586099846</c:v>
                </c:pt>
                <c:pt idx="526">
                  <c:v>1862087.1366628683</c:v>
                </c:pt>
                <c:pt idx="527">
                  <c:v>1905460.7179632513</c:v>
                </c:pt>
                <c:pt idx="528">
                  <c:v>1949844.5997580495</c:v>
                </c:pt>
                <c:pt idx="529">
                  <c:v>1995262.31496888</c:v>
                </c:pt>
                <c:pt idx="530">
                  <c:v>2041737.9446695296</c:v>
                </c:pt>
                <c:pt idx="531">
                  <c:v>2089296.1308540432</c:v>
                </c:pt>
                <c:pt idx="532">
                  <c:v>2137962.0895022359</c:v>
                </c:pt>
                <c:pt idx="533">
                  <c:v>2187761.6239495561</c:v>
                </c:pt>
                <c:pt idx="534">
                  <c:v>2238721.1385683389</c:v>
                </c:pt>
                <c:pt idx="535">
                  <c:v>2290867.6527677765</c:v>
                </c:pt>
                <c:pt idx="536">
                  <c:v>2344228.8153199251</c:v>
                </c:pt>
                <c:pt idx="537">
                  <c:v>2398832.9190194933</c:v>
                </c:pt>
                <c:pt idx="538">
                  <c:v>2454708.915685033</c:v>
                </c:pt>
                <c:pt idx="539">
                  <c:v>2511886.431509587</c:v>
                </c:pt>
                <c:pt idx="540">
                  <c:v>2570395.782768866</c:v>
                </c:pt>
                <c:pt idx="541">
                  <c:v>2630267.9918953842</c:v>
                </c:pt>
              </c:numCache>
            </c:numRef>
          </c:xVal>
          <c:yVal>
            <c:numRef>
              <c:f>Control_Loop_Tables!$AP$19:$AP$560</c:f>
              <c:numCache>
                <c:formatCode>General</c:formatCode>
                <c:ptCount val="542"/>
                <c:pt idx="0">
                  <c:v>36.367771239163631</c:v>
                </c:pt>
                <c:pt idx="1">
                  <c:v>36.228685042803242</c:v>
                </c:pt>
                <c:pt idx="2">
                  <c:v>36.087666010301525</c:v>
                </c:pt>
                <c:pt idx="3">
                  <c:v>35.944750312459199</c:v>
                </c:pt>
                <c:pt idx="4">
                  <c:v>35.799975068641984</c:v>
                </c:pt>
                <c:pt idx="5">
                  <c:v>35.653378232959618</c:v>
                </c:pt>
                <c:pt idx="6">
                  <c:v>35.504998481813949</c:v>
                </c:pt>
                <c:pt idx="7">
                  <c:v>35.354875103393951</c:v>
                </c:pt>
                <c:pt idx="8">
                  <c:v>35.203047889648104</c:v>
                </c:pt>
                <c:pt idx="9">
                  <c:v>35.049557031210973</c:v>
                </c:pt>
                <c:pt idx="10">
                  <c:v>34.894443015711197</c:v>
                </c:pt>
                <c:pt idx="11">
                  <c:v>34.737746529834141</c:v>
                </c:pt>
                <c:pt idx="12">
                  <c:v>34.579508365459276</c:v>
                </c:pt>
                <c:pt idx="13">
                  <c:v>34.419769330140198</c:v>
                </c:pt>
                <c:pt idx="14">
                  <c:v>34.258570162144778</c:v>
                </c:pt>
                <c:pt idx="15">
                  <c:v>34.095951450223531</c:v>
                </c:pt>
                <c:pt idx="16">
                  <c:v>33.93195355822715</c:v>
                </c:pt>
                <c:pt idx="17">
                  <c:v>33.766616554651812</c:v>
                </c:pt>
                <c:pt idx="18">
                  <c:v>33.599980147147114</c:v>
                </c:pt>
                <c:pt idx="19">
                  <c:v>33.432083621986528</c:v>
                </c:pt>
                <c:pt idx="20">
                  <c:v>33.262965788463653</c:v>
                </c:pt>
                <c:pt idx="21">
                  <c:v>33.092664928146988</c:v>
                </c:pt>
                <c:pt idx="22">
                  <c:v>32.921218748899847</c:v>
                </c:pt>
                <c:pt idx="23">
                  <c:v>32.748664343543567</c:v>
                </c:pt>
                <c:pt idx="24">
                  <c:v>32.575038153027364</c:v>
                </c:pt>
                <c:pt idx="25">
                  <c:v>32.400375933944417</c:v>
                </c:pt>
                <c:pt idx="26">
                  <c:v>32.224712730222784</c:v>
                </c:pt>
                <c:pt idx="27">
                  <c:v>32.04808284880712</c:v>
                </c:pt>
                <c:pt idx="28">
                  <c:v>31.870519839137064</c:v>
                </c:pt>
                <c:pt idx="29">
                  <c:v>31.692056476223073</c:v>
                </c:pt>
                <c:pt idx="30">
                  <c:v>31.51272474711525</c:v>
                </c:pt>
                <c:pt idx="31">
                  <c:v>31.332555840558435</c:v>
                </c:pt>
                <c:pt idx="32">
                  <c:v>31.151580139627622</c:v>
                </c:pt>
                <c:pt idx="33">
                  <c:v>30.969827217137365</c:v>
                </c:pt>
                <c:pt idx="34">
                  <c:v>30.787325833623154</c:v>
                </c:pt>
                <c:pt idx="35">
                  <c:v>30.604103937695982</c:v>
                </c:pt>
                <c:pt idx="36">
                  <c:v>30.420188668576607</c:v>
                </c:pt>
                <c:pt idx="37">
                  <c:v>30.235606360621684</c:v>
                </c:pt>
                <c:pt idx="38">
                  <c:v>30.050382549662</c:v>
                </c:pt>
                <c:pt idx="39">
                  <c:v>29.864541980977833</c:v>
                </c:pt>
                <c:pt idx="40">
                  <c:v>29.678108618747785</c:v>
                </c:pt>
                <c:pt idx="41">
                  <c:v>29.491105656810962</c:v>
                </c:pt>
                <c:pt idx="42">
                  <c:v>29.303555530595776</c:v>
                </c:pt>
                <c:pt idx="43">
                  <c:v>29.11547993007343</c:v>
                </c:pt>
                <c:pt idx="44">
                  <c:v>28.926899813602624</c:v>
                </c:pt>
                <c:pt idx="45">
                  <c:v>28.7378354225438</c:v>
                </c:pt>
                <c:pt idx="46">
                  <c:v>28.548306296525311</c:v>
                </c:pt>
                <c:pt idx="47">
                  <c:v>28.358331289254728</c:v>
                </c:pt>
                <c:pt idx="48">
                  <c:v>28.167928584776021</c:v>
                </c:pt>
                <c:pt idx="49">
                  <c:v>27.977115714079702</c:v>
                </c:pt>
                <c:pt idx="50">
                  <c:v>27.785909571982007</c:v>
                </c:pt>
                <c:pt idx="51">
                  <c:v>27.594326434195882</c:v>
                </c:pt>
                <c:pt idx="52">
                  <c:v>27.4023819745221</c:v>
                </c:pt>
                <c:pt idx="53">
                  <c:v>27.210091282097068</c:v>
                </c:pt>
                <c:pt idx="54">
                  <c:v>27.017468878639413</c:v>
                </c:pt>
                <c:pt idx="55">
                  <c:v>26.824528735641241</c:v>
                </c:pt>
                <c:pt idx="56">
                  <c:v>26.631284291459778</c:v>
                </c:pt>
                <c:pt idx="57">
                  <c:v>26.437748468264765</c:v>
                </c:pt>
                <c:pt idx="58">
                  <c:v>26.243933688806507</c:v>
                </c:pt>
                <c:pt idx="59">
                  <c:v>26.049851892970835</c:v>
                </c:pt>
                <c:pt idx="60">
                  <c:v>25.855514554092625</c:v>
                </c:pt>
                <c:pt idx="61">
                  <c:v>25.660932695003382</c:v>
                </c:pt>
                <c:pt idx="62">
                  <c:v>25.466116903791296</c:v>
                </c:pt>
                <c:pt idx="63">
                  <c:v>25.271077349256249</c:v>
                </c:pt>
                <c:pt idx="64">
                  <c:v>25.075823796043991</c:v>
                </c:pt>
                <c:pt idx="65">
                  <c:v>24.880365619448533</c:v>
                </c:pt>
                <c:pt idx="66">
                  <c:v>24.684711819871875</c:v>
                </c:pt>
                <c:pt idx="67">
                  <c:v>24.488871036934121</c:v>
                </c:pt>
                <c:pt idx="68">
                  <c:v>24.292851563228361</c:v>
                </c:pt>
                <c:pt idx="69">
                  <c:v>24.096661357717764</c:v>
                </c:pt>
                <c:pt idx="70">
                  <c:v>23.90030805877117</c:v>
                </c:pt>
                <c:pt idx="71">
                  <c:v>23.703798996839268</c:v>
                </c:pt>
                <c:pt idx="72">
                  <c:v>23.507141206770644</c:v>
                </c:pt>
                <c:pt idx="73">
                  <c:v>23.310341439770546</c:v>
                </c:pt>
                <c:pt idx="74">
                  <c:v>23.113406175006354</c:v>
                </c:pt>
                <c:pt idx="75">
                  <c:v>22.916341630863357</c:v>
                </c:pt>
                <c:pt idx="76">
                  <c:v>22.719153775855997</c:v>
                </c:pt>
                <c:pt idx="77">
                  <c:v>22.521848339201767</c:v>
                </c:pt>
                <c:pt idx="78">
                  <c:v>22.324430821062254</c:v>
                </c:pt>
                <c:pt idx="79">
                  <c:v>22.126906502460969</c:v>
                </c:pt>
                <c:pt idx="80">
                  <c:v>21.929280454882758</c:v>
                </c:pt>
                <c:pt idx="81">
                  <c:v>21.731557549565764</c:v>
                </c:pt>
                <c:pt idx="82">
                  <c:v>21.533742466492161</c:v>
                </c:pt>
                <c:pt idx="83">
                  <c:v>21.335839703086986</c:v>
                </c:pt>
                <c:pt idx="84">
                  <c:v>21.137853582634072</c:v>
                </c:pt>
                <c:pt idx="85">
                  <c:v>20.939788262418396</c:v>
                </c:pt>
                <c:pt idx="86">
                  <c:v>20.74164774160289</c:v>
                </c:pt>
                <c:pt idx="87">
                  <c:v>20.543435868850985</c:v>
                </c:pt>
                <c:pt idx="88">
                  <c:v>20.345156349701028</c:v>
                </c:pt>
                <c:pt idx="89">
                  <c:v>20.146812753706733</c:v>
                </c:pt>
                <c:pt idx="90">
                  <c:v>19.948408521347819</c:v>
                </c:pt>
                <c:pt idx="91">
                  <c:v>19.749946970723656</c:v>
                </c:pt>
                <c:pt idx="92">
                  <c:v>19.55143130403874</c:v>
                </c:pt>
                <c:pt idx="93">
                  <c:v>19.352864613888062</c:v>
                </c:pt>
                <c:pt idx="94">
                  <c:v>19.154249889353299</c:v>
                </c:pt>
                <c:pt idx="95">
                  <c:v>18.95559002191699</c:v>
                </c:pt>
                <c:pt idx="96">
                  <c:v>18.756887811206425</c:v>
                </c:pt>
                <c:pt idx="97">
                  <c:v>18.558145970573523</c:v>
                </c:pt>
                <c:pt idx="98">
                  <c:v>18.359367132521601</c:v>
                </c:pt>
                <c:pt idx="99">
                  <c:v>18.16055385398678</c:v>
                </c:pt>
                <c:pt idx="100">
                  <c:v>17.961708621483609</c:v>
                </c:pt>
                <c:pt idx="101">
                  <c:v>17.762833856122874</c:v>
                </c:pt>
                <c:pt idx="102">
                  <c:v>17.563931918509795</c:v>
                </c:pt>
                <c:pt idx="103">
                  <c:v>17.365005113532664</c:v>
                </c:pt>
                <c:pt idx="104">
                  <c:v>17.166055695048353</c:v>
                </c:pt>
                <c:pt idx="105">
                  <c:v>16.967085870473969</c:v>
                </c:pt>
                <c:pt idx="106">
                  <c:v>16.768097805293344</c:v>
                </c:pt>
                <c:pt idx="107">
                  <c:v>16.569093627484648</c:v>
                </c:pt>
                <c:pt idx="108">
                  <c:v>16.370075431879606</c:v>
                </c:pt>
                <c:pt idx="109">
                  <c:v>16.171045284459701</c:v>
                </c:pt>
                <c:pt idx="110">
                  <c:v>15.972005226599759</c:v>
                </c:pt>
                <c:pt idx="111">
                  <c:v>15.772957279264324</c:v>
                </c:pt>
                <c:pt idx="112">
                  <c:v>15.573903447167295</c:v>
                </c:pt>
                <c:pt idx="113">
                  <c:v>15.374845722899394</c:v>
                </c:pt>
                <c:pt idx="114">
                  <c:v>15.175786091034485</c:v>
                </c:pt>
                <c:pt idx="115">
                  <c:v>14.976726532219772</c:v>
                </c:pt>
                <c:pt idx="116">
                  <c:v>14.77766902725943</c:v>
                </c:pt>
                <c:pt idx="117">
                  <c:v>14.578615561198085</c:v>
                </c:pt>
                <c:pt idx="118">
                  <c:v>14.379568127412416</c:v>
                </c:pt>
                <c:pt idx="119">
                  <c:v>14.180528731718944</c:v>
                </c:pt>
                <c:pt idx="120">
                  <c:v>13.981499396504475</c:v>
                </c:pt>
                <c:pt idx="121">
                  <c:v>13.782482164887828</c:v>
                </c:pt>
                <c:pt idx="122">
                  <c:v>13.583479104921603</c:v>
                </c:pt>
                <c:pt idx="123">
                  <c:v>13.384492313838868</c:v>
                </c:pt>
                <c:pt idx="124">
                  <c:v>13.185523922355795</c:v>
                </c:pt>
                <c:pt idx="125">
                  <c:v>12.986576099036464</c:v>
                </c:pt>
                <c:pt idx="126">
                  <c:v>12.787651054727503</c:v>
                </c:pt>
                <c:pt idx="127">
                  <c:v>12.588751047071895</c:v>
                </c:pt>
                <c:pt idx="128">
                  <c:v>12.389878385110016</c:v>
                </c:pt>
                <c:pt idx="129">
                  <c:v>12.191035433973184</c:v>
                </c:pt>
                <c:pt idx="130">
                  <c:v>11.992224619683327</c:v>
                </c:pt>
                <c:pt idx="131">
                  <c:v>11.793448434061842</c:v>
                </c:pt>
                <c:pt idx="132">
                  <c:v>11.594709439759686</c:v>
                </c:pt>
                <c:pt idx="133">
                  <c:v>11.39601027541514</c:v>
                </c:pt>
                <c:pt idx="134">
                  <c:v>11.197353660949855</c:v>
                </c:pt>
                <c:pt idx="135">
                  <c:v>10.998742403009587</c:v>
                </c:pt>
                <c:pt idx="136">
                  <c:v>10.80017940056104</c:v>
                </c:pt>
                <c:pt idx="137">
                  <c:v>10.601667650651363</c:v>
                </c:pt>
                <c:pt idx="138">
                  <c:v>10.403210254341705</c:v>
                </c:pt>
                <c:pt idx="139">
                  <c:v>10.204810422821796</c:v>
                </c:pt>
                <c:pt idx="140">
                  <c:v>10.006471483716252</c:v>
                </c:pt>
                <c:pt idx="141">
                  <c:v>9.8081968875913965</c:v>
                </c:pt>
                <c:pt idx="142">
                  <c:v>9.6099902146719849</c:v>
                </c:pt>
                <c:pt idx="143">
                  <c:v>9.4118551817774581</c:v>
                </c:pt>
                <c:pt idx="144">
                  <c:v>9.2137956494867552</c:v>
                </c:pt>
                <c:pt idx="145">
                  <c:v>9.015815629541299</c:v>
                </c:pt>
                <c:pt idx="146">
                  <c:v>8.8179192924961196</c:v>
                </c:pt>
                <c:pt idx="147">
                  <c:v>8.6201109756280587</c:v>
                </c:pt>
                <c:pt idx="148">
                  <c:v>8.4223951911100823</c:v>
                </c:pt>
                <c:pt idx="149">
                  <c:v>8.2247766344619624</c:v>
                </c:pt>
                <c:pt idx="150">
                  <c:v>8.0272601932856968</c:v>
                </c:pt>
                <c:pt idx="151">
                  <c:v>7.8298509562947416</c:v>
                </c:pt>
                <c:pt idx="152">
                  <c:v>7.632554222646144</c:v>
                </c:pt>
                <c:pt idx="153">
                  <c:v>7.4353755115836382</c:v>
                </c:pt>
                <c:pt idx="154">
                  <c:v>7.2383205724004469</c:v>
                </c:pt>
                <c:pt idx="155">
                  <c:v>7.0413953947283945</c:v>
                </c:pt>
                <c:pt idx="156">
                  <c:v>6.844606219162662</c:v>
                </c:pt>
                <c:pt idx="157">
                  <c:v>6.6479595482261269</c:v>
                </c:pt>
                <c:pt idx="158">
                  <c:v>6.4514621576821192</c:v>
                </c:pt>
                <c:pt idx="159">
                  <c:v>6.2551211081989315</c:v>
                </c:pt>
                <c:pt idx="160">
                  <c:v>6.0589437573724201</c:v>
                </c:pt>
                <c:pt idx="161">
                  <c:v>5.8629377721081308</c:v>
                </c:pt>
                <c:pt idx="162">
                  <c:v>5.6671111413676254</c:v>
                </c:pt>
                <c:pt idx="163">
                  <c:v>5.4714721892788507</c:v>
                </c:pt>
                <c:pt idx="164">
                  <c:v>5.2760295886112472</c:v>
                </c:pt>
                <c:pt idx="165">
                  <c:v>5.0807923746135177</c:v>
                </c:pt>
                <c:pt idx="166">
                  <c:v>4.8857699592118404</c:v>
                </c:pt>
                <c:pt idx="167">
                  <c:v>4.6909721455615099</c:v>
                </c:pt>
                <c:pt idx="168">
                  <c:v>4.496409142947285</c:v>
                </c:pt>
                <c:pt idx="169">
                  <c:v>4.3020915820209318</c:v>
                </c:pt>
                <c:pt idx="170">
                  <c:v>4.108030530365359</c:v>
                </c:pt>
                <c:pt idx="171">
                  <c:v>3.9142375083702383</c:v>
                </c:pt>
                <c:pt idx="172">
                  <c:v>3.7207245054013569</c:v>
                </c:pt>
                <c:pt idx="173">
                  <c:v>3.5275039962431305</c:v>
                </c:pt>
                <c:pt idx="174">
                  <c:v>3.3345889577901748</c:v>
                </c:pt>
                <c:pt idx="175">
                  <c:v>3.1419928859589334</c:v>
                </c:pt>
                <c:pt idx="176">
                  <c:v>2.9497298127883993</c:v>
                </c:pt>
                <c:pt idx="177">
                  <c:v>2.7578143236917518</c:v>
                </c:pt>
                <c:pt idx="178">
                  <c:v>2.5662615748189141</c:v>
                </c:pt>
                <c:pt idx="179">
                  <c:v>2.3750873104827681</c:v>
                </c:pt>
                <c:pt idx="180">
                  <c:v>2.1843078805979848</c:v>
                </c:pt>
                <c:pt idx="181">
                  <c:v>1.9939402580729604</c:v>
                </c:pt>
                <c:pt idx="182">
                  <c:v>1.8040020560943724</c:v>
                </c:pt>
                <c:pt idx="183">
                  <c:v>1.6145115452310068</c:v>
                </c:pt>
                <c:pt idx="184">
                  <c:v>1.4254876702823944</c:v>
                </c:pt>
                <c:pt idx="185">
                  <c:v>1.2369500667877733</c:v>
                </c:pt>
                <c:pt idx="186">
                  <c:v>1.0489190771026518</c:v>
                </c:pt>
                <c:pt idx="187">
                  <c:v>0.86141576594680402</c:v>
                </c:pt>
                <c:pt idx="188">
                  <c:v>0.67446193531506837</c:v>
                </c:pt>
                <c:pt idx="189">
                  <c:v>0.48808013863616001</c:v>
                </c:pt>
                <c:pt idx="190">
                  <c:v>0.30229369405778983</c:v>
                </c:pt>
                <c:pt idx="191">
                  <c:v>0.11712669672413248</c:v>
                </c:pt>
                <c:pt idx="192">
                  <c:v>-6.7395970091024743E-2</c:v>
                </c:pt>
                <c:pt idx="193">
                  <c:v>-0.25124862514679414</c:v>
                </c:pt>
                <c:pt idx="194">
                  <c:v>-0.43440478084801137</c:v>
                </c:pt>
                <c:pt idx="195">
                  <c:v>-0.61683713647380123</c:v>
                </c:pt>
                <c:pt idx="196">
                  <c:v>-0.7985175731946148</c:v>
                </c:pt>
                <c:pt idx="197">
                  <c:v>-0.97941715105570937</c:v>
                </c:pt>
                <c:pt idx="198">
                  <c:v>-1.1595061081164713</c:v>
                </c:pt>
                <c:pt idx="199">
                  <c:v>-1.3387538619348489</c:v>
                </c:pt>
                <c:pt idx="200">
                  <c:v>-1.5171290135966162</c:v>
                </c:pt>
                <c:pt idx="201">
                  <c:v>-1.6945993544900291</c:v>
                </c:pt>
                <c:pt idx="202">
                  <c:v>-1.8711318760304763</c:v>
                </c:pt>
                <c:pt idx="203">
                  <c:v>-2.0466927825407111</c:v>
                </c:pt>
                <c:pt idx="204">
                  <c:v>-2.2212475074916971</c:v>
                </c:pt>
                <c:pt idx="205">
                  <c:v>-2.3947607333080558</c:v>
                </c:pt>
                <c:pt idx="206">
                  <c:v>-2.5671964149358741</c:v>
                </c:pt>
                <c:pt idx="207">
                  <c:v>-2.738517807366208</c:v>
                </c:pt>
                <c:pt idx="208">
                  <c:v>-2.9086874972964436</c:v>
                </c:pt>
                <c:pt idx="209">
                  <c:v>-3.0776674391024379</c:v>
                </c:pt>
                <c:pt idx="210">
                  <c:v>-3.2454189952767001</c:v>
                </c:pt>
                <c:pt idx="211">
                  <c:v>-3.4119029814731876</c:v>
                </c:pt>
                <c:pt idx="212">
                  <c:v>-3.5770797162756578</c:v>
                </c:pt>
                <c:pt idx="213">
                  <c:v>-3.7409090757845314</c:v>
                </c:pt>
                <c:pt idx="214">
                  <c:v>-3.903350553088405</c:v>
                </c:pt>
                <c:pt idx="215">
                  <c:v>-4.0643633226544722</c:v>
                </c:pt>
                <c:pt idx="216">
                  <c:v>-4.2239063096402072</c:v>
                </c:pt>
                <c:pt idx="217">
                  <c:v>-4.3819382640878448</c:v>
                </c:pt>
                <c:pt idx="218">
                  <c:v>-4.5384178399241755</c:v>
                </c:pt>
                <c:pt idx="219">
                  <c:v>-4.6933036786436384</c:v>
                </c:pt>
                <c:pt idx="220">
                  <c:v>-4.8465544975050943</c:v>
                </c:pt>
                <c:pt idx="221">
                  <c:v>-4.9981291820256661</c:v>
                </c:pt>
                <c:pt idx="222">
                  <c:v>-5.147986882501101</c:v>
                </c:pt>
                <c:pt idx="223">
                  <c:v>-5.2960871142335018</c:v>
                </c:pt>
                <c:pt idx="224">
                  <c:v>-5.4423898610904287</c:v>
                </c:pt>
                <c:pt idx="225">
                  <c:v>-5.5868556819694506</c:v>
                </c:pt>
                <c:pt idx="226">
                  <c:v>-5.729445819687518</c:v>
                </c:pt>
                <c:pt idx="227">
                  <c:v>-5.8701223117651677</c:v>
                </c:pt>
                <c:pt idx="228">
                  <c:v>-6.0088481025250822</c:v>
                </c:pt>
                <c:pt idx="229">
                  <c:v>-6.1455871558825157</c:v>
                </c:pt>
                <c:pt idx="230">
                  <c:v>-6.2803045681586225</c:v>
                </c:pt>
                <c:pt idx="231">
                  <c:v>-6.4129666802173224</c:v>
                </c:pt>
                <c:pt idx="232">
                  <c:v>-6.5435411881910728</c:v>
                </c:pt>
                <c:pt idx="233">
                  <c:v>-6.6719972520413231</c:v>
                </c:pt>
                <c:pt idx="234">
                  <c:v>-6.7983056011800631</c:v>
                </c:pt>
                <c:pt idx="235">
                  <c:v>-6.9224386363738235</c:v>
                </c:pt>
                <c:pt idx="236">
                  <c:v>-7.0443705271505479</c:v>
                </c:pt>
                <c:pt idx="237">
                  <c:v>-7.1640773039412089</c:v>
                </c:pt>
                <c:pt idx="238">
                  <c:v>-7.2815369442066755</c:v>
                </c:pt>
                <c:pt idx="239">
                  <c:v>-7.3967294518303097</c:v>
                </c:pt>
                <c:pt idx="240">
                  <c:v>-7.509636929095346</c:v>
                </c:pt>
                <c:pt idx="241">
                  <c:v>-7.620243640613884</c:v>
                </c:pt>
                <c:pt idx="242">
                  <c:v>-7.7285360686318336</c:v>
                </c:pt>
                <c:pt idx="243">
                  <c:v>-7.8345029591982644</c:v>
                </c:pt>
                <c:pt idx="244">
                  <c:v>-7.9381353587617189</c:v>
                </c:pt>
                <c:pt idx="245">
                  <c:v>-8.0394266408329216</c:v>
                </c:pt>
                <c:pt idx="246">
                  <c:v>-8.1383725224396901</c:v>
                </c:pt>
                <c:pt idx="247">
                  <c:v>-8.2349710701865408</c:v>
                </c:pt>
                <c:pt idx="248">
                  <c:v>-8.3292226958240647</c:v>
                </c:pt>
                <c:pt idx="249">
                  <c:v>-8.4211301413241948</c:v>
                </c:pt>
                <c:pt idx="250">
                  <c:v>-8.5106984535514751</c:v>
                </c:pt>
                <c:pt idx="251">
                  <c:v>-8.5979349487105932</c:v>
                </c:pt>
                <c:pt idx="252">
                  <c:v>-8.682849166837638</c:v>
                </c:pt>
                <c:pt idx="253">
                  <c:v>-8.7654528166897148</c:v>
                </c:pt>
                <c:pt idx="254">
                  <c:v>-8.8457597114614046</c:v>
                </c:pt>
                <c:pt idx="255">
                  <c:v>-8.9237856958333808</c:v>
                </c:pt>
                <c:pt idx="256">
                  <c:v>-8.9995485649189391</c:v>
                </c:pt>
                <c:pt idx="257">
                  <c:v>-9.0730679757335313</c:v>
                </c:pt>
                <c:pt idx="258">
                  <c:v>-9.1443653518580543</c:v>
                </c:pt>
                <c:pt idx="259">
                  <c:v>-9.2134637820056255</c:v>
                </c:pt>
                <c:pt idx="260">
                  <c:v>-9.280387913230042</c:v>
                </c:pt>
                <c:pt idx="261">
                  <c:v>-9.3451638395322139</c:v>
                </c:pt>
                <c:pt idx="262">
                  <c:v>-9.407818986632865</c:v>
                </c:pt>
                <c:pt idx="263">
                  <c:v>-9.4683819936771982</c:v>
                </c:pt>
                <c:pt idx="264">
                  <c:v>-9.5268825926309333</c:v>
                </c:pt>
                <c:pt idx="265">
                  <c:v>-9.5833514861111855</c:v>
                </c:pt>
                <c:pt idx="266">
                  <c:v>-9.6378202243689586</c:v>
                </c:pt>
                <c:pt idx="267">
                  <c:v>-9.6903210821136376</c:v>
                </c:pt>
                <c:pt idx="268">
                  <c:v>-9.7408869358299359</c:v>
                </c:pt>
                <c:pt idx="269">
                  <c:v>-9.7895511421985955</c:v>
                </c:pt>
                <c:pt idx="270">
                  <c:v>-9.8363474181864952</c:v>
                </c:pt>
                <c:pt idx="271">
                  <c:v>-9.8813097233232359</c:v>
                </c:pt>
                <c:pt idx="272">
                  <c:v>-9.9244721446303785</c:v>
                </c:pt>
                <c:pt idx="273">
                  <c:v>-9.9658687846196674</c:v>
                </c:pt>
                <c:pt idx="274">
                  <c:v>-10.005533652720624</c:v>
                </c:pt>
                <c:pt idx="275">
                  <c:v>-10.04350056044948</c:v>
                </c:pt>
                <c:pt idx="276">
                  <c:v>-10.079803020577636</c:v>
                </c:pt>
                <c:pt idx="277">
                  <c:v>-10.114474150508901</c:v>
                </c:pt>
                <c:pt idx="278">
                  <c:v>-10.147546580027576</c:v>
                </c:pt>
                <c:pt idx="279">
                  <c:v>-10.179052363533076</c:v>
                </c:pt>
                <c:pt idx="280">
                  <c:v>-10.20902289683551</c:v>
                </c:pt>
                <c:pt idx="281">
                  <c:v>-10.237488838547129</c:v>
                </c:pt>
                <c:pt idx="282">
                  <c:v>-10.264480036068537</c:v>
                </c:pt>
                <c:pt idx="283">
                  <c:v>-10.290025456136247</c:v>
                </c:pt>
                <c:pt idx="284">
                  <c:v>-10.314153119870454</c:v>
                </c:pt>
                <c:pt idx="285">
                  <c:v>-10.336890042235176</c:v>
                </c:pt>
                <c:pt idx="286">
                  <c:v>-10.358262175803812</c:v>
                </c:pt>
                <c:pt idx="287">
                  <c:v>-10.378294358702467</c:v>
                </c:pt>
                <c:pt idx="288">
                  <c:v>-10.397010266592499</c:v>
                </c:pt>
                <c:pt idx="289">
                  <c:v>-10.414432368538755</c:v>
                </c:pt>
                <c:pt idx="290">
                  <c:v>-10.430581886606166</c:v>
                </c:pt>
                <c:pt idx="291">
                  <c:v>-10.445478759018506</c:v>
                </c:pt>
                <c:pt idx="292">
                  <c:v>-10.45914160671439</c:v>
                </c:pt>
                <c:pt idx="293">
                  <c:v>-10.471587703133469</c:v>
                </c:pt>
                <c:pt idx="294">
                  <c:v>-10.482832947070245</c:v>
                </c:pt>
                <c:pt idx="295">
                  <c:v>-10.492891838437078</c:v>
                </c:pt>
                <c:pt idx="296">
                  <c:v>-10.501777456785032</c:v>
                </c:pt>
                <c:pt idx="297">
                  <c:v>-10.509501442441049</c:v>
                </c:pt>
                <c:pt idx="298">
                  <c:v>-10.516073980128125</c:v>
                </c:pt>
                <c:pt idx="299">
                  <c:v>-10.521503784948971</c:v>
                </c:pt>
                <c:pt idx="300">
                  <c:v>-10.525798090625631</c:v>
                </c:pt>
                <c:pt idx="301">
                  <c:v>-10.528962639901051</c:v>
                </c:pt>
                <c:pt idx="302">
                  <c:v>-10.53100167702528</c:v>
                </c:pt>
                <c:pt idx="303">
                  <c:v>-10.531917942261224</c:v>
                </c:pt>
                <c:pt idx="304">
                  <c:v>-10.531712668364833</c:v>
                </c:pt>
                <c:pt idx="305">
                  <c:v>-10.530385579008195</c:v>
                </c:pt>
                <c:pt idx="306">
                  <c:v>-10.527934889131917</c:v>
                </c:pt>
                <c:pt idx="307">
                  <c:v>-10.524357307229845</c:v>
                </c:pt>
                <c:pt idx="308">
                  <c:v>-10.519648039586606</c:v>
                </c:pt>
                <c:pt idx="309">
                  <c:v>-10.513800796503531</c:v>
                </c:pt>
                <c:pt idx="310">
                  <c:v>-10.506807800566655</c:v>
                </c:pt>
                <c:pt idx="311">
                  <c:v>-10.498659797026015</c:v>
                </c:pt>
                <c:pt idx="312">
                  <c:v>-10.489346066368658</c:v>
                </c:pt>
                <c:pt idx="313">
                  <c:v>-10.47885443918662</c:v>
                </c:pt>
                <c:pt idx="314">
                  <c:v>-10.467171313449708</c:v>
                </c:pt>
                <c:pt idx="315">
                  <c:v>-10.454281674309517</c:v>
                </c:pt>
                <c:pt idx="316">
                  <c:v>-10.440169116569599</c:v>
                </c:pt>
                <c:pt idx="317">
                  <c:v>-10.424815869968819</c:v>
                </c:pt>
                <c:pt idx="318">
                  <c:v>-10.408202827430342</c:v>
                </c:pt>
                <c:pt idx="319">
                  <c:v>-10.390309576437939</c:v>
                </c:pt>
                <c:pt idx="320">
                  <c:v>-10.371114433702759</c:v>
                </c:pt>
                <c:pt idx="321">
                  <c:v>-10.350594483288397</c:v>
                </c:pt>
                <c:pt idx="322">
                  <c:v>-10.328725618358723</c:v>
                </c:pt>
                <c:pt idx="323">
                  <c:v>-10.305482586712699</c:v>
                </c:pt>
                <c:pt idx="324">
                  <c:v>-10.280839040262059</c:v>
                </c:pt>
                <c:pt idx="325">
                  <c:v>-10.254767588600156</c:v>
                </c:pt>
                <c:pt idx="326">
                  <c:v>-10.227239856797425</c:v>
                </c:pt>
                <c:pt idx="327">
                  <c:v>-10.198226547543443</c:v>
                </c:pt>
                <c:pt idx="328">
                  <c:v>-10.167697507736072</c:v>
                </c:pt>
                <c:pt idx="329">
                  <c:v>-10.135621799596299</c:v>
                </c:pt>
                <c:pt idx="330">
                  <c:v>-10.101967776360185</c:v>
                </c:pt>
                <c:pt idx="331">
                  <c:v>-10.066703162569929</c:v>
                </c:pt>
                <c:pt idx="332">
                  <c:v>-10.029795138951991</c:v>
                </c:pt>
                <c:pt idx="333">
                  <c:v>-9.9912104318340536</c:v>
                </c:pt>
                <c:pt idx="334">
                  <c:v>-9.9509154070108057</c:v>
                </c:pt>
                <c:pt idx="335">
                  <c:v>-9.9088761679267972</c:v>
                </c:pt>
                <c:pt idx="336">
                  <c:v>-9.8650586579971868</c:v>
                </c:pt>
                <c:pt idx="337">
                  <c:v>-9.8194287668390015</c:v>
                </c:pt>
                <c:pt idx="338">
                  <c:v>-9.7719524401356992</c:v>
                </c:pt>
                <c:pt idx="339">
                  <c:v>-9.7225957928054036</c:v>
                </c:pt>
                <c:pt idx="340">
                  <c:v>-9.6713252250914969</c:v>
                </c:pt>
                <c:pt idx="341">
                  <c:v>-9.6181075411411268</c:v>
                </c:pt>
                <c:pt idx="342">
                  <c:v>-9.5629100695870015</c:v>
                </c:pt>
                <c:pt idx="343">
                  <c:v>-9.5057007855962787</c:v>
                </c:pt>
                <c:pt idx="344">
                  <c:v>-9.4464484338055534</c:v>
                </c:pt>
                <c:pt idx="345">
                  <c:v>-9.3851226515134876</c:v>
                </c:pt>
                <c:pt idx="346">
                  <c:v>-9.3216940914673412</c:v>
                </c:pt>
                <c:pt idx="347">
                  <c:v>-9.2561345435419096</c:v>
                </c:pt>
                <c:pt idx="348">
                  <c:v>-9.1884170545832227</c:v>
                </c:pt>
                <c:pt idx="349">
                  <c:v>-9.1185160456668584</c:v>
                </c:pt>
                <c:pt idx="350">
                  <c:v>-9.0464074260093703</c:v>
                </c:pt>
                <c:pt idx="351">
                  <c:v>-8.972068702763071</c:v>
                </c:pt>
                <c:pt idx="352">
                  <c:v>-8.895479085930587</c:v>
                </c:pt>
                <c:pt idx="353">
                  <c:v>-8.8166195876488302</c:v>
                </c:pt>
                <c:pt idx="354">
                  <c:v>-8.7354731151116454</c:v>
                </c:pt>
                <c:pt idx="355">
                  <c:v>-8.6520245564362526</c:v>
                </c:pt>
                <c:pt idx="356">
                  <c:v>-8.5662608588178983</c:v>
                </c:pt>
                <c:pt idx="357">
                  <c:v>-8.4781710983679641</c:v>
                </c:pt>
                <c:pt idx="358">
                  <c:v>-8.3877465410911043</c:v>
                </c:pt>
                <c:pt idx="359">
                  <c:v>-8.2949806945242894</c:v>
                </c:pt>
                <c:pt idx="360">
                  <c:v>-8.199869349633687</c:v>
                </c:pt>
                <c:pt idx="361">
                  <c:v>-8.1024106126480291</c:v>
                </c:pt>
                <c:pt idx="362">
                  <c:v>-8.0026049265914718</c:v>
                </c:pt>
                <c:pt idx="363">
                  <c:v>-7.9004550823683983</c:v>
                </c:pt>
                <c:pt idx="364">
                  <c:v>-7.7959662193446295</c:v>
                </c:pt>
                <c:pt idx="365">
                  <c:v>-7.6891458154625614</c:v>
                </c:pt>
                <c:pt idx="366">
                  <c:v>-7.5800036670182322</c:v>
                </c:pt>
                <c:pt idx="367">
                  <c:v>-7.4685518583213462</c:v>
                </c:pt>
                <c:pt idx="368">
                  <c:v>-7.3548047215431556</c:v>
                </c:pt>
                <c:pt idx="369">
                  <c:v>-7.2387787871429996</c:v>
                </c:pt>
                <c:pt idx="370">
                  <c:v>-7.1204927253372707</c:v>
                </c:pt>
                <c:pt idx="371">
                  <c:v>-6.9999672791484198</c:v>
                </c:pt>
                <c:pt idx="372">
                  <c:v>-6.8772251896301961</c:v>
                </c:pt>
                <c:pt idx="373">
                  <c:v>-6.7522911139217987</c:v>
                </c:pt>
                <c:pt idx="374">
                  <c:v>-6.6251915368262377</c:v>
                </c:pt>
                <c:pt idx="375">
                  <c:v>-6.4959546766456704</c:v>
                </c:pt>
                <c:pt idx="376">
                  <c:v>-6.3646103860298711</c:v>
                </c:pt>
                <c:pt idx="377">
                  <c:v>-6.2311900486120955</c:v>
                </c:pt>
                <c:pt idx="378">
                  <c:v>-6.0957264722117763</c:v>
                </c:pt>
                <c:pt idx="379">
                  <c:v>-5.958253779383142</c:v>
                </c:pt>
                <c:pt idx="380">
                  <c:v>-5.8188072960754447</c:v>
                </c:pt>
                <c:pt idx="381">
                  <c:v>-5.6774234391543157</c:v>
                </c:pt>
                <c:pt idx="382">
                  <c:v>-5.5341396035053911</c:v>
                </c:pt>
                <c:pt idx="383">
                  <c:v>-5.3889940494097726</c:v>
                </c:pt>
                <c:pt idx="384">
                  <c:v>-5.2420257908438126</c:v>
                </c:pt>
                <c:pt idx="385">
                  <c:v>-5.0932744853099612</c:v>
                </c:pt>
                <c:pt idx="386">
                  <c:v>-4.9427803257625786</c:v>
                </c:pt>
                <c:pt idx="387">
                  <c:v>-4.7905839351386854</c:v>
                </c:pt>
                <c:pt idx="388">
                  <c:v>-4.6367262639562217</c:v>
                </c:pt>
                <c:pt idx="389">
                  <c:v>-4.4812484913865394</c:v>
                </c:pt>
                <c:pt idx="390">
                  <c:v>-4.3241919301562852</c:v>
                </c:pt>
                <c:pt idx="391">
                  <c:v>-4.1655979355802533</c:v>
                </c:pt>
                <c:pt idx="392">
                  <c:v>-4.0055078189756053</c:v>
                </c:pt>
                <c:pt idx="393">
                  <c:v>-3.8439627656561544</c:v>
                </c:pt>
                <c:pt idx="394">
                  <c:v>-3.6810037576594663</c:v>
                </c:pt>
                <c:pt idx="395">
                  <c:v>-3.5166715013115417</c:v>
                </c:pt>
                <c:pt idx="396">
                  <c:v>-3.3510063596915183</c:v>
                </c:pt>
                <c:pt idx="397">
                  <c:v>-3.1840482900206215</c:v>
                </c:pt>
                <c:pt idx="398">
                  <c:v>-3.0158367859598805</c:v>
                </c:pt>
                <c:pt idx="399">
                  <c:v>-2.8464108247704489</c:v>
                </c:pt>
                <c:pt idx="400">
                  <c:v>-2.6758088192599443</c:v>
                </c:pt>
                <c:pt idx="401">
                  <c:v>-2.5040685744101623</c:v>
                </c:pt>
                <c:pt idx="402">
                  <c:v>-2.3312272485620795</c:v>
                </c:pt>
                <c:pt idx="403">
                  <c:v>-2.1573213190096747</c:v>
                </c:pt>
                <c:pt idx="404">
                  <c:v>-1.9823865518411972</c:v>
                </c:pt>
                <c:pt idx="405">
                  <c:v>-1.8064579758525843</c:v>
                </c:pt>
                <c:pt idx="406">
                  <c:v>-1.6295698603435926</c:v>
                </c:pt>
                <c:pt idx="407">
                  <c:v>-1.4517556966042899</c:v>
                </c:pt>
                <c:pt idx="408">
                  <c:v>-1.2730481828890814</c:v>
                </c:pt>
                <c:pt idx="409">
                  <c:v>-1.0934792126754445</c:v>
                </c:pt>
                <c:pt idx="410">
                  <c:v>-0.91307986600044855</c:v>
                </c:pt>
                <c:pt idx="411">
                  <c:v>-0.73188040367083818</c:v>
                </c:pt>
                <c:pt idx="412">
                  <c:v>-0.5499102641421072</c:v>
                </c:pt>
                <c:pt idx="413">
                  <c:v>-0.36719806286657558</c:v>
                </c:pt>
                <c:pt idx="414">
                  <c:v>-0.18377159391513376</c:v>
                </c:pt>
                <c:pt idx="415">
                  <c:v>3.421663184438881E-4</c:v>
                </c:pt>
                <c:pt idx="416">
                  <c:v>0.1851170535147306</c:v>
                </c:pt>
                <c:pt idx="417">
                  <c:v>0.37052770810437785</c:v>
                </c:pt>
                <c:pt idx="418">
                  <c:v>0.5565495663913973</c:v>
                </c:pt>
                <c:pt idx="419">
                  <c:v>0.74315885028822248</c:v>
                </c:pt>
                <c:pt idx="420">
                  <c:v>0.93033255581263297</c:v>
                </c:pt>
                <c:pt idx="421">
                  <c:v>1.1180484404959565</c:v>
                </c:pt>
                <c:pt idx="422">
                  <c:v>1.3062850098357144</c:v>
                </c:pt>
                <c:pt idx="423">
                  <c:v>1.4950215029240437</c:v>
                </c:pt>
                <c:pt idx="424">
                  <c:v>1.6842378773712094</c:v>
                </c:pt>
                <c:pt idx="425">
                  <c:v>1.8739147936352714</c:v>
                </c:pt>
                <c:pt idx="426">
                  <c:v>2.0640335988641088</c:v>
                </c:pt>
                <c:pt idx="427">
                  <c:v>2.2545763103433747</c:v>
                </c:pt>
                <c:pt idx="428">
                  <c:v>2.4455255986410736</c:v>
                </c:pt>
                <c:pt idx="429">
                  <c:v>2.6368647705299408</c:v>
                </c:pt>
                <c:pt idx="430">
                  <c:v>2.8285777517608328</c:v>
                </c:pt>
                <c:pt idx="431">
                  <c:v>3.0206490697563866</c:v>
                </c:pt>
                <c:pt idx="432">
                  <c:v>3.2130638362860604</c:v>
                </c:pt>
                <c:pt idx="433">
                  <c:v>3.4058077301785659</c:v>
                </c:pt>
                <c:pt idx="434">
                  <c:v>3.5988669801209228</c:v>
                </c:pt>
                <c:pt idx="435">
                  <c:v>3.7922283475897429</c:v>
                </c:pt>
                <c:pt idx="436">
                  <c:v>3.9858791099546536</c:v>
                </c:pt>
                <c:pt idx="437">
                  <c:v>4.1798070437887667</c:v>
                </c:pt>
                <c:pt idx="438">
                  <c:v>4.3740004084169701</c:v>
                </c:pt>
                <c:pt idx="439">
                  <c:v>4.5684479297301657</c:v>
                </c:pt>
                <c:pt idx="440">
                  <c:v>4.7631387842873494</c:v>
                </c:pt>
                <c:pt idx="441">
                  <c:v>4.9580625837268588</c:v>
                </c:pt>
                <c:pt idx="442">
                  <c:v>5.1532093595026742</c:v>
                </c:pt>
                <c:pt idx="443">
                  <c:v>5.3485695479601789</c:v>
                </c:pt>
                <c:pt idx="444">
                  <c:v>5.5441339757626462</c:v>
                </c:pt>
                <c:pt idx="445">
                  <c:v>5.7398938456777984</c:v>
                </c:pt>
                <c:pt idx="446">
                  <c:v>5.935840722730318</c:v>
                </c:pt>
                <c:pt idx="447">
                  <c:v>6.1319665207263583</c:v>
                </c:pt>
                <c:pt idx="448">
                  <c:v>6.3282634891519773</c:v>
                </c:pt>
                <c:pt idx="449">
                  <c:v>6.5247242004482491</c:v>
                </c:pt>
                <c:pt idx="450">
                  <c:v>6.7213415376618277</c:v>
                </c:pt>
                <c:pt idx="451">
                  <c:v>6.9181086824700779</c:v>
                </c:pt>
                <c:pt idx="452">
                  <c:v>7.1150191035798329</c:v>
                </c:pt>
                <c:pt idx="453">
                  <c:v>7.3120665454938667</c:v>
                </c:pt>
                <c:pt idx="454">
                  <c:v>7.5092450176431127</c:v>
                </c:pt>
                <c:pt idx="455">
                  <c:v>7.7065487838790201</c:v>
                </c:pt>
                <c:pt idx="456">
                  <c:v>7.903972352318366</c:v>
                </c:pt>
                <c:pt idx="457">
                  <c:v>8.1015104655386612</c:v>
                </c:pt>
                <c:pt idx="458">
                  <c:v>8.2991580911131528</c:v>
                </c:pt>
                <c:pt idx="459">
                  <c:v>8.4969104124799415</c:v>
                </c:pt>
                <c:pt idx="460">
                  <c:v>8.6947628201387381</c:v>
                </c:pt>
                <c:pt idx="461">
                  <c:v>8.8927109031661828</c:v>
                </c:pt>
                <c:pt idx="462">
                  <c:v>9.0907504410415605</c:v>
                </c:pt>
                <c:pt idx="463">
                  <c:v>9.2888773957769573</c:v>
                </c:pt>
                <c:pt idx="464">
                  <c:v>9.4870879043406049</c:v>
                </c:pt>
                <c:pt idx="465">
                  <c:v>9.6853782713677301</c:v>
                </c:pt>
                <c:pt idx="466">
                  <c:v>9.8837449621489313</c:v>
                </c:pt>
                <c:pt idx="467">
                  <c:v>10.082184595889112</c:v>
                </c:pt>
                <c:pt idx="468">
                  <c:v>10.280693939226992</c:v>
                </c:pt>
                <c:pt idx="469">
                  <c:v>10.479269900008731</c:v>
                </c:pt>
                <c:pt idx="470">
                  <c:v>10.677909521306217</c:v>
                </c:pt>
                <c:pt idx="471">
                  <c:v>10.87660997567292</c:v>
                </c:pt>
                <c:pt idx="472">
                  <c:v>11.075368559628327</c:v>
                </c:pt>
                <c:pt idx="473">
                  <c:v>11.274182688363981</c:v>
                </c:pt>
                <c:pt idx="474">
                  <c:v>11.473049890663534</c:v>
                </c:pt>
                <c:pt idx="475">
                  <c:v>11.671967804028238</c:v>
                </c:pt>
                <c:pt idx="476">
                  <c:v>11.870934170001767</c:v>
                </c:pt>
                <c:pt idx="477">
                  <c:v>12.069946829686383</c:v>
                </c:pt>
                <c:pt idx="478">
                  <c:v>12.269003719444118</c:v>
                </c:pt>
                <c:pt idx="479">
                  <c:v>12.468102866774897</c:v>
                </c:pt>
                <c:pt idx="480">
                  <c:v>12.667242386366787</c:v>
                </c:pt>
                <c:pt idx="481">
                  <c:v>12.866420476309862</c:v>
                </c:pt>
                <c:pt idx="482">
                  <c:v>13.065635414469444</c:v>
                </c:pt>
                <c:pt idx="483">
                  <c:v>13.264885555010791</c:v>
                </c:pt>
                <c:pt idx="484">
                  <c:v>13.464169325070605</c:v>
                </c:pt>
                <c:pt idx="485">
                  <c:v>13.663485221569182</c:v>
                </c:pt>
                <c:pt idx="486">
                  <c:v>13.862831808157264</c:v>
                </c:pt>
                <c:pt idx="487">
                  <c:v>14.0622077122935</c:v>
                </c:pt>
                <c:pt idx="488">
                  <c:v>14.261611622445169</c:v>
                </c:pt>
                <c:pt idx="489">
                  <c:v>14.46104228540989</c:v>
                </c:pt>
                <c:pt idx="490">
                  <c:v>14.660498503751016</c:v>
                </c:pt>
                <c:pt idx="491">
                  <c:v>14.859979133343654</c:v>
                </c:pt>
                <c:pt idx="492">
                  <c:v>15.059483081026192</c:v>
                </c:pt>
                <c:pt idx="493">
                  <c:v>15.259009302352947</c:v>
                </c:pt>
                <c:pt idx="494">
                  <c:v>15.458556799443915</c:v>
                </c:pt>
                <c:pt idx="495">
                  <c:v>15.65812461892785</c:v>
                </c:pt>
                <c:pt idx="496">
                  <c:v>15.857711849974226</c:v>
                </c:pt>
                <c:pt idx="497">
                  <c:v>16.057317622410796</c:v>
                </c:pt>
                <c:pt idx="498">
                  <c:v>16.25694110492319</c:v>
                </c:pt>
                <c:pt idx="499">
                  <c:v>16.456581503332828</c:v>
                </c:pt>
                <c:pt idx="500">
                  <c:v>16.656238058949896</c:v>
                </c:pt>
                <c:pt idx="501">
                  <c:v>16.855910046998876</c:v>
                </c:pt>
                <c:pt idx="502">
                  <c:v>17.055596775111908</c:v>
                </c:pt>
                <c:pt idx="503">
                  <c:v>17.255297581889145</c:v>
                </c:pt>
                <c:pt idx="504">
                  <c:v>17.455011835522281</c:v>
                </c:pt>
                <c:pt idx="505">
                  <c:v>17.654738932477631</c:v>
                </c:pt>
                <c:pt idx="506">
                  <c:v>17.854478296237886</c:v>
                </c:pt>
                <c:pt idx="507">
                  <c:v>18.054229376099457</c:v>
                </c:pt>
                <c:pt idx="508">
                  <c:v>18.25399164602166</c:v>
                </c:pt>
                <c:pt idx="509">
                  <c:v>18.453764603528274</c:v>
                </c:pt>
                <c:pt idx="510">
                  <c:v>18.653547768656374</c:v>
                </c:pt>
                <c:pt idx="511">
                  <c:v>18.853340682951693</c:v>
                </c:pt>
                <c:pt idx="512">
                  <c:v>19.053142908509461</c:v>
                </c:pt>
                <c:pt idx="513">
                  <c:v>19.252954027056276</c:v>
                </c:pt>
                <c:pt idx="514">
                  <c:v>19.452773639073889</c:v>
                </c:pt>
                <c:pt idx="515">
                  <c:v>19.652601362960731</c:v>
                </c:pt>
                <c:pt idx="516">
                  <c:v>19.852436834231632</c:v>
                </c:pt>
                <c:pt idx="517">
                  <c:v>20.052279704752344</c:v>
                </c:pt>
                <c:pt idx="518">
                  <c:v>20.252129642008441</c:v>
                </c:pt>
                <c:pt idx="519">
                  <c:v>20.451986328406619</c:v>
                </c:pt>
                <c:pt idx="520">
                  <c:v>20.651849460606879</c:v>
                </c:pt>
                <c:pt idx="521">
                  <c:v>20.851718748885069</c:v>
                </c:pt>
                <c:pt idx="522">
                  <c:v>21.051593916522485</c:v>
                </c:pt>
                <c:pt idx="523">
                  <c:v>21.251474699224286</c:v>
                </c:pt>
                <c:pt idx="524">
                  <c:v>21.451360844562544</c:v>
                </c:pt>
                <c:pt idx="525">
                  <c:v>21.651252111445256</c:v>
                </c:pt>
                <c:pt idx="526">
                  <c:v>21.851148269607496</c:v>
                </c:pt>
                <c:pt idx="527">
                  <c:v>22.051049099126708</c:v>
                </c:pt>
                <c:pt idx="528">
                  <c:v>22.250954389959091</c:v>
                </c:pt>
                <c:pt idx="529">
                  <c:v>22.450863941496607</c:v>
                </c:pt>
                <c:pt idx="530">
                  <c:v>22.650777562143979</c:v>
                </c:pt>
                <c:pt idx="531">
                  <c:v>22.850695068914234</c:v>
                </c:pt>
                <c:pt idx="532">
                  <c:v>23.050616287042693</c:v>
                </c:pt>
                <c:pt idx="533">
                  <c:v>23.250541049618167</c:v>
                </c:pt>
                <c:pt idx="534">
                  <c:v>23.450469197230483</c:v>
                </c:pt>
                <c:pt idx="535">
                  <c:v>23.650400577633945</c:v>
                </c:pt>
                <c:pt idx="536">
                  <c:v>23.850335045425592</c:v>
                </c:pt>
                <c:pt idx="537">
                  <c:v>24.050272461738217</c:v>
                </c:pt>
                <c:pt idx="538">
                  <c:v>24.250212693946889</c:v>
                </c:pt>
                <c:pt idx="539">
                  <c:v>24.450155615388947</c:v>
                </c:pt>
                <c:pt idx="540">
                  <c:v>24.650101105095665</c:v>
                </c:pt>
                <c:pt idx="541">
                  <c:v>24.850049047537176</c:v>
                </c:pt>
              </c:numCache>
            </c:numRef>
          </c:yVal>
          <c:smooth val="1"/>
          <c:extLst>
            <c:ext xmlns:c16="http://schemas.microsoft.com/office/drawing/2014/chart" uri="{C3380CC4-5D6E-409C-BE32-E72D297353CC}">
              <c16:uniqueId val="{00000000-9071-434A-B397-2C3D7F38C963}"/>
            </c:ext>
          </c:extLst>
        </c:ser>
        <c:dLbls>
          <c:showLegendKey val="0"/>
          <c:showVal val="0"/>
          <c:showCatName val="0"/>
          <c:showSerName val="0"/>
          <c:showPercent val="0"/>
          <c:showBubbleSize val="0"/>
        </c:dLbls>
        <c:axId val="555304064"/>
        <c:axId val="555305984"/>
      </c:scatterChart>
      <c:scatterChart>
        <c:scatterStyle val="smoothMarker"/>
        <c:varyColors val="0"/>
        <c:ser>
          <c:idx val="1"/>
          <c:order val="1"/>
          <c:tx>
            <c:v>Phase (Deg)</c:v>
          </c:tx>
          <c:marker>
            <c:symbol val="none"/>
          </c:marker>
          <c:xVal>
            <c:numRef>
              <c:f>Control_Loop_Tables!$N$19:$N$560</c:f>
              <c:numCache>
                <c:formatCode>0.00</c:formatCode>
                <c:ptCount val="542"/>
                <c:pt idx="0">
                  <c:v>10.232929922807543</c:v>
                </c:pt>
                <c:pt idx="1">
                  <c:v>10.471285480509</c:v>
                </c:pt>
                <c:pt idx="2">
                  <c:v>10.715193052376069</c:v>
                </c:pt>
                <c:pt idx="3">
                  <c:v>10.964781961431854</c:v>
                </c:pt>
                <c:pt idx="4">
                  <c:v>11.220184543019636</c:v>
                </c:pt>
                <c:pt idx="5">
                  <c:v>11.481536214968834</c:v>
                </c:pt>
                <c:pt idx="6">
                  <c:v>11.748975549395301</c:v>
                </c:pt>
                <c:pt idx="7">
                  <c:v>12.022644346174133</c:v>
                </c:pt>
                <c:pt idx="8">
                  <c:v>12.302687708123818</c:v>
                </c:pt>
                <c:pt idx="9">
                  <c:v>12.58925411794168</c:v>
                </c:pt>
                <c:pt idx="10">
                  <c:v>12.882495516931346</c:v>
                </c:pt>
                <c:pt idx="11">
                  <c:v>13.182567385564075</c:v>
                </c:pt>
                <c:pt idx="12">
                  <c:v>13.489628825916535</c:v>
                </c:pt>
                <c:pt idx="13">
                  <c:v>13.803842646028857</c:v>
                </c:pt>
                <c:pt idx="14">
                  <c:v>14.125375446227544</c:v>
                </c:pt>
                <c:pt idx="15">
                  <c:v>14.454397707459275</c:v>
                </c:pt>
                <c:pt idx="16">
                  <c:v>14.791083881682074</c:v>
                </c:pt>
                <c:pt idx="17">
                  <c:v>15.135612484362087</c:v>
                </c:pt>
                <c:pt idx="18">
                  <c:v>15.488166189124817</c:v>
                </c:pt>
                <c:pt idx="19">
                  <c:v>15.848931924611136</c:v>
                </c:pt>
                <c:pt idx="20">
                  <c:v>16.218100973589298</c:v>
                </c:pt>
                <c:pt idx="21">
                  <c:v>16.595869074375614</c:v>
                </c:pt>
                <c:pt idx="22">
                  <c:v>16.982436524617448</c:v>
                </c:pt>
                <c:pt idx="23">
                  <c:v>17.378008287493756</c:v>
                </c:pt>
                <c:pt idx="24">
                  <c:v>17.782794100389236</c:v>
                </c:pt>
                <c:pt idx="25">
                  <c:v>18.197008586099841</c:v>
                </c:pt>
                <c:pt idx="26">
                  <c:v>18.62087136662868</c:v>
                </c:pt>
                <c:pt idx="27">
                  <c:v>19.054607179632477</c:v>
                </c:pt>
                <c:pt idx="28">
                  <c:v>19.498445997580465</c:v>
                </c:pt>
                <c:pt idx="29">
                  <c:v>19.952623149688804</c:v>
                </c:pt>
                <c:pt idx="30">
                  <c:v>20.4173794466953</c:v>
                </c:pt>
                <c:pt idx="31">
                  <c:v>20.8929613085404</c:v>
                </c:pt>
                <c:pt idx="32">
                  <c:v>21.379620895022335</c:v>
                </c:pt>
                <c:pt idx="33">
                  <c:v>21.877616239495538</c:v>
                </c:pt>
                <c:pt idx="34">
                  <c:v>22.387211385683404</c:v>
                </c:pt>
                <c:pt idx="35">
                  <c:v>22.908676527677727</c:v>
                </c:pt>
                <c:pt idx="36">
                  <c:v>23.442288153199236</c:v>
                </c:pt>
                <c:pt idx="37">
                  <c:v>23.988329190194907</c:v>
                </c:pt>
                <c:pt idx="38">
                  <c:v>24.547089156850316</c:v>
                </c:pt>
                <c:pt idx="39">
                  <c:v>25.118864315095799</c:v>
                </c:pt>
                <c:pt idx="40">
                  <c:v>25.703957827688647</c:v>
                </c:pt>
                <c:pt idx="41">
                  <c:v>26.302679918953825</c:v>
                </c:pt>
                <c:pt idx="42">
                  <c:v>26.915348039269158</c:v>
                </c:pt>
                <c:pt idx="43">
                  <c:v>27.542287033381665</c:v>
                </c:pt>
                <c:pt idx="44">
                  <c:v>28.183829312644548</c:v>
                </c:pt>
                <c:pt idx="45">
                  <c:v>28.840315031266066</c:v>
                </c:pt>
                <c:pt idx="46">
                  <c:v>29.512092266663863</c:v>
                </c:pt>
                <c:pt idx="47">
                  <c:v>30.199517204020164</c:v>
                </c:pt>
                <c:pt idx="48">
                  <c:v>30.902954325135919</c:v>
                </c:pt>
                <c:pt idx="49">
                  <c:v>31.622776601683803</c:v>
                </c:pt>
                <c:pt idx="50">
                  <c:v>32.359365692962832</c:v>
                </c:pt>
                <c:pt idx="51">
                  <c:v>33.113112148259127</c:v>
                </c:pt>
                <c:pt idx="52">
                  <c:v>33.884415613920268</c:v>
                </c:pt>
                <c:pt idx="53">
                  <c:v>34.67368504525318</c:v>
                </c:pt>
                <c:pt idx="54">
                  <c:v>35.481338923357555</c:v>
                </c:pt>
                <c:pt idx="55">
                  <c:v>36.307805477010156</c:v>
                </c:pt>
                <c:pt idx="56">
                  <c:v>37.15352290971726</c:v>
                </c:pt>
                <c:pt idx="57">
                  <c:v>38.018939632056139</c:v>
                </c:pt>
                <c:pt idx="58">
                  <c:v>38.904514499428053</c:v>
                </c:pt>
                <c:pt idx="59">
                  <c:v>39.810717055349755</c:v>
                </c:pt>
                <c:pt idx="60">
                  <c:v>40.738027780411279</c:v>
                </c:pt>
                <c:pt idx="61">
                  <c:v>41.686938347033561</c:v>
                </c:pt>
                <c:pt idx="62">
                  <c:v>42.657951880159267</c:v>
                </c:pt>
                <c:pt idx="63">
                  <c:v>43.651583224016633</c:v>
                </c:pt>
                <c:pt idx="64">
                  <c:v>44.668359215096324</c:v>
                </c:pt>
                <c:pt idx="65">
                  <c:v>45.70881896148753</c:v>
                </c:pt>
                <c:pt idx="66">
                  <c:v>46.773514128719818</c:v>
                </c:pt>
                <c:pt idx="67">
                  <c:v>47.863009232263877</c:v>
                </c:pt>
                <c:pt idx="68">
                  <c:v>48.977881936844632</c:v>
                </c:pt>
                <c:pt idx="69">
                  <c:v>50.118723362727238</c:v>
                </c:pt>
                <c:pt idx="70">
                  <c:v>51.28613839913649</c:v>
                </c:pt>
                <c:pt idx="71">
                  <c:v>52.480746024977286</c:v>
                </c:pt>
                <c:pt idx="72">
                  <c:v>53.703179637025293</c:v>
                </c:pt>
                <c:pt idx="73">
                  <c:v>54.95408738576247</c:v>
                </c:pt>
                <c:pt idx="74">
                  <c:v>56.234132519034915</c:v>
                </c:pt>
                <c:pt idx="75">
                  <c:v>57.543993733715695</c:v>
                </c:pt>
                <c:pt idx="76">
                  <c:v>58.884365535558949</c:v>
                </c:pt>
                <c:pt idx="77">
                  <c:v>60.255958607435822</c:v>
                </c:pt>
                <c:pt idx="78">
                  <c:v>61.659500186148257</c:v>
                </c:pt>
                <c:pt idx="79">
                  <c:v>63.095734448019364</c:v>
                </c:pt>
                <c:pt idx="80">
                  <c:v>64.565422903465588</c:v>
                </c:pt>
                <c:pt idx="81">
                  <c:v>66.069344800759623</c:v>
                </c:pt>
                <c:pt idx="82">
                  <c:v>67.60829753919819</c:v>
                </c:pt>
                <c:pt idx="83">
                  <c:v>69.183097091893657</c:v>
                </c:pt>
                <c:pt idx="84">
                  <c:v>70.794578438413865</c:v>
                </c:pt>
                <c:pt idx="85">
                  <c:v>72.443596007499011</c:v>
                </c:pt>
                <c:pt idx="86">
                  <c:v>74.131024130091816</c:v>
                </c:pt>
                <c:pt idx="87">
                  <c:v>75.857757502918361</c:v>
                </c:pt>
                <c:pt idx="88">
                  <c:v>77.624711662869217</c:v>
                </c:pt>
                <c:pt idx="89">
                  <c:v>79.432823472428197</c:v>
                </c:pt>
                <c:pt idx="90">
                  <c:v>81.283051616409963</c:v>
                </c:pt>
                <c:pt idx="91">
                  <c:v>83.176377110267126</c:v>
                </c:pt>
                <c:pt idx="92">
                  <c:v>85.113803820237734</c:v>
                </c:pt>
                <c:pt idx="93">
                  <c:v>87.096358995608071</c:v>
                </c:pt>
                <c:pt idx="94">
                  <c:v>89.125093813374562</c:v>
                </c:pt>
                <c:pt idx="95">
                  <c:v>91.201083935590972</c:v>
                </c:pt>
                <c:pt idx="96">
                  <c:v>93.325430079699174</c:v>
                </c:pt>
                <c:pt idx="97">
                  <c:v>95.499258602143655</c:v>
                </c:pt>
                <c:pt idx="98">
                  <c:v>97.723722095581124</c:v>
                </c:pt>
                <c:pt idx="99">
                  <c:v>100</c:v>
                </c:pt>
                <c:pt idx="100">
                  <c:v>102.32929922807544</c:v>
                </c:pt>
                <c:pt idx="101">
                  <c:v>104.71285480508998</c:v>
                </c:pt>
                <c:pt idx="102">
                  <c:v>107.15193052376065</c:v>
                </c:pt>
                <c:pt idx="103">
                  <c:v>109.64781961431861</c:v>
                </c:pt>
                <c:pt idx="104">
                  <c:v>112.20184543019634</c:v>
                </c:pt>
                <c:pt idx="105">
                  <c:v>114.81536214968835</c:v>
                </c:pt>
                <c:pt idx="106">
                  <c:v>117.48975549395293</c:v>
                </c:pt>
                <c:pt idx="107">
                  <c:v>120.22644346174135</c:v>
                </c:pt>
                <c:pt idx="108">
                  <c:v>123.02687708123821</c:v>
                </c:pt>
                <c:pt idx="109">
                  <c:v>125.89254117941677</c:v>
                </c:pt>
                <c:pt idx="110">
                  <c:v>128.82495516931343</c:v>
                </c:pt>
                <c:pt idx="111">
                  <c:v>131.82567385564084</c:v>
                </c:pt>
                <c:pt idx="112">
                  <c:v>134.89628825916537</c:v>
                </c:pt>
                <c:pt idx="113">
                  <c:v>138.0384264602886</c:v>
                </c:pt>
                <c:pt idx="114">
                  <c:v>141.25375446227542</c:v>
                </c:pt>
                <c:pt idx="115">
                  <c:v>144.54397707459285</c:v>
                </c:pt>
                <c:pt idx="116">
                  <c:v>147.91083881682084</c:v>
                </c:pt>
                <c:pt idx="117">
                  <c:v>151.3561248436209</c:v>
                </c:pt>
                <c:pt idx="118">
                  <c:v>154.8816618912482</c:v>
                </c:pt>
                <c:pt idx="119">
                  <c:v>158.48931924611153</c:v>
                </c:pt>
                <c:pt idx="120">
                  <c:v>162.18100973589304</c:v>
                </c:pt>
                <c:pt idx="121">
                  <c:v>165.95869074375622</c:v>
                </c:pt>
                <c:pt idx="122">
                  <c:v>169.82436524617444</c:v>
                </c:pt>
                <c:pt idx="123">
                  <c:v>173.78008287493768</c:v>
                </c:pt>
                <c:pt idx="124">
                  <c:v>177.82794100389242</c:v>
                </c:pt>
                <c:pt idx="125">
                  <c:v>181.9700858609983</c:v>
                </c:pt>
                <c:pt idx="126">
                  <c:v>186.20871366628685</c:v>
                </c:pt>
                <c:pt idx="127">
                  <c:v>190.54607179632498</c:v>
                </c:pt>
                <c:pt idx="128">
                  <c:v>194.98445997580458</c:v>
                </c:pt>
                <c:pt idx="129">
                  <c:v>199.52623149688802</c:v>
                </c:pt>
                <c:pt idx="130">
                  <c:v>204.17379446695315</c:v>
                </c:pt>
                <c:pt idx="131">
                  <c:v>208.92961308540396</c:v>
                </c:pt>
                <c:pt idx="132">
                  <c:v>213.79620895022339</c:v>
                </c:pt>
                <c:pt idx="133">
                  <c:v>218.77616239495524</c:v>
                </c:pt>
                <c:pt idx="134">
                  <c:v>223.87211385683412</c:v>
                </c:pt>
                <c:pt idx="135">
                  <c:v>229.08676527677744</c:v>
                </c:pt>
                <c:pt idx="136">
                  <c:v>234.42288153199232</c:v>
                </c:pt>
                <c:pt idx="137">
                  <c:v>239.88329190194912</c:v>
                </c:pt>
                <c:pt idx="138">
                  <c:v>245.4708915685033</c:v>
                </c:pt>
                <c:pt idx="139">
                  <c:v>251.18864315095806</c:v>
                </c:pt>
                <c:pt idx="140">
                  <c:v>257.03957827688663</c:v>
                </c:pt>
                <c:pt idx="141">
                  <c:v>263.02679918953817</c:v>
                </c:pt>
                <c:pt idx="142">
                  <c:v>269.15348039269179</c:v>
                </c:pt>
                <c:pt idx="143">
                  <c:v>275.42287033381683</c:v>
                </c:pt>
                <c:pt idx="144">
                  <c:v>281.83829312644554</c:v>
                </c:pt>
                <c:pt idx="145">
                  <c:v>288.40315031266073</c:v>
                </c:pt>
                <c:pt idx="146">
                  <c:v>295.12092266663871</c:v>
                </c:pt>
                <c:pt idx="147">
                  <c:v>301.99517204020168</c:v>
                </c:pt>
                <c:pt idx="148">
                  <c:v>309.02954325135937</c:v>
                </c:pt>
                <c:pt idx="149">
                  <c:v>316.22776601683825</c:v>
                </c:pt>
                <c:pt idx="150">
                  <c:v>323.59365692962825</c:v>
                </c:pt>
                <c:pt idx="151">
                  <c:v>331.13112148259137</c:v>
                </c:pt>
                <c:pt idx="152">
                  <c:v>338.84415613920277</c:v>
                </c:pt>
                <c:pt idx="153">
                  <c:v>346.73685045253183</c:v>
                </c:pt>
                <c:pt idx="154">
                  <c:v>354.81338923357566</c:v>
                </c:pt>
                <c:pt idx="155">
                  <c:v>363.07805477010152</c:v>
                </c:pt>
                <c:pt idx="156">
                  <c:v>371.53522909717265</c:v>
                </c:pt>
                <c:pt idx="157">
                  <c:v>380.18939632056163</c:v>
                </c:pt>
                <c:pt idx="158">
                  <c:v>389.04514499428063</c:v>
                </c:pt>
                <c:pt idx="159">
                  <c:v>398.10717055349761</c:v>
                </c:pt>
                <c:pt idx="160">
                  <c:v>407.38027780411272</c:v>
                </c:pt>
                <c:pt idx="161">
                  <c:v>416.86938347033572</c:v>
                </c:pt>
                <c:pt idx="162">
                  <c:v>426.57951880159294</c:v>
                </c:pt>
                <c:pt idx="163">
                  <c:v>436.51583224016622</c:v>
                </c:pt>
                <c:pt idx="164">
                  <c:v>446.68359215096331</c:v>
                </c:pt>
                <c:pt idx="165">
                  <c:v>457.0881896148756</c:v>
                </c:pt>
                <c:pt idx="166">
                  <c:v>467.7351412871983</c:v>
                </c:pt>
                <c:pt idx="167">
                  <c:v>478.63009232263886</c:v>
                </c:pt>
                <c:pt idx="168">
                  <c:v>489.77881936844625</c:v>
                </c:pt>
                <c:pt idx="169">
                  <c:v>501.18723362727269</c:v>
                </c:pt>
                <c:pt idx="170">
                  <c:v>512.86138399136519</c:v>
                </c:pt>
                <c:pt idx="171">
                  <c:v>524.80746024977248</c:v>
                </c:pt>
                <c:pt idx="172">
                  <c:v>537.03179637025301</c:v>
                </c:pt>
                <c:pt idx="173">
                  <c:v>549.54087385762534</c:v>
                </c:pt>
                <c:pt idx="174">
                  <c:v>562.34132519034927</c:v>
                </c:pt>
                <c:pt idx="175">
                  <c:v>575.43993733715706</c:v>
                </c:pt>
                <c:pt idx="176">
                  <c:v>588.84365535558959</c:v>
                </c:pt>
                <c:pt idx="177">
                  <c:v>602.55958607435832</c:v>
                </c:pt>
                <c:pt idx="178">
                  <c:v>616.59500186148273</c:v>
                </c:pt>
                <c:pt idx="179">
                  <c:v>630.95734448019323</c:v>
                </c:pt>
                <c:pt idx="180">
                  <c:v>645.65422903465594</c:v>
                </c:pt>
                <c:pt idx="181">
                  <c:v>660.69344800759643</c:v>
                </c:pt>
                <c:pt idx="182">
                  <c:v>676.08297539198213</c:v>
                </c:pt>
                <c:pt idx="183">
                  <c:v>691.83097091893671</c:v>
                </c:pt>
                <c:pt idx="184">
                  <c:v>707.94578438413873</c:v>
                </c:pt>
                <c:pt idx="185">
                  <c:v>724.43596007499025</c:v>
                </c:pt>
                <c:pt idx="186">
                  <c:v>741.31024130091828</c:v>
                </c:pt>
                <c:pt idx="187">
                  <c:v>758.57757502918378</c:v>
                </c:pt>
                <c:pt idx="188">
                  <c:v>776.24711662869231</c:v>
                </c:pt>
                <c:pt idx="189">
                  <c:v>794.32823472428208</c:v>
                </c:pt>
                <c:pt idx="190">
                  <c:v>812.83051616409978</c:v>
                </c:pt>
                <c:pt idx="191">
                  <c:v>831.7637711026714</c:v>
                </c:pt>
                <c:pt idx="192">
                  <c:v>851.13803820237763</c:v>
                </c:pt>
                <c:pt idx="193">
                  <c:v>870.96358995608091</c:v>
                </c:pt>
                <c:pt idx="194">
                  <c:v>891.25093813374656</c:v>
                </c:pt>
                <c:pt idx="195">
                  <c:v>912.01083935590987</c:v>
                </c:pt>
                <c:pt idx="196">
                  <c:v>933.25430079699106</c:v>
                </c:pt>
                <c:pt idx="197">
                  <c:v>954.99258602143675</c:v>
                </c:pt>
                <c:pt idx="198">
                  <c:v>977.23722095581138</c:v>
                </c:pt>
                <c:pt idx="199">
                  <c:v>1000</c:v>
                </c:pt>
                <c:pt idx="200">
                  <c:v>1023.2929922807547</c:v>
                </c:pt>
                <c:pt idx="201">
                  <c:v>1047.1285480509</c:v>
                </c:pt>
                <c:pt idx="202">
                  <c:v>1071.5193052376069</c:v>
                </c:pt>
                <c:pt idx="203">
                  <c:v>1096.4781961431863</c:v>
                </c:pt>
                <c:pt idx="204">
                  <c:v>1122.0184543019636</c:v>
                </c:pt>
                <c:pt idx="205">
                  <c:v>1148.1536214968839</c:v>
                </c:pt>
                <c:pt idx="206">
                  <c:v>1174.8975549395295</c:v>
                </c:pt>
                <c:pt idx="207">
                  <c:v>1202.2644346174138</c:v>
                </c:pt>
                <c:pt idx="208">
                  <c:v>1230.2687708123824</c:v>
                </c:pt>
                <c:pt idx="209">
                  <c:v>1258.925411794168</c:v>
                </c:pt>
                <c:pt idx="210">
                  <c:v>1288.2495516931347</c:v>
                </c:pt>
                <c:pt idx="211">
                  <c:v>1318.2567385564089</c:v>
                </c:pt>
                <c:pt idx="212">
                  <c:v>1348.9628825916541</c:v>
                </c:pt>
                <c:pt idx="213">
                  <c:v>1380.3842646028863</c:v>
                </c:pt>
                <c:pt idx="214">
                  <c:v>1412.5375446227545</c:v>
                </c:pt>
                <c:pt idx="215">
                  <c:v>1445.4397707459289</c:v>
                </c:pt>
                <c:pt idx="216">
                  <c:v>1479.1083881682086</c:v>
                </c:pt>
                <c:pt idx="217">
                  <c:v>1513.5612484362093</c:v>
                </c:pt>
                <c:pt idx="218">
                  <c:v>1548.8166189124822</c:v>
                </c:pt>
                <c:pt idx="219">
                  <c:v>1584.8931924611156</c:v>
                </c:pt>
                <c:pt idx="220">
                  <c:v>1621.8100973589308</c:v>
                </c:pt>
                <c:pt idx="221">
                  <c:v>1659.5869074375626</c:v>
                </c:pt>
                <c:pt idx="222">
                  <c:v>1698.2436524617447</c:v>
                </c:pt>
                <c:pt idx="223">
                  <c:v>1737.8008287493772</c:v>
                </c:pt>
                <c:pt idx="224">
                  <c:v>1778.2794100389244</c:v>
                </c:pt>
                <c:pt idx="225">
                  <c:v>1819.7008586099832</c:v>
                </c:pt>
                <c:pt idx="226">
                  <c:v>1862.0871366628687</c:v>
                </c:pt>
                <c:pt idx="227">
                  <c:v>1905.4607179632501</c:v>
                </c:pt>
                <c:pt idx="228">
                  <c:v>1949.8445997580463</c:v>
                </c:pt>
                <c:pt idx="229">
                  <c:v>1995.2623149688804</c:v>
                </c:pt>
                <c:pt idx="230">
                  <c:v>2041.7379446695318</c:v>
                </c:pt>
                <c:pt idx="231">
                  <c:v>2089.2961308540398</c:v>
                </c:pt>
                <c:pt idx="232">
                  <c:v>2137.9620895022344</c:v>
                </c:pt>
                <c:pt idx="233">
                  <c:v>2187.7616239495528</c:v>
                </c:pt>
                <c:pt idx="234">
                  <c:v>2238.7211385683418</c:v>
                </c:pt>
                <c:pt idx="235">
                  <c:v>2290.8676527677749</c:v>
                </c:pt>
                <c:pt idx="236">
                  <c:v>2344.2288153199238</c:v>
                </c:pt>
                <c:pt idx="237">
                  <c:v>2398.8329190194918</c:v>
                </c:pt>
                <c:pt idx="238">
                  <c:v>2454.7089156850338</c:v>
                </c:pt>
                <c:pt idx="239">
                  <c:v>2511.8864315095811</c:v>
                </c:pt>
                <c:pt idx="240">
                  <c:v>2570.3957827688669</c:v>
                </c:pt>
                <c:pt idx="241">
                  <c:v>2630.2679918953822</c:v>
                </c:pt>
                <c:pt idx="242">
                  <c:v>2691.5348039269184</c:v>
                </c:pt>
                <c:pt idx="243">
                  <c:v>2754.228703338169</c:v>
                </c:pt>
                <c:pt idx="244">
                  <c:v>2818.3829312644561</c:v>
                </c:pt>
                <c:pt idx="245">
                  <c:v>2884.0315031266077</c:v>
                </c:pt>
                <c:pt idx="246">
                  <c:v>2951.2092266663876</c:v>
                </c:pt>
                <c:pt idx="247">
                  <c:v>3019.9517204020176</c:v>
                </c:pt>
                <c:pt idx="248">
                  <c:v>3090.295432513592</c:v>
                </c:pt>
                <c:pt idx="249">
                  <c:v>3162.2776601683804</c:v>
                </c:pt>
                <c:pt idx="250">
                  <c:v>3235.9365692962833</c:v>
                </c:pt>
                <c:pt idx="251">
                  <c:v>3311.3112148259115</c:v>
                </c:pt>
                <c:pt idx="252">
                  <c:v>3388.4415613920314</c:v>
                </c:pt>
                <c:pt idx="253">
                  <c:v>3467.3685045253224</c:v>
                </c:pt>
                <c:pt idx="254">
                  <c:v>3548.1338923357539</c:v>
                </c:pt>
                <c:pt idx="255">
                  <c:v>3630.7805477010188</c:v>
                </c:pt>
                <c:pt idx="256">
                  <c:v>3715.352290971724</c:v>
                </c:pt>
                <c:pt idx="257">
                  <c:v>3801.8939632056172</c:v>
                </c:pt>
                <c:pt idx="258">
                  <c:v>3890.451449942811</c:v>
                </c:pt>
                <c:pt idx="259">
                  <c:v>3981.0717055349769</c:v>
                </c:pt>
                <c:pt idx="260">
                  <c:v>4073.8027780411317</c:v>
                </c:pt>
                <c:pt idx="261">
                  <c:v>4168.6938347033583</c:v>
                </c:pt>
                <c:pt idx="262">
                  <c:v>4265.7951880159299</c:v>
                </c:pt>
                <c:pt idx="263">
                  <c:v>4365.1583224016631</c:v>
                </c:pt>
                <c:pt idx="264">
                  <c:v>4466.8359215096343</c:v>
                </c:pt>
                <c:pt idx="265">
                  <c:v>4570.8818961487532</c:v>
                </c:pt>
                <c:pt idx="266">
                  <c:v>4677.3514128719844</c:v>
                </c:pt>
                <c:pt idx="267">
                  <c:v>4786.3009232263848</c:v>
                </c:pt>
                <c:pt idx="268">
                  <c:v>4897.7881936844633</c:v>
                </c:pt>
                <c:pt idx="269">
                  <c:v>5011.8723362727324</c:v>
                </c:pt>
                <c:pt idx="270">
                  <c:v>5128.6138399136489</c:v>
                </c:pt>
                <c:pt idx="271">
                  <c:v>5248.0746024977261</c:v>
                </c:pt>
                <c:pt idx="272">
                  <c:v>5370.3179637025269</c:v>
                </c:pt>
                <c:pt idx="273">
                  <c:v>5495.4087385762541</c:v>
                </c:pt>
                <c:pt idx="274">
                  <c:v>5623.4132519034993</c:v>
                </c:pt>
                <c:pt idx="275">
                  <c:v>5754.399373371567</c:v>
                </c:pt>
                <c:pt idx="276">
                  <c:v>5888.4365535558973</c:v>
                </c:pt>
                <c:pt idx="277">
                  <c:v>6025.595860743585</c:v>
                </c:pt>
                <c:pt idx="278">
                  <c:v>6165.9500186148289</c:v>
                </c:pt>
                <c:pt idx="279">
                  <c:v>6309.5734448019384</c:v>
                </c:pt>
                <c:pt idx="280">
                  <c:v>6456.5422903465615</c:v>
                </c:pt>
                <c:pt idx="281">
                  <c:v>6606.9344800759654</c:v>
                </c:pt>
                <c:pt idx="282">
                  <c:v>6760.8297539198229</c:v>
                </c:pt>
                <c:pt idx="283">
                  <c:v>6918.3097091893687</c:v>
                </c:pt>
                <c:pt idx="284">
                  <c:v>7079.4578438413828</c:v>
                </c:pt>
                <c:pt idx="285">
                  <c:v>7244.3596007499036</c:v>
                </c:pt>
                <c:pt idx="286">
                  <c:v>7413.1024130091773</c:v>
                </c:pt>
                <c:pt idx="287">
                  <c:v>7585.7757502918394</c:v>
                </c:pt>
                <c:pt idx="288">
                  <c:v>7762.4711662869322</c:v>
                </c:pt>
                <c:pt idx="289">
                  <c:v>7943.2823472428154</c:v>
                </c:pt>
                <c:pt idx="290">
                  <c:v>8128.3051616410066</c:v>
                </c:pt>
                <c:pt idx="291">
                  <c:v>8317.6377110267094</c:v>
                </c:pt>
                <c:pt idx="292">
                  <c:v>8511.3803820237772</c:v>
                </c:pt>
                <c:pt idx="293">
                  <c:v>8709.6358995608189</c:v>
                </c:pt>
                <c:pt idx="294">
                  <c:v>8912.5093813374679</c:v>
                </c:pt>
                <c:pt idx="295">
                  <c:v>9120.1083935591087</c:v>
                </c:pt>
                <c:pt idx="296">
                  <c:v>9332.5430079699217</c:v>
                </c:pt>
                <c:pt idx="297">
                  <c:v>9549.9258602143691</c:v>
                </c:pt>
                <c:pt idx="298">
                  <c:v>9772.3722095581161</c:v>
                </c:pt>
                <c:pt idx="299">
                  <c:v>10000</c:v>
                </c:pt>
                <c:pt idx="300">
                  <c:v>10232.929922807549</c:v>
                </c:pt>
                <c:pt idx="301">
                  <c:v>10471.285480509003</c:v>
                </c:pt>
                <c:pt idx="302">
                  <c:v>10715.193052376071</c:v>
                </c:pt>
                <c:pt idx="303">
                  <c:v>10964.781961431856</c:v>
                </c:pt>
                <c:pt idx="304">
                  <c:v>11220.184543019639</c:v>
                </c:pt>
                <c:pt idx="305">
                  <c:v>11481.536214968832</c:v>
                </c:pt>
                <c:pt idx="306">
                  <c:v>11748.975549395318</c:v>
                </c:pt>
                <c:pt idx="307">
                  <c:v>12022.644346174151</c:v>
                </c:pt>
                <c:pt idx="308">
                  <c:v>12302.687708123816</c:v>
                </c:pt>
                <c:pt idx="309">
                  <c:v>12589.254117941671</c:v>
                </c:pt>
                <c:pt idx="310">
                  <c:v>12882.49551693136</c:v>
                </c:pt>
                <c:pt idx="311">
                  <c:v>13182.567385564091</c:v>
                </c:pt>
                <c:pt idx="312">
                  <c:v>13489.628825916556</c:v>
                </c:pt>
                <c:pt idx="313">
                  <c:v>13803.842646028841</c:v>
                </c:pt>
                <c:pt idx="314">
                  <c:v>14125.375446227561</c:v>
                </c:pt>
                <c:pt idx="315">
                  <c:v>14454.397707459291</c:v>
                </c:pt>
                <c:pt idx="316">
                  <c:v>14791.083881682089</c:v>
                </c:pt>
                <c:pt idx="317">
                  <c:v>15135.612484362096</c:v>
                </c:pt>
                <c:pt idx="318">
                  <c:v>15488.166189124853</c:v>
                </c:pt>
                <c:pt idx="319">
                  <c:v>15848.931924611146</c:v>
                </c:pt>
                <c:pt idx="320">
                  <c:v>16218.100973589309</c:v>
                </c:pt>
                <c:pt idx="321">
                  <c:v>16595.869074375616</c:v>
                </c:pt>
                <c:pt idx="322">
                  <c:v>16982.436524617482</c:v>
                </c:pt>
                <c:pt idx="323">
                  <c:v>17378.008287493791</c:v>
                </c:pt>
                <c:pt idx="324">
                  <c:v>17782.794100389234</c:v>
                </c:pt>
                <c:pt idx="325">
                  <c:v>18197.008586099837</c:v>
                </c:pt>
                <c:pt idx="326">
                  <c:v>18620.871366628675</c:v>
                </c:pt>
                <c:pt idx="327">
                  <c:v>19054.607179632505</c:v>
                </c:pt>
                <c:pt idx="328">
                  <c:v>19498.445997580486</c:v>
                </c:pt>
                <c:pt idx="329">
                  <c:v>19952.623149688792</c:v>
                </c:pt>
                <c:pt idx="330">
                  <c:v>20417.379446695286</c:v>
                </c:pt>
                <c:pt idx="331">
                  <c:v>20892.961308540423</c:v>
                </c:pt>
                <c:pt idx="332">
                  <c:v>21379.620895022348</c:v>
                </c:pt>
                <c:pt idx="333">
                  <c:v>21877.61623949555</c:v>
                </c:pt>
                <c:pt idx="334">
                  <c:v>22387.211385683382</c:v>
                </c:pt>
                <c:pt idx="335">
                  <c:v>22908.676527677751</c:v>
                </c:pt>
                <c:pt idx="336">
                  <c:v>23442.288153199243</c:v>
                </c:pt>
                <c:pt idx="337">
                  <c:v>23988.329190194923</c:v>
                </c:pt>
                <c:pt idx="338">
                  <c:v>24547.089156850321</c:v>
                </c:pt>
                <c:pt idx="339">
                  <c:v>25118.86431509586</c:v>
                </c:pt>
                <c:pt idx="340">
                  <c:v>25703.95782768865</c:v>
                </c:pt>
                <c:pt idx="341">
                  <c:v>26302.679918953829</c:v>
                </c:pt>
                <c:pt idx="342">
                  <c:v>26915.348039269167</c:v>
                </c:pt>
                <c:pt idx="343">
                  <c:v>27542.287033381719</c:v>
                </c:pt>
                <c:pt idx="344">
                  <c:v>28183.829312644593</c:v>
                </c:pt>
                <c:pt idx="345">
                  <c:v>28840.315031266062</c:v>
                </c:pt>
                <c:pt idx="346">
                  <c:v>29512.092266663854</c:v>
                </c:pt>
                <c:pt idx="347">
                  <c:v>30199.517204020212</c:v>
                </c:pt>
                <c:pt idx="348">
                  <c:v>30902.954325135954</c:v>
                </c:pt>
                <c:pt idx="349">
                  <c:v>31622.77660168384</c:v>
                </c:pt>
                <c:pt idx="350">
                  <c:v>32359.365692962871</c:v>
                </c:pt>
                <c:pt idx="351">
                  <c:v>33113.11214825909</c:v>
                </c:pt>
                <c:pt idx="352">
                  <c:v>33884.41561392029</c:v>
                </c:pt>
                <c:pt idx="353">
                  <c:v>34673.685045253202</c:v>
                </c:pt>
                <c:pt idx="354">
                  <c:v>35481.33892335758</c:v>
                </c:pt>
                <c:pt idx="355">
                  <c:v>36307.805477010232</c:v>
                </c:pt>
                <c:pt idx="356">
                  <c:v>37153.522909717351</c:v>
                </c:pt>
                <c:pt idx="357">
                  <c:v>38018.939632056143</c:v>
                </c:pt>
                <c:pt idx="358">
                  <c:v>38904.514499428085</c:v>
                </c:pt>
                <c:pt idx="359">
                  <c:v>39810.717055349742</c:v>
                </c:pt>
                <c:pt idx="360">
                  <c:v>40738.027780411358</c:v>
                </c:pt>
                <c:pt idx="361">
                  <c:v>41686.938347033625</c:v>
                </c:pt>
                <c:pt idx="362">
                  <c:v>42657.951880159271</c:v>
                </c:pt>
                <c:pt idx="363">
                  <c:v>43651.583224016598</c:v>
                </c:pt>
                <c:pt idx="364">
                  <c:v>44668.359215096389</c:v>
                </c:pt>
                <c:pt idx="365">
                  <c:v>45708.818961487581</c:v>
                </c:pt>
                <c:pt idx="366">
                  <c:v>46773.514128719893</c:v>
                </c:pt>
                <c:pt idx="367">
                  <c:v>47863.009232263823</c:v>
                </c:pt>
                <c:pt idx="368">
                  <c:v>48977.881936844598</c:v>
                </c:pt>
                <c:pt idx="369">
                  <c:v>50118.723362727294</c:v>
                </c:pt>
                <c:pt idx="370">
                  <c:v>51286.138399136544</c:v>
                </c:pt>
                <c:pt idx="371">
                  <c:v>52480.746024977314</c:v>
                </c:pt>
                <c:pt idx="372">
                  <c:v>53703.179637025423</c:v>
                </c:pt>
                <c:pt idx="373">
                  <c:v>54954.087385762505</c:v>
                </c:pt>
                <c:pt idx="374">
                  <c:v>56234.132519034953</c:v>
                </c:pt>
                <c:pt idx="375">
                  <c:v>57543.993733715732</c:v>
                </c:pt>
                <c:pt idx="376">
                  <c:v>58884.365535558936</c:v>
                </c:pt>
                <c:pt idx="377">
                  <c:v>60255.95860743591</c:v>
                </c:pt>
                <c:pt idx="378">
                  <c:v>61659.500186148245</c:v>
                </c:pt>
                <c:pt idx="379">
                  <c:v>63095.734448019342</c:v>
                </c:pt>
                <c:pt idx="380">
                  <c:v>64565.422903465682</c:v>
                </c:pt>
                <c:pt idx="381">
                  <c:v>66069.344800759733</c:v>
                </c:pt>
                <c:pt idx="382">
                  <c:v>67608.297539198305</c:v>
                </c:pt>
                <c:pt idx="383">
                  <c:v>69183.097091893651</c:v>
                </c:pt>
                <c:pt idx="384">
                  <c:v>70794.578438413781</c:v>
                </c:pt>
                <c:pt idx="385">
                  <c:v>72443.596007499116</c:v>
                </c:pt>
                <c:pt idx="386">
                  <c:v>74131.024130091857</c:v>
                </c:pt>
                <c:pt idx="387">
                  <c:v>75857.757502918481</c:v>
                </c:pt>
                <c:pt idx="388">
                  <c:v>77624.711662869129</c:v>
                </c:pt>
                <c:pt idx="389">
                  <c:v>79432.823472428237</c:v>
                </c:pt>
                <c:pt idx="390">
                  <c:v>81283.051616410012</c:v>
                </c:pt>
                <c:pt idx="391">
                  <c:v>83176.377110267174</c:v>
                </c:pt>
                <c:pt idx="392">
                  <c:v>85113.803820237721</c:v>
                </c:pt>
                <c:pt idx="393">
                  <c:v>87096.358995608127</c:v>
                </c:pt>
                <c:pt idx="394">
                  <c:v>89125.093813374609</c:v>
                </c:pt>
                <c:pt idx="395">
                  <c:v>91201.083935591028</c:v>
                </c:pt>
                <c:pt idx="396">
                  <c:v>93325.430079699145</c:v>
                </c:pt>
                <c:pt idx="397">
                  <c:v>95499.258602143804</c:v>
                </c:pt>
                <c:pt idx="398">
                  <c:v>97723.722095581266</c:v>
                </c:pt>
                <c:pt idx="399">
                  <c:v>100000</c:v>
                </c:pt>
                <c:pt idx="400">
                  <c:v>102329.29922807543</c:v>
                </c:pt>
                <c:pt idx="401">
                  <c:v>104712.85480508996</c:v>
                </c:pt>
                <c:pt idx="402">
                  <c:v>107151.93052376082</c:v>
                </c:pt>
                <c:pt idx="403">
                  <c:v>109647.81961431868</c:v>
                </c:pt>
                <c:pt idx="404">
                  <c:v>112201.84543019651</c:v>
                </c:pt>
                <c:pt idx="405">
                  <c:v>114815.36214968823</c:v>
                </c:pt>
                <c:pt idx="406">
                  <c:v>117489.75549395311</c:v>
                </c:pt>
                <c:pt idx="407">
                  <c:v>120226.44346174144</c:v>
                </c:pt>
                <c:pt idx="408">
                  <c:v>123026.87708123829</c:v>
                </c:pt>
                <c:pt idx="409">
                  <c:v>125892.54117941685</c:v>
                </c:pt>
                <c:pt idx="410">
                  <c:v>128824.95516931375</c:v>
                </c:pt>
                <c:pt idx="411">
                  <c:v>131825.67385564081</c:v>
                </c:pt>
                <c:pt idx="412">
                  <c:v>134896.28825916545</c:v>
                </c:pt>
                <c:pt idx="413">
                  <c:v>138038.42646028858</c:v>
                </c:pt>
                <c:pt idx="414">
                  <c:v>141253.75446227577</c:v>
                </c:pt>
                <c:pt idx="415">
                  <c:v>144543.97707459307</c:v>
                </c:pt>
                <c:pt idx="416">
                  <c:v>147910.83881682079</c:v>
                </c:pt>
                <c:pt idx="417">
                  <c:v>151356.12484362084</c:v>
                </c:pt>
                <c:pt idx="418">
                  <c:v>154881.66189124843</c:v>
                </c:pt>
                <c:pt idx="419">
                  <c:v>158489.31924611164</c:v>
                </c:pt>
                <c:pt idx="420">
                  <c:v>162181.00973589328</c:v>
                </c:pt>
                <c:pt idx="421">
                  <c:v>165958.69074375604</c:v>
                </c:pt>
                <c:pt idx="422">
                  <c:v>169824.36524617471</c:v>
                </c:pt>
                <c:pt idx="423">
                  <c:v>173780.0828749378</c:v>
                </c:pt>
                <c:pt idx="424">
                  <c:v>177827.94100389251</c:v>
                </c:pt>
                <c:pt idx="425">
                  <c:v>181970.08586099857</c:v>
                </c:pt>
                <c:pt idx="426">
                  <c:v>186208.71366628664</c:v>
                </c:pt>
                <c:pt idx="427">
                  <c:v>190546.07179632492</c:v>
                </c:pt>
                <c:pt idx="428">
                  <c:v>194984.45997580473</c:v>
                </c:pt>
                <c:pt idx="429">
                  <c:v>199526.23149688813</c:v>
                </c:pt>
                <c:pt idx="430">
                  <c:v>204173.79446695308</c:v>
                </c:pt>
                <c:pt idx="431">
                  <c:v>208929.61308540447</c:v>
                </c:pt>
                <c:pt idx="432">
                  <c:v>213796.20895022334</c:v>
                </c:pt>
                <c:pt idx="433">
                  <c:v>218776.16239495538</c:v>
                </c:pt>
                <c:pt idx="434">
                  <c:v>223872.11385683404</c:v>
                </c:pt>
                <c:pt idx="435">
                  <c:v>229086.76527677779</c:v>
                </c:pt>
                <c:pt idx="436">
                  <c:v>234422.88153199267</c:v>
                </c:pt>
                <c:pt idx="437">
                  <c:v>239883.29190194907</c:v>
                </c:pt>
                <c:pt idx="438">
                  <c:v>245470.89156850305</c:v>
                </c:pt>
                <c:pt idx="439">
                  <c:v>251188.64315095844</c:v>
                </c:pt>
                <c:pt idx="440">
                  <c:v>257039.57827688678</c:v>
                </c:pt>
                <c:pt idx="441">
                  <c:v>263026.79918953858</c:v>
                </c:pt>
                <c:pt idx="442">
                  <c:v>269153.48039269145</c:v>
                </c:pt>
                <c:pt idx="443">
                  <c:v>275422.87033381703</c:v>
                </c:pt>
                <c:pt idx="444">
                  <c:v>281838.29312644573</c:v>
                </c:pt>
                <c:pt idx="445">
                  <c:v>288403.1503126609</c:v>
                </c:pt>
                <c:pt idx="446">
                  <c:v>295120.92266663886</c:v>
                </c:pt>
                <c:pt idx="447">
                  <c:v>301995.17204020242</c:v>
                </c:pt>
                <c:pt idx="448">
                  <c:v>309029.54325135931</c:v>
                </c:pt>
                <c:pt idx="449">
                  <c:v>316227.7660168382</c:v>
                </c:pt>
                <c:pt idx="450">
                  <c:v>323593.65692962846</c:v>
                </c:pt>
                <c:pt idx="451">
                  <c:v>331131.12148259126</c:v>
                </c:pt>
                <c:pt idx="452">
                  <c:v>338844.15613920329</c:v>
                </c:pt>
                <c:pt idx="453">
                  <c:v>346736.85045253241</c:v>
                </c:pt>
                <c:pt idx="454">
                  <c:v>354813.38923357555</c:v>
                </c:pt>
                <c:pt idx="455">
                  <c:v>363078.05477010203</c:v>
                </c:pt>
                <c:pt idx="456">
                  <c:v>371535.2290971732</c:v>
                </c:pt>
                <c:pt idx="457">
                  <c:v>380189.39632056188</c:v>
                </c:pt>
                <c:pt idx="458">
                  <c:v>389045.14499428123</c:v>
                </c:pt>
                <c:pt idx="459">
                  <c:v>398107.17055349716</c:v>
                </c:pt>
                <c:pt idx="460">
                  <c:v>407380.27780411334</c:v>
                </c:pt>
                <c:pt idx="461">
                  <c:v>416869.38347033598</c:v>
                </c:pt>
                <c:pt idx="462">
                  <c:v>426579.51880159322</c:v>
                </c:pt>
                <c:pt idx="463">
                  <c:v>436515.83224016649</c:v>
                </c:pt>
                <c:pt idx="464">
                  <c:v>446683.59215096442</c:v>
                </c:pt>
                <c:pt idx="465">
                  <c:v>457088.18961487547</c:v>
                </c:pt>
                <c:pt idx="466">
                  <c:v>467735.14128719864</c:v>
                </c:pt>
                <c:pt idx="467">
                  <c:v>478630.09232263872</c:v>
                </c:pt>
                <c:pt idx="468">
                  <c:v>489778.81936844654</c:v>
                </c:pt>
                <c:pt idx="469">
                  <c:v>501187.23362727347</c:v>
                </c:pt>
                <c:pt idx="470">
                  <c:v>512861.38399136515</c:v>
                </c:pt>
                <c:pt idx="471">
                  <c:v>524807.46024977288</c:v>
                </c:pt>
                <c:pt idx="472">
                  <c:v>537031.7963702539</c:v>
                </c:pt>
                <c:pt idx="473">
                  <c:v>549540.87385762564</c:v>
                </c:pt>
                <c:pt idx="474">
                  <c:v>562341.32519035018</c:v>
                </c:pt>
                <c:pt idx="475">
                  <c:v>575439.93733715697</c:v>
                </c:pt>
                <c:pt idx="476">
                  <c:v>588843.65535558888</c:v>
                </c:pt>
                <c:pt idx="477">
                  <c:v>602559.58607435878</c:v>
                </c:pt>
                <c:pt idx="478">
                  <c:v>616595.00186148309</c:v>
                </c:pt>
                <c:pt idx="479">
                  <c:v>630957.34448019415</c:v>
                </c:pt>
                <c:pt idx="480">
                  <c:v>645654.22903465747</c:v>
                </c:pt>
                <c:pt idx="481">
                  <c:v>660693.44800759677</c:v>
                </c:pt>
                <c:pt idx="482">
                  <c:v>676082.97539198259</c:v>
                </c:pt>
                <c:pt idx="483">
                  <c:v>691830.97091893724</c:v>
                </c:pt>
                <c:pt idx="484">
                  <c:v>707945.78438413853</c:v>
                </c:pt>
                <c:pt idx="485">
                  <c:v>724435.96007499192</c:v>
                </c:pt>
                <c:pt idx="486">
                  <c:v>741310.24130091805</c:v>
                </c:pt>
                <c:pt idx="487">
                  <c:v>758577.57502918423</c:v>
                </c:pt>
                <c:pt idx="488">
                  <c:v>776247.11662869214</c:v>
                </c:pt>
                <c:pt idx="489">
                  <c:v>794328.23472428333</c:v>
                </c:pt>
                <c:pt idx="490">
                  <c:v>812830.51616410096</c:v>
                </c:pt>
                <c:pt idx="491">
                  <c:v>831763.77110267128</c:v>
                </c:pt>
                <c:pt idx="492">
                  <c:v>851138.03820237669</c:v>
                </c:pt>
                <c:pt idx="493">
                  <c:v>870963.58995608077</c:v>
                </c:pt>
                <c:pt idx="494">
                  <c:v>891250.93813374708</c:v>
                </c:pt>
                <c:pt idx="495">
                  <c:v>912010.83935591124</c:v>
                </c:pt>
                <c:pt idx="496">
                  <c:v>933254.30079699249</c:v>
                </c:pt>
                <c:pt idx="497">
                  <c:v>954992.58602143743</c:v>
                </c:pt>
                <c:pt idx="498">
                  <c:v>977237.22095581202</c:v>
                </c:pt>
                <c:pt idx="499">
                  <c:v>1000000</c:v>
                </c:pt>
                <c:pt idx="500">
                  <c:v>1023292.9922807553</c:v>
                </c:pt>
                <c:pt idx="501">
                  <c:v>1047128.5480509007</c:v>
                </c:pt>
                <c:pt idx="502">
                  <c:v>1071519.3052376076</c:v>
                </c:pt>
                <c:pt idx="503">
                  <c:v>1096478.196143186</c:v>
                </c:pt>
                <c:pt idx="504">
                  <c:v>1122018.4543019643</c:v>
                </c:pt>
                <c:pt idx="505">
                  <c:v>1148153.6214968837</c:v>
                </c:pt>
                <c:pt idx="506">
                  <c:v>1174897.5549395324</c:v>
                </c:pt>
                <c:pt idx="507">
                  <c:v>1202264.4346174158</c:v>
                </c:pt>
                <c:pt idx="508">
                  <c:v>1230268.770812382</c:v>
                </c:pt>
                <c:pt idx="509">
                  <c:v>1258925.4117941677</c:v>
                </c:pt>
                <c:pt idx="510">
                  <c:v>1288249.5516931366</c:v>
                </c:pt>
                <c:pt idx="511">
                  <c:v>1318256.7385564097</c:v>
                </c:pt>
                <c:pt idx="512">
                  <c:v>1348962.8825916562</c:v>
                </c:pt>
                <c:pt idx="513">
                  <c:v>1380384.2646028849</c:v>
                </c:pt>
                <c:pt idx="514">
                  <c:v>1412537.5446227565</c:v>
                </c:pt>
                <c:pt idx="515">
                  <c:v>1445439.7707459298</c:v>
                </c:pt>
                <c:pt idx="516">
                  <c:v>1479108.3881682095</c:v>
                </c:pt>
                <c:pt idx="517">
                  <c:v>1513561.2484362102</c:v>
                </c:pt>
                <c:pt idx="518">
                  <c:v>1548816.6189124861</c:v>
                </c:pt>
                <c:pt idx="519">
                  <c:v>1584893.1924611153</c:v>
                </c:pt>
                <c:pt idx="520">
                  <c:v>1621810.0973589318</c:v>
                </c:pt>
                <c:pt idx="521">
                  <c:v>1659586.9074375622</c:v>
                </c:pt>
                <c:pt idx="522">
                  <c:v>1698243.6524617488</c:v>
                </c:pt>
                <c:pt idx="523">
                  <c:v>1737800.8287493798</c:v>
                </c:pt>
                <c:pt idx="524">
                  <c:v>1778279.4100389241</c:v>
                </c:pt>
                <c:pt idx="525">
                  <c:v>1819700.8586099846</c:v>
                </c:pt>
                <c:pt idx="526">
                  <c:v>1862087.1366628683</c:v>
                </c:pt>
                <c:pt idx="527">
                  <c:v>1905460.7179632513</c:v>
                </c:pt>
                <c:pt idx="528">
                  <c:v>1949844.5997580495</c:v>
                </c:pt>
                <c:pt idx="529">
                  <c:v>1995262.31496888</c:v>
                </c:pt>
                <c:pt idx="530">
                  <c:v>2041737.9446695296</c:v>
                </c:pt>
                <c:pt idx="531">
                  <c:v>2089296.1308540432</c:v>
                </c:pt>
                <c:pt idx="532">
                  <c:v>2137962.0895022359</c:v>
                </c:pt>
                <c:pt idx="533">
                  <c:v>2187761.6239495561</c:v>
                </c:pt>
                <c:pt idx="534">
                  <c:v>2238721.1385683389</c:v>
                </c:pt>
                <c:pt idx="535">
                  <c:v>2290867.6527677765</c:v>
                </c:pt>
                <c:pt idx="536">
                  <c:v>2344228.8153199251</c:v>
                </c:pt>
                <c:pt idx="537">
                  <c:v>2398832.9190194933</c:v>
                </c:pt>
                <c:pt idx="538">
                  <c:v>2454708.915685033</c:v>
                </c:pt>
                <c:pt idx="539">
                  <c:v>2511886.431509587</c:v>
                </c:pt>
                <c:pt idx="540">
                  <c:v>2570395.782768866</c:v>
                </c:pt>
                <c:pt idx="541">
                  <c:v>2630267.9918953842</c:v>
                </c:pt>
              </c:numCache>
            </c:numRef>
          </c:xVal>
          <c:yVal>
            <c:numRef>
              <c:f>Control_Loop_Tables!$AQ$19:$AQ$560</c:f>
              <c:numCache>
                <c:formatCode>General</c:formatCode>
                <c:ptCount val="542"/>
                <c:pt idx="0">
                  <c:v>-56.013931306558732</c:v>
                </c:pt>
                <c:pt idx="1">
                  <c:v>-56.616719107005977</c:v>
                </c:pt>
                <c:pt idx="2">
                  <c:v>-57.213831175934473</c:v>
                </c:pt>
                <c:pt idx="3">
                  <c:v>-57.805053570069717</c:v>
                </c:pt>
                <c:pt idx="4">
                  <c:v>-58.390184379025577</c:v>
                </c:pt>
                <c:pt idx="5">
                  <c:v>-58.969033834348082</c:v>
                </c:pt>
                <c:pt idx="6">
                  <c:v>-59.5414243667446</c:v>
                </c:pt>
                <c:pt idx="7">
                  <c:v>-60.10719061363833</c:v>
                </c:pt>
                <c:pt idx="8">
                  <c:v>-60.666179379459457</c:v>
                </c:pt>
                <c:pt idx="9">
                  <c:v>-61.218249551313917</c:v>
                </c:pt>
                <c:pt idx="10">
                  <c:v>-61.763271972864281</c:v>
                </c:pt>
                <c:pt idx="11">
                  <c:v>-62.301129279393919</c:v>
                </c:pt>
                <c:pt idx="12">
                  <c:v>-62.831715697135422</c:v>
                </c:pt>
                <c:pt idx="13">
                  <c:v>-63.354936810008546</c:v>
                </c:pt>
                <c:pt idx="14">
                  <c:v>-63.870709296940248</c:v>
                </c:pt>
                <c:pt idx="15">
                  <c:v>-64.37896064293659</c:v>
                </c:pt>
                <c:pt idx="16">
                  <c:v>-64.879628827039141</c:v>
                </c:pt>
                <c:pt idx="17">
                  <c:v>-65.372661990238001</c:v>
                </c:pt>
                <c:pt idx="18">
                  <c:v>-65.858018086326211</c:v>
                </c:pt>
                <c:pt idx="19">
                  <c:v>-66.335664518570866</c:v>
                </c:pt>
                <c:pt idx="20">
                  <c:v>-66.805577764955871</c:v>
                </c:pt>
                <c:pt idx="21">
                  <c:v>-67.267742994609719</c:v>
                </c:pt>
                <c:pt idx="22">
                  <c:v>-67.722153677879774</c:v>
                </c:pt>
                <c:pt idx="23">
                  <c:v>-68.168811192362625</c:v>
                </c:pt>
                <c:pt idx="24">
                  <c:v>-68.607724427027776</c:v>
                </c:pt>
                <c:pt idx="25">
                  <c:v>-69.038909386412612</c:v>
                </c:pt>
                <c:pt idx="26">
                  <c:v>-69.462388796691982</c:v>
                </c:pt>
                <c:pt idx="27">
                  <c:v>-69.878191715264975</c:v>
                </c:pt>
                <c:pt idx="28">
                  <c:v>-70.286353145329088</c:v>
                </c:pt>
                <c:pt idx="29">
                  <c:v>-70.686913656759558</c:v>
                </c:pt>
                <c:pt idx="30">
                  <c:v>-71.079919014450482</c:v>
                </c:pt>
                <c:pt idx="31">
                  <c:v>-71.465419815129522</c:v>
                </c:pt>
                <c:pt idx="32">
                  <c:v>-71.843471133512082</c:v>
                </c:pt>
                <c:pt idx="33">
                  <c:v>-72.214132178532637</c:v>
                </c:pt>
                <c:pt idx="34">
                  <c:v>-72.577465960259175</c:v>
                </c:pt>
                <c:pt idx="35">
                  <c:v>-72.93353896798267</c:v>
                </c:pt>
                <c:pt idx="36">
                  <c:v>-73.282420859866775</c:v>
                </c:pt>
                <c:pt idx="37">
                  <c:v>-73.62418416443596</c:v>
                </c:pt>
                <c:pt idx="38">
                  <c:v>-73.958903994097625</c:v>
                </c:pt>
                <c:pt idx="39">
                  <c:v>-74.28665777080262</c:v>
                </c:pt>
                <c:pt idx="40">
                  <c:v>-74.607524963879328</c:v>
                </c:pt>
                <c:pt idx="41">
                  <c:v>-74.92158684000681</c:v>
                </c:pt>
                <c:pt idx="42">
                  <c:v>-75.228926225231589</c:v>
                </c:pt>
                <c:pt idx="43">
                  <c:v>-75.529627278883225</c:v>
                </c:pt>
                <c:pt idx="44">
                  <c:v>-75.823775279195118</c:v>
                </c:pt>
                <c:pt idx="45">
                  <c:v>-76.111456420399051</c:v>
                </c:pt>
                <c:pt idx="46">
                  <c:v>-76.392757621027002</c:v>
                </c:pt>
                <c:pt idx="47">
                  <c:v>-76.66776634312545</c:v>
                </c:pt>
                <c:pt idx="48">
                  <c:v>-76.936570422065614</c:v>
                </c:pt>
                <c:pt idx="49">
                  <c:v>-77.199257906611066</c:v>
                </c:pt>
                <c:pt idx="50">
                  <c:v>-77.455916908891751</c:v>
                </c:pt>
                <c:pt idx="51">
                  <c:v>-77.706635463922524</c:v>
                </c:pt>
                <c:pt idx="52">
                  <c:v>-77.951501398293559</c:v>
                </c:pt>
                <c:pt idx="53">
                  <c:v>-78.190602207659907</c:v>
                </c:pt>
                <c:pt idx="54">
                  <c:v>-78.424024942651144</c:v>
                </c:pt>
                <c:pt idx="55">
                  <c:v>-78.651856102824894</c:v>
                </c:pt>
                <c:pt idx="56">
                  <c:v>-78.874181538289562</c:v>
                </c:pt>
                <c:pt idx="57">
                  <c:v>-79.0910863586261</c:v>
                </c:pt>
                <c:pt idx="58">
                  <c:v>-79.302654848743657</c:v>
                </c:pt>
                <c:pt idx="59">
                  <c:v>-79.508970391311379</c:v>
                </c:pt>
                <c:pt idx="60">
                  <c:v>-79.710115395417745</c:v>
                </c:pt>
                <c:pt idx="61">
                  <c:v>-79.906171231114996</c:v>
                </c:pt>
                <c:pt idx="62">
                  <c:v>-80.09721816951992</c:v>
                </c:pt>
                <c:pt idx="63">
                  <c:v>-80.283335328148965</c:v>
                </c:pt>
                <c:pt idx="64">
                  <c:v>-80.46460062117832</c:v>
                </c:pt>
                <c:pt idx="65">
                  <c:v>-80.641090714331199</c:v>
                </c:pt>
                <c:pt idx="66">
                  <c:v>-80.812880984103401</c:v>
                </c:pt>
                <c:pt idx="67">
                  <c:v>-80.98004548105321</c:v>
                </c:pt>
                <c:pt idx="68">
                  <c:v>-81.142656896889534</c:v>
                </c:pt>
                <c:pt idx="69">
                  <c:v>-81.300786535106624</c:v>
                </c:pt>
                <c:pt idx="70">
                  <c:v>-81.45450428492272</c:v>
                </c:pt>
                <c:pt idx="71">
                  <c:v>-81.603878598293463</c:v>
                </c:pt>
                <c:pt idx="72">
                  <c:v>-81.748976469779024</c:v>
                </c:pt>
                <c:pt idx="73">
                  <c:v>-81.889863419057946</c:v>
                </c:pt>
                <c:pt idx="74">
                  <c:v>-82.026603475887953</c:v>
                </c:pt>
                <c:pt idx="75">
                  <c:v>-82.159259167327065</c:v>
                </c:pt>
                <c:pt idx="76">
                  <c:v>-82.287891507035638</c:v>
                </c:pt>
                <c:pt idx="77">
                  <c:v>-82.412559986491587</c:v>
                </c:pt>
                <c:pt idx="78">
                  <c:v>-82.533322567959104</c:v>
                </c:pt>
                <c:pt idx="79">
                  <c:v>-82.650235679060216</c:v>
                </c:pt>
                <c:pt idx="80">
                  <c:v>-82.763354208807172</c:v>
                </c:pt>
                <c:pt idx="81">
                  <c:v>-82.872731504962289</c:v>
                </c:pt>
                <c:pt idx="82">
                  <c:v>-82.97841937259831</c:v>
                </c:pt>
                <c:pt idx="83">
                  <c:v>-83.080468073741528</c:v>
                </c:pt>
                <c:pt idx="84">
                  <c:v>-83.178926327986147</c:v>
                </c:pt>
                <c:pt idx="85">
                  <c:v>-83.273841313974344</c:v>
                </c:pt>
                <c:pt idx="86">
                  <c:v>-83.365258671645321</c:v>
                </c:pt>
                <c:pt idx="87">
                  <c:v>-83.453222505160454</c:v>
                </c:pt>
                <c:pt idx="88">
                  <c:v>-83.537775386417835</c:v>
                </c:pt>
                <c:pt idx="89">
                  <c:v>-83.618958359077538</c:v>
                </c:pt>
                <c:pt idx="90">
                  <c:v>-83.696810943019926</c:v>
                </c:pt>
                <c:pt idx="91">
                  <c:v>-83.771371139168593</c:v>
                </c:pt>
                <c:pt idx="92">
                  <c:v>-83.842675434611209</c:v>
                </c:pt>
                <c:pt idx="93">
                  <c:v>-83.910758807957663</c:v>
                </c:pt>
                <c:pt idx="94">
                  <c:v>-83.975654734878574</c:v>
                </c:pt>
                <c:pt idx="95">
                  <c:v>-84.037395193771204</c:v>
                </c:pt>
                <c:pt idx="96">
                  <c:v>-84.096010671503834</c:v>
                </c:pt>
                <c:pt idx="97">
                  <c:v>-84.151530169193009</c:v>
                </c:pt>
                <c:pt idx="98">
                  <c:v>-84.203981207972134</c:v>
                </c:pt>
                <c:pt idx="99">
                  <c:v>-84.253389834711641</c:v>
                </c:pt>
                <c:pt idx="100">
                  <c:v>-84.299780627656105</c:v>
                </c:pt>
                <c:pt idx="101">
                  <c:v>-84.343176701944344</c:v>
                </c:pt>
                <c:pt idx="102">
                  <c:v>-84.383599714983376</c:v>
                </c:pt>
                <c:pt idx="103">
                  <c:v>-84.421069871647887</c:v>
                </c:pt>
                <c:pt idx="104">
                  <c:v>-84.455605929280608</c:v>
                </c:pt>
                <c:pt idx="105">
                  <c:v>-84.487225202471095</c:v>
                </c:pt>
                <c:pt idx="106">
                  <c:v>-84.515943567591805</c:v>
                </c:pt>
                <c:pt idx="107">
                  <c:v>-84.541775467073975</c:v>
                </c:pt>
                <c:pt idx="108">
                  <c:v>-84.56473391340657</c:v>
                </c:pt>
                <c:pt idx="109">
                  <c:v>-84.584830492844304</c:v>
                </c:pt>
                <c:pt idx="110">
                  <c:v>-84.602075368812294</c:v>
                </c:pt>
                <c:pt idx="111">
                  <c:v>-84.61647728499706</c:v>
                </c:pt>
                <c:pt idx="112">
                  <c:v>-84.628043568115075</c:v>
                </c:pt>
                <c:pt idx="113">
                  <c:v>-84.636780130351866</c:v>
                </c:pt>
                <c:pt idx="114">
                  <c:v>-84.642691471466819</c:v>
                </c:pt>
                <c:pt idx="115">
                  <c:v>-84.645780680559625</c:v>
                </c:pt>
                <c:pt idx="116">
                  <c:v>-84.646049437497126</c:v>
                </c:pt>
                <c:pt idx="117">
                  <c:v>-84.64349801399996</c:v>
                </c:pt>
                <c:pt idx="118">
                  <c:v>-84.638125274390504</c:v>
                </c:pt>
                <c:pt idx="119">
                  <c:v>-84.629928676005363</c:v>
                </c:pt>
                <c:pt idx="120">
                  <c:v>-84.618904269277223</c:v>
                </c:pt>
                <c:pt idx="121">
                  <c:v>-84.605046697492156</c:v>
                </c:pt>
                <c:pt idx="122">
                  <c:v>-84.588349196231164</c:v>
                </c:pt>
                <c:pt idx="123">
                  <c:v>-84.568803592505375</c:v>
                </c:pt>
                <c:pt idx="124">
                  <c:v>-84.54640030359667</c:v>
                </c:pt>
                <c:pt idx="125">
                  <c:v>-84.521128335617917</c:v>
                </c:pt>
                <c:pt idx="126">
                  <c:v>-84.49297528180729</c:v>
                </c:pt>
                <c:pt idx="127">
                  <c:v>-84.461927320575157</c:v>
                </c:pt>
                <c:pt idx="128">
                  <c:v>-84.427969213322683</c:v>
                </c:pt>
                <c:pt idx="129">
                  <c:v>-84.391084302053457</c:v>
                </c:pt>
                <c:pt idx="130">
                  <c:v>-84.351254506802931</c:v>
                </c:pt>
                <c:pt idx="131">
                  <c:v>-84.308460322911458</c:v>
                </c:pt>
                <c:pt idx="132">
                  <c:v>-84.262680818169784</c:v>
                </c:pt>
                <c:pt idx="133">
                  <c:v>-84.213893629868565</c:v>
                </c:pt>
                <c:pt idx="134">
                  <c:v>-84.16207496178626</c:v>
                </c:pt>
                <c:pt idx="135">
                  <c:v>-84.107199581151917</c:v>
                </c:pt>
                <c:pt idx="136">
                  <c:v>-84.049240815623691</c:v>
                </c:pt>
                <c:pt idx="137">
                  <c:v>-83.988170550325862</c:v>
                </c:pt>
                <c:pt idx="138">
                  <c:v>-83.923959224991677</c:v>
                </c:pt>
                <c:pt idx="139">
                  <c:v>-83.856575831261964</c:v>
                </c:pt>
                <c:pt idx="140">
                  <c:v>-83.785987910193796</c:v>
                </c:pt>
                <c:pt idx="141">
                  <c:v>-83.712161550037791</c:v>
                </c:pt>
                <c:pt idx="142">
                  <c:v>-83.635061384346059</c:v>
                </c:pt>
                <c:pt idx="143">
                  <c:v>-83.554650590478019</c:v>
                </c:pt>
                <c:pt idx="144">
                  <c:v>-83.470890888575923</c:v>
                </c:pt>
                <c:pt idx="145">
                  <c:v>-83.383742541086093</c:v>
                </c:pt>
                <c:pt idx="146">
                  <c:v>-83.293164352908875</c:v>
                </c:pt>
                <c:pt idx="147">
                  <c:v>-83.199113672264559</c:v>
                </c:pt>
                <c:pt idx="148">
                  <c:v>-83.101546392367865</c:v>
                </c:pt>
                <c:pt idx="149">
                  <c:v>-83.000416954011754</c:v>
                </c:pt>
                <c:pt idx="150">
                  <c:v>-82.895678349166133</c:v>
                </c:pt>
                <c:pt idx="151">
                  <c:v>-82.787282125704294</c:v>
                </c:pt>
                <c:pt idx="152">
                  <c:v>-82.675178393376854</c:v>
                </c:pt>
                <c:pt idx="153">
                  <c:v>-82.559315831161882</c:v>
                </c:pt>
                <c:pt idx="154">
                  <c:v>-82.43964169612488</c:v>
                </c:pt>
                <c:pt idx="155">
                  <c:v>-82.316101833933047</c:v>
                </c:pt>
                <c:pt idx="156">
                  <c:v>-82.188640691177412</c:v>
                </c:pt>
                <c:pt idx="157">
                  <c:v>-82.057201329659605</c:v>
                </c:pt>
                <c:pt idx="158">
                  <c:v>-81.9217254428182</c:v>
                </c:pt>
                <c:pt idx="159">
                  <c:v>-81.782153374471179</c:v>
                </c:pt>
                <c:pt idx="160">
                  <c:v>-81.63842414006578</c:v>
                </c:pt>
                <c:pt idx="161">
                  <c:v>-81.490475450633966</c:v>
                </c:pt>
                <c:pt idx="162">
                  <c:v>-81.338243739666112</c:v>
                </c:pt>
                <c:pt idx="163">
                  <c:v>-81.181664193121406</c:v>
                </c:pt>
                <c:pt idx="164">
                  <c:v>-81.020670782809106</c:v>
                </c:pt>
                <c:pt idx="165">
                  <c:v>-80.855196303383181</c:v>
                </c:pt>
                <c:pt idx="166">
                  <c:v>-80.685172413204455</c:v>
                </c:pt>
                <c:pt idx="167">
                  <c:v>-80.510529679337623</c:v>
                </c:pt>
                <c:pt idx="168">
                  <c:v>-80.331197626959423</c:v>
                </c:pt>
                <c:pt idx="169">
                  <c:v>-80.14710479346806</c:v>
                </c:pt>
                <c:pt idx="170">
                  <c:v>-79.958178787594051</c:v>
                </c:pt>
                <c:pt idx="171">
                  <c:v>-79.764346353824024</c:v>
                </c:pt>
                <c:pt idx="172">
                  <c:v>-79.565533442459483</c:v>
                </c:pt>
                <c:pt idx="173">
                  <c:v>-79.361665285644534</c:v>
                </c:pt>
                <c:pt idx="174">
                  <c:v>-79.152666479703967</c:v>
                </c:pt>
                <c:pt idx="175">
                  <c:v>-78.938461074144016</c:v>
                </c:pt>
                <c:pt idx="176">
                  <c:v>-78.718972667676084</c:v>
                </c:pt>
                <c:pt idx="177">
                  <c:v>-78.49412451162874</c:v>
                </c:pt>
                <c:pt idx="178">
                  <c:v>-78.263839621123068</c:v>
                </c:pt>
                <c:pt idx="179">
                  <c:v>-78.028040894386251</c:v>
                </c:pt>
                <c:pt idx="180">
                  <c:v>-77.786651240584803</c:v>
                </c:pt>
                <c:pt idx="181">
                  <c:v>-77.539593716554464</c:v>
                </c:pt>
                <c:pt idx="182">
                  <c:v>-77.286791672808292</c:v>
                </c:pt>
                <c:pt idx="183">
                  <c:v>-77.028168909192757</c:v>
                </c:pt>
                <c:pt idx="184">
                  <c:v>-76.763649840560589</c:v>
                </c:pt>
                <c:pt idx="185">
                  <c:v>-76.493159672813391</c:v>
                </c:pt>
                <c:pt idx="186">
                  <c:v>-76.21662458965335</c:v>
                </c:pt>
                <c:pt idx="187">
                  <c:v>-75.933971950368417</c:v>
                </c:pt>
                <c:pt idx="188">
                  <c:v>-75.64513049894704</c:v>
                </c:pt>
                <c:pt idx="189">
                  <c:v>-75.350030584791</c:v>
                </c:pt>
                <c:pt idx="190">
                  <c:v>-75.048604395266068</c:v>
                </c:pt>
                <c:pt idx="191">
                  <c:v>-74.740786200283011</c:v>
                </c:pt>
                <c:pt idx="192">
                  <c:v>-74.42651260906446</c:v>
                </c:pt>
                <c:pt idx="193">
                  <c:v>-74.105722839192168</c:v>
                </c:pt>
                <c:pt idx="194">
                  <c:v>-73.778358997976156</c:v>
                </c:pt>
                <c:pt idx="195">
                  <c:v>-73.44436637611777</c:v>
                </c:pt>
                <c:pt idx="196">
                  <c:v>-73.103693753563846</c:v>
                </c:pt>
                <c:pt idx="197">
                  <c:v>-72.756293717366233</c:v>
                </c:pt>
                <c:pt idx="198">
                  <c:v>-72.402122991270602</c:v>
                </c:pt>
                <c:pt idx="199">
                  <c:v>-72.041142776658432</c:v>
                </c:pt>
                <c:pt idx="200">
                  <c:v>-71.673319104356395</c:v>
                </c:pt>
                <c:pt idx="201">
                  <c:v>-71.298623196711461</c:v>
                </c:pt>
                <c:pt idx="202">
                  <c:v>-70.917031839205919</c:v>
                </c:pt>
                <c:pt idx="203">
                  <c:v>-70.528527760748005</c:v>
                </c:pt>
                <c:pt idx="204">
                  <c:v>-70.13310002163945</c:v>
                </c:pt>
                <c:pt idx="205">
                  <c:v>-69.730744408065163</c:v>
                </c:pt>
                <c:pt idx="206">
                  <c:v>-69.321463831802063</c:v>
                </c:pt>
                <c:pt idx="207">
                  <c:v>-68.905268733676905</c:v>
                </c:pt>
                <c:pt idx="208">
                  <c:v>-68.482177489145926</c:v>
                </c:pt>
                <c:pt idx="209">
                  <c:v>-68.052216814194793</c:v>
                </c:pt>
                <c:pt idx="210">
                  <c:v>-67.615422169593714</c:v>
                </c:pt>
                <c:pt idx="211">
                  <c:v>-67.171838161374012</c:v>
                </c:pt>
                <c:pt idx="212">
                  <c:v>-66.721518935227252</c:v>
                </c:pt>
                <c:pt idx="213">
                  <c:v>-66.264528562370955</c:v>
                </c:pt>
                <c:pt idx="214">
                  <c:v>-65.800941414273211</c:v>
                </c:pt>
                <c:pt idx="215">
                  <c:v>-65.330842523490205</c:v>
                </c:pt>
                <c:pt idx="216">
                  <c:v>-64.854327927744166</c:v>
                </c:pt>
                <c:pt idx="217">
                  <c:v>-64.371504994262366</c:v>
                </c:pt>
                <c:pt idx="218">
                  <c:v>-63.882492721308786</c:v>
                </c:pt>
                <c:pt idx="219">
                  <c:v>-63.387422013778405</c:v>
                </c:pt>
                <c:pt idx="220">
                  <c:v>-62.886435929686193</c:v>
                </c:pt>
                <c:pt idx="221">
                  <c:v>-62.379689894376931</c:v>
                </c:pt>
                <c:pt idx="222">
                  <c:v>-61.867351879310078</c:v>
                </c:pt>
                <c:pt idx="223">
                  <c:v>-61.349602542337308</c:v>
                </c:pt>
                <c:pt idx="224">
                  <c:v>-60.826635326493594</c:v>
                </c:pt>
                <c:pt idx="225">
                  <c:v>-60.298656514463246</c:v>
                </c:pt>
                <c:pt idx="226">
                  <c:v>-59.765885236072435</c:v>
                </c:pt>
                <c:pt idx="227">
                  <c:v>-59.228553426384089</c:v>
                </c:pt>
                <c:pt idx="228">
                  <c:v>-58.686905732247453</c:v>
                </c:pt>
                <c:pt idx="229">
                  <c:v>-58.141199365461439</c:v>
                </c:pt>
                <c:pt idx="230">
                  <c:v>-57.591703901080386</c:v>
                </c:pt>
                <c:pt idx="231">
                  <c:v>-57.038701019772923</c:v>
                </c:pt>
                <c:pt idx="232">
                  <c:v>-56.482484193583225</c:v>
                </c:pt>
                <c:pt idx="233">
                  <c:v>-55.923358314904199</c:v>
                </c:pt>
                <c:pt idx="234">
                  <c:v>-55.361639268964389</c:v>
                </c:pt>
                <c:pt idx="235">
                  <c:v>-54.797653450636659</c:v>
                </c:pt>
                <c:pt idx="236">
                  <c:v>-54.231737226906183</c:v>
                </c:pt>
                <c:pt idx="237">
                  <c:v>-53.664236346863653</c:v>
                </c:pt>
                <c:pt idx="238">
                  <c:v>-53.095505301623106</c:v>
                </c:pt>
                <c:pt idx="239">
                  <c:v>-52.525906637085001</c:v>
                </c:pt>
                <c:pt idx="240">
                  <c:v>-51.955810222969696</c:v>
                </c:pt>
                <c:pt idx="241">
                  <c:v>-51.385592482026262</c:v>
                </c:pt>
                <c:pt idx="242">
                  <c:v>-50.815635583767673</c:v>
                </c:pt>
                <c:pt idx="243">
                  <c:v>-50.246326607483859</c:v>
                </c:pt>
                <c:pt idx="244">
                  <c:v>-49.678056679641216</c:v>
                </c:pt>
                <c:pt idx="245">
                  <c:v>-49.111220091073555</c:v>
                </c:pt>
                <c:pt idx="246">
                  <c:v>-48.546213399605534</c:v>
                </c:pt>
                <c:pt idx="247">
                  <c:v>-47.983434523928715</c:v>
                </c:pt>
                <c:pt idx="248">
                  <c:v>-47.42328183463399</c:v>
                </c:pt>
                <c:pt idx="249">
                  <c:v>-46.866153248360298</c:v>
                </c:pt>
                <c:pt idx="250">
                  <c:v>-46.312445330953572</c:v>
                </c:pt>
                <c:pt idx="251">
                  <c:v>-45.762552415438073</c:v>
                </c:pt>
                <c:pt idx="252">
                  <c:v>-45.21686574040379</c:v>
                </c:pt>
                <c:pt idx="253">
                  <c:v>-44.67577261418198</c:v>
                </c:pt>
                <c:pt idx="254">
                  <c:v>-44.139655609861578</c:v>
                </c:pt>
                <c:pt idx="255">
                  <c:v>-43.608891795841672</c:v>
                </c:pt>
                <c:pt idx="256">
                  <c:v>-43.083852006206413</c:v>
                </c:pt>
                <c:pt idx="257">
                  <c:v>-42.564900154740116</c:v>
                </c:pt>
                <c:pt idx="258">
                  <c:v>-42.052392595936006</c:v>
                </c:pt>
                <c:pt idx="259">
                  <c:v>-41.546677535823662</c:v>
                </c:pt>
                <c:pt idx="260">
                  <c:v>-41.048094494910195</c:v>
                </c:pt>
                <c:pt idx="261">
                  <c:v>-40.55697382500631</c:v>
                </c:pt>
                <c:pt idx="262">
                  <c:v>-40.073636281156844</c:v>
                </c:pt>
                <c:pt idx="263">
                  <c:v>-39.598392649367767</c:v>
                </c:pt>
                <c:pt idx="264">
                  <c:v>-39.131543430313585</c:v>
                </c:pt>
                <c:pt idx="265">
                  <c:v>-38.673378578704749</c:v>
                </c:pt>
                <c:pt idx="266">
                  <c:v>-38.224177297525159</c:v>
                </c:pt>
                <c:pt idx="267">
                  <c:v>-37.78420788593062</c:v>
                </c:pt>
                <c:pt idx="268">
                  <c:v>-37.353727639171765</c:v>
                </c:pt>
                <c:pt idx="269">
                  <c:v>-36.932982798570819</c:v>
                </c:pt>
                <c:pt idx="270">
                  <c:v>-36.522208549241938</c:v>
                </c:pt>
                <c:pt idx="271">
                  <c:v>-36.121629062974726</c:v>
                </c:pt>
                <c:pt idx="272">
                  <c:v>-35.731457583467808</c:v>
                </c:pt>
                <c:pt idx="273">
                  <c:v>-35.35189655090408</c:v>
                </c:pt>
                <c:pt idx="274">
                  <c:v>-34.983137762708282</c:v>
                </c:pt>
                <c:pt idx="275">
                  <c:v>-34.625362567223931</c:v>
                </c:pt>
                <c:pt idx="276">
                  <c:v>-34.278742086966602</c:v>
                </c:pt>
                <c:pt idx="277">
                  <c:v>-33.943437468083467</c:v>
                </c:pt>
                <c:pt idx="278">
                  <c:v>-33.619600152643358</c:v>
                </c:pt>
                <c:pt idx="279">
                  <c:v>-33.307372170403937</c:v>
                </c:pt>
                <c:pt idx="280">
                  <c:v>-33.006886446768554</c:v>
                </c:pt>
                <c:pt idx="281">
                  <c:v>-32.718267123707427</c:v>
                </c:pt>
                <c:pt idx="282">
                  <c:v>-32.441629890533456</c:v>
                </c:pt>
                <c:pt idx="283">
                  <c:v>-32.177082321520516</c:v>
                </c:pt>
                <c:pt idx="284">
                  <c:v>-31.924724217492635</c:v>
                </c:pt>
                <c:pt idx="285">
                  <c:v>-31.684647948648859</c:v>
                </c:pt>
                <c:pt idx="286">
                  <c:v>-31.456938796031718</c:v>
                </c:pt>
                <c:pt idx="287">
                  <c:v>-31.241675289207535</c:v>
                </c:pt>
                <c:pt idx="288">
                  <c:v>-31.038929537880108</c:v>
                </c:pt>
                <c:pt idx="289">
                  <c:v>-30.848767555315096</c:v>
                </c:pt>
                <c:pt idx="290">
                  <c:v>-30.671249571612552</c:v>
                </c:pt>
                <c:pt idx="291">
                  <c:v>-30.50643033502331</c:v>
                </c:pt>
                <c:pt idx="292">
                  <c:v>-30.35435939964626</c:v>
                </c:pt>
                <c:pt idx="293">
                  <c:v>-30.215081398006603</c:v>
                </c:pt>
                <c:pt idx="294">
                  <c:v>-30.088636297143665</c:v>
                </c:pt>
                <c:pt idx="295">
                  <c:v>-29.975059636983524</c:v>
                </c:pt>
                <c:pt idx="296">
                  <c:v>-29.874382749896835</c:v>
                </c:pt>
                <c:pt idx="297">
                  <c:v>-29.786632960472868</c:v>
                </c:pt>
                <c:pt idx="298">
                  <c:v>-29.711833764655744</c:v>
                </c:pt>
                <c:pt idx="299">
                  <c:v>-29.650004987499244</c:v>
                </c:pt>
                <c:pt idx="300">
                  <c:v>-29.601162918915463</c:v>
                </c:pt>
                <c:pt idx="301">
                  <c:v>-29.565320426881517</c:v>
                </c:pt>
                <c:pt idx="302">
                  <c:v>-29.542487047674879</c:v>
                </c:pt>
                <c:pt idx="303">
                  <c:v>-29.532669052801904</c:v>
                </c:pt>
                <c:pt idx="304">
                  <c:v>-29.535869492368825</c:v>
                </c:pt>
                <c:pt idx="305">
                  <c:v>-29.552088214742618</c:v>
                </c:pt>
                <c:pt idx="306">
                  <c:v>-29.581321862427586</c:v>
                </c:pt>
                <c:pt idx="307">
                  <c:v>-29.623563844174353</c:v>
                </c:pt>
                <c:pt idx="308">
                  <c:v>-29.678804283425972</c:v>
                </c:pt>
                <c:pt idx="309">
                  <c:v>-29.747029943288059</c:v>
                </c:pt>
                <c:pt idx="310">
                  <c:v>-29.828224128303859</c:v>
                </c:pt>
                <c:pt idx="311">
                  <c:v>-29.92236656340749</c:v>
                </c:pt>
                <c:pt idx="312">
                  <c:v>-30.029433250519709</c:v>
                </c:pt>
                <c:pt idx="313">
                  <c:v>-30.149396303354134</c:v>
                </c:pt>
                <c:pt idx="314">
                  <c:v>-30.282223761106675</c:v>
                </c:pt>
                <c:pt idx="315">
                  <c:v>-30.427879381806047</c:v>
                </c:pt>
                <c:pt idx="316">
                  <c:v>-30.586322416223553</c:v>
                </c:pt>
                <c:pt idx="317">
                  <c:v>-30.75750736335884</c:v>
                </c:pt>
                <c:pt idx="318">
                  <c:v>-30.941383708646125</c:v>
                </c:pt>
                <c:pt idx="319">
                  <c:v>-31.137895646158341</c:v>
                </c:pt>
                <c:pt idx="320">
                  <c:v>-31.346981786227715</c:v>
                </c:pt>
                <c:pt idx="321">
                  <c:v>-31.568574850042577</c:v>
                </c:pt>
                <c:pt idx="322">
                  <c:v>-31.802601352933653</c:v>
                </c:pt>
                <c:pt idx="323">
                  <c:v>-32.048981278213468</c:v>
                </c:pt>
                <c:pt idx="324">
                  <c:v>-32.307627743589016</c:v>
                </c:pt>
                <c:pt idx="325">
                  <c:v>-32.578446662328517</c:v>
                </c:pt>
                <c:pt idx="326">
                  <c:v>-32.861336401515274</c:v>
                </c:pt>
                <c:pt idx="327">
                  <c:v>-33.15618743988427</c:v>
                </c:pt>
                <c:pt idx="328">
                  <c:v>-33.462882027880696</c:v>
                </c:pt>
                <c:pt idx="329">
                  <c:v>-33.781293852733832</c:v>
                </c:pt>
                <c:pt idx="330">
                  <c:v>-34.111287711465366</c:v>
                </c:pt>
                <c:pt idx="331">
                  <c:v>-34.452719194884374</c:v>
                </c:pt>
                <c:pt idx="332">
                  <c:v>-34.805434385723736</c:v>
                </c:pt>
                <c:pt idx="333">
                  <c:v>-35.169269574169206</c:v>
                </c:pt>
                <c:pt idx="334">
                  <c:v>-35.54405099409292</c:v>
                </c:pt>
                <c:pt idx="335">
                  <c:v>-35.929594583361862</c:v>
                </c:pt>
                <c:pt idx="336">
                  <c:v>-36.325705771591132</c:v>
                </c:pt>
                <c:pt idx="337">
                  <c:v>-36.732179298715721</c:v>
                </c:pt>
                <c:pt idx="338">
                  <c:v>-37.14879906769162</c:v>
                </c:pt>
                <c:pt idx="339">
                  <c:v>-37.575338034560843</c:v>
                </c:pt>
                <c:pt idx="340">
                  <c:v>-38.011558138985407</c:v>
                </c:pt>
                <c:pt idx="341">
                  <c:v>-38.457210278196243</c:v>
                </c:pt>
                <c:pt idx="342">
                  <c:v>-38.91203432708928</c:v>
                </c:pt>
                <c:pt idx="343">
                  <c:v>-39.375759206953809</c:v>
                </c:pt>
                <c:pt idx="344">
                  <c:v>-39.848103005026388</c:v>
                </c:pt>
                <c:pt idx="345">
                  <c:v>-40.328773146723265</c:v>
                </c:pt>
                <c:pt idx="346">
                  <c:v>-40.81746662203453</c:v>
                </c:pt>
                <c:pt idx="347">
                  <c:v>-41.313870267141489</c:v>
                </c:pt>
                <c:pt idx="348">
                  <c:v>-41.817661101880581</c:v>
                </c:pt>
                <c:pt idx="349">
                  <c:v>-42.32850672319028</c:v>
                </c:pt>
                <c:pt idx="350">
                  <c:v>-42.846065754171335</c:v>
                </c:pt>
                <c:pt idx="351">
                  <c:v>-43.369988347887691</c:v>
                </c:pt>
                <c:pt idx="352">
                  <c:v>-43.899916744470573</c:v>
                </c:pt>
                <c:pt idx="353">
                  <c:v>-44.43548587958059</c:v>
                </c:pt>
                <c:pt idx="354">
                  <c:v>-44.976324041725981</c:v>
                </c:pt>
                <c:pt idx="355">
                  <c:v>-45.522053575416336</c:v>
                </c:pt>
                <c:pt idx="356">
                  <c:v>-46.072291626636613</c:v>
                </c:pt>
                <c:pt idx="357">
                  <c:v>-46.626650926635655</c:v>
                </c:pt>
                <c:pt idx="358">
                  <c:v>-47.184740609595181</c:v>
                </c:pt>
                <c:pt idx="359">
                  <c:v>-47.746167059345893</c:v>
                </c:pt>
                <c:pt idx="360">
                  <c:v>-48.310534779955205</c:v>
                </c:pt>
                <c:pt idx="361">
                  <c:v>-48.87744728472272</c:v>
                </c:pt>
                <c:pt idx="362">
                  <c:v>-49.446507997899879</c:v>
                </c:pt>
                <c:pt idx="363">
                  <c:v>-50.017321163290106</c:v>
                </c:pt>
                <c:pt idx="364">
                  <c:v>-50.589492753802048</c:v>
                </c:pt>
                <c:pt idx="365">
                  <c:v>-51.162631376015078</c:v>
                </c:pt>
                <c:pt idx="366">
                  <c:v>-51.736349163864595</c:v>
                </c:pt>
                <c:pt idx="367">
                  <c:v>-52.310262655698523</c:v>
                </c:pt>
                <c:pt idx="368">
                  <c:v>-52.883993649132435</c:v>
                </c:pt>
                <c:pt idx="369">
                  <c:v>-53.457170028408747</c:v>
                </c:pt>
                <c:pt idx="370">
                  <c:v>-54.029426559268586</c:v>
                </c:pt>
                <c:pt idx="371">
                  <c:v>-54.600405646734686</c:v>
                </c:pt>
                <c:pt idx="372">
                  <c:v>-55.169758051607516</c:v>
                </c:pt>
                <c:pt idx="373">
                  <c:v>-55.737143561945075</c:v>
                </c:pt>
                <c:pt idx="374">
                  <c:v>-56.302231616284523</c:v>
                </c:pt>
                <c:pt idx="375">
                  <c:v>-56.864701875871567</c:v>
                </c:pt>
                <c:pt idx="376">
                  <c:v>-57.424244743697493</c:v>
                </c:pt>
                <c:pt idx="377">
                  <c:v>-57.98056182866889</c:v>
                </c:pt>
                <c:pt idx="378">
                  <c:v>-58.533366353772387</c:v>
                </c:pt>
                <c:pt idx="379">
                  <c:v>-59.082383507606728</c:v>
                </c:pt>
                <c:pt idx="380">
                  <c:v>-59.62735073917414</c:v>
                </c:pt>
                <c:pt idx="381">
                  <c:v>-60.168017996284483</c:v>
                </c:pt>
                <c:pt idx="382">
                  <c:v>-60.704147908395832</c:v>
                </c:pt>
                <c:pt idx="383">
                  <c:v>-61.235515915118079</c:v>
                </c:pt>
                <c:pt idx="384">
                  <c:v>-61.761910341998352</c:v>
                </c:pt>
                <c:pt idx="385">
                  <c:v>-62.283132425544167</c:v>
                </c:pt>
                <c:pt idx="386">
                  <c:v>-62.798996289736941</c:v>
                </c:pt>
                <c:pt idx="387">
                  <c:v>-63.309328876552115</c:v>
                </c:pt>
                <c:pt idx="388">
                  <c:v>-63.813969833206635</c:v>
                </c:pt>
                <c:pt idx="389">
                  <c:v>-64.312771359030549</c:v>
                </c:pt>
                <c:pt idx="390">
                  <c:v>-64.805598014984383</c:v>
                </c:pt>
                <c:pt idx="391">
                  <c:v>-65.29232649893568</c:v>
                </c:pt>
                <c:pt idx="392">
                  <c:v>-65.772845389850175</c:v>
                </c:pt>
                <c:pt idx="393">
                  <c:v>-66.247054864081804</c:v>
                </c:pt>
                <c:pt idx="394">
                  <c:v>-66.714866386911524</c:v>
                </c:pt>
                <c:pt idx="395">
                  <c:v>-67.176202382452701</c:v>
                </c:pt>
                <c:pt idx="396">
                  <c:v>-67.630995884959518</c:v>
                </c:pt>
                <c:pt idx="397">
                  <c:v>-68.079190174482051</c:v>
                </c:pt>
                <c:pt idx="398">
                  <c:v>-68.520738399698089</c:v>
                </c:pt>
                <c:pt idx="399">
                  <c:v>-68.955603190617268</c:v>
                </c:pt>
                <c:pt idx="400">
                  <c:v>-69.383756263715242</c:v>
                </c:pt>
                <c:pt idx="401">
                  <c:v>-69.805178021895628</c:v>
                </c:pt>
                <c:pt idx="402">
                  <c:v>-70.219857151520102</c:v>
                </c:pt>
                <c:pt idx="403">
                  <c:v>-70.627790218580486</c:v>
                </c:pt>
                <c:pt idx="404">
                  <c:v>-71.028981265920962</c:v>
                </c:pt>
                <c:pt idx="405">
                  <c:v>-71.423441413243921</c:v>
                </c:pt>
                <c:pt idx="406">
                  <c:v>-71.811188461476362</c:v>
                </c:pt>
                <c:pt idx="407">
                  <c:v>-72.192246502902023</c:v>
                </c:pt>
                <c:pt idx="408">
                  <c:v>-72.566645538309871</c:v>
                </c:pt>
                <c:pt idx="409">
                  <c:v>-72.934421102257417</c:v>
                </c:pt>
                <c:pt idx="410">
                  <c:v>-73.295613897398624</c:v>
                </c:pt>
                <c:pt idx="411">
                  <c:v>-73.650269438689733</c:v>
                </c:pt>
                <c:pt idx="412">
                  <c:v>-73.998437708154924</c:v>
                </c:pt>
                <c:pt idx="413">
                  <c:v>-74.340172820770235</c:v>
                </c:pt>
                <c:pt idx="414">
                  <c:v>-74.675532701913184</c:v>
                </c:pt>
                <c:pt idx="415">
                  <c:v>-75.004578776715761</c:v>
                </c:pt>
                <c:pt idx="416">
                  <c:v>-75.327375671567239</c:v>
                </c:pt>
                <c:pt idx="417">
                  <c:v>-75.643990927920811</c:v>
                </c:pt>
                <c:pt idx="418">
                  <c:v>-75.954494728478821</c:v>
                </c:pt>
                <c:pt idx="419">
                  <c:v>-76.25895963576437</c:v>
                </c:pt>
                <c:pt idx="420">
                  <c:v>-76.557460343012991</c:v>
                </c:pt>
                <c:pt idx="421">
                  <c:v>-76.850073437274574</c:v>
                </c:pt>
                <c:pt idx="422">
                  <c:v>-77.136877174551543</c:v>
                </c:pt>
                <c:pt idx="423">
                  <c:v>-77.417951266768569</c:v>
                </c:pt>
                <c:pt idx="424">
                  <c:v>-77.693376680323951</c:v>
                </c:pt>
                <c:pt idx="425">
                  <c:v>-77.963235445943198</c:v>
                </c:pt>
                <c:pt idx="426">
                  <c:v>-78.227610479531421</c:v>
                </c:pt>
                <c:pt idx="427">
                  <c:v>-78.486585413695408</c:v>
                </c:pt>
                <c:pt idx="428">
                  <c:v>-78.740244439592459</c:v>
                </c:pt>
                <c:pt idx="429">
                  <c:v>-78.988672158749495</c:v>
                </c:pt>
                <c:pt idx="430">
                  <c:v>-79.23195344448277</c:v>
                </c:pt>
                <c:pt idx="431">
                  <c:v>-79.470173312547459</c:v>
                </c:pt>
                <c:pt idx="432">
                  <c:v>-79.703416800639047</c:v>
                </c:pt>
                <c:pt idx="433">
                  <c:v>-79.931768856369132</c:v>
                </c:pt>
                <c:pt idx="434">
                  <c:v>-80.155314233337478</c:v>
                </c:pt>
                <c:pt idx="435">
                  <c:v>-80.374137394928795</c:v>
                </c:pt>
                <c:pt idx="436">
                  <c:v>-80.588322425464611</c:v>
                </c:pt>
                <c:pt idx="437">
                  <c:v>-80.797952948347799</c:v>
                </c:pt>
                <c:pt idx="438">
                  <c:v>-81.00311205084499</c:v>
                </c:pt>
                <c:pt idx="439">
                  <c:v>-81.203882215161372</c:v>
                </c:pt>
                <c:pt idx="440">
                  <c:v>-81.400345255469759</c:v>
                </c:pt>
                <c:pt idx="441">
                  <c:v>-81.592582260568562</c:v>
                </c:pt>
                <c:pt idx="442">
                  <c:v>-81.780673541851499</c:v>
                </c:pt>
                <c:pt idx="443">
                  <c:v>-81.96469858628403</c:v>
                </c:pt>
                <c:pt idx="444">
                  <c:v>-82.144736014093326</c:v>
                </c:pt>
                <c:pt idx="445">
                  <c:v>-82.320863540888553</c:v>
                </c:pt>
                <c:pt idx="446">
                  <c:v>-82.49315794394029</c:v>
                </c:pt>
                <c:pt idx="447">
                  <c:v>-82.661695032361365</c:v>
                </c:pt>
                <c:pt idx="448">
                  <c:v>-82.826549620938778</c:v>
                </c:pt>
                <c:pt idx="449">
                  <c:v>-82.987795507382359</c:v>
                </c:pt>
                <c:pt idx="450">
                  <c:v>-83.145505452763118</c:v>
                </c:pt>
                <c:pt idx="451">
                  <c:v>-83.299751164927912</c:v>
                </c:pt>
                <c:pt idx="452">
                  <c:v>-83.450603284686039</c:v>
                </c:pt>
                <c:pt idx="453">
                  <c:v>-83.598131374574635</c:v>
                </c:pt>
                <c:pt idx="454">
                  <c:v>-83.742403910019561</c:v>
                </c:pt>
                <c:pt idx="455">
                  <c:v>-83.883488272719077</c:v>
                </c:pt>
                <c:pt idx="456">
                  <c:v>-84.021450746084255</c:v>
                </c:pt>
                <c:pt idx="457">
                  <c:v>-84.156356512584168</c:v>
                </c:pt>
                <c:pt idx="458">
                  <c:v>-84.288269652847546</c:v>
                </c:pt>
                <c:pt idx="459">
                  <c:v>-84.417253146383842</c:v>
                </c:pt>
                <c:pt idx="460">
                  <c:v>-84.54336887379462</c:v>
                </c:pt>
                <c:pt idx="461">
                  <c:v>-84.666677620352544</c:v>
                </c:pt>
                <c:pt idx="462">
                  <c:v>-84.787239080833771</c:v>
                </c:pt>
                <c:pt idx="463">
                  <c:v>-84.90511186549665</c:v>
                </c:pt>
                <c:pt idx="464">
                  <c:v>-85.020353507104431</c:v>
                </c:pt>
                <c:pt idx="465">
                  <c:v>-85.133020468899517</c:v>
                </c:pt>
                <c:pt idx="466">
                  <c:v>-85.243168153438674</c:v>
                </c:pt>
                <c:pt idx="467">
                  <c:v>-85.350850912208202</c:v>
                </c:pt>
                <c:pt idx="468">
                  <c:v>-85.456122055940241</c:v>
                </c:pt>
                <c:pt idx="469">
                  <c:v>-85.559033865559215</c:v>
                </c:pt>
                <c:pt idx="470">
                  <c:v>-85.659637603690015</c:v>
                </c:pt>
                <c:pt idx="471">
                  <c:v>-85.75798352666618</c:v>
                </c:pt>
                <c:pt idx="472">
                  <c:v>-85.854120896978245</c:v>
                </c:pt>
                <c:pt idx="473">
                  <c:v>-85.948097996109624</c:v>
                </c:pt>
                <c:pt idx="474">
                  <c:v>-86.039962137707789</c:v>
                </c:pt>
                <c:pt idx="475">
                  <c:v>-86.12975968104503</c:v>
                </c:pt>
                <c:pt idx="476">
                  <c:v>-86.217536044724568</c:v>
                </c:pt>
                <c:pt idx="477">
                  <c:v>-86.303335720592344</c:v>
                </c:pt>
                <c:pt idx="478">
                  <c:v>-86.387202287816606</c:v>
                </c:pt>
                <c:pt idx="479">
                  <c:v>-86.469178427100928</c:v>
                </c:pt>
                <c:pt idx="480">
                  <c:v>-86.549305934999538</c:v>
                </c:pt>
                <c:pt idx="481">
                  <c:v>-86.627625738304189</c:v>
                </c:pt>
                <c:pt idx="482">
                  <c:v>-86.704177908477391</c:v>
                </c:pt>
                <c:pt idx="483">
                  <c:v>-86.779001676105352</c:v>
                </c:pt>
                <c:pt idx="484">
                  <c:v>-86.852135445349191</c:v>
                </c:pt>
                <c:pt idx="485">
                  <c:v>-86.923616808372842</c:v>
                </c:pt>
                <c:pt idx="486">
                  <c:v>-86.993482559728648</c:v>
                </c:pt>
                <c:pt idx="487">
                  <c:v>-87.061768710683538</c:v>
                </c:pt>
                <c:pt idx="488">
                  <c:v>-87.12851050346913</c:v>
                </c:pt>
                <c:pt idx="489">
                  <c:v>-87.193742425442352</c:v>
                </c:pt>
                <c:pt idx="490">
                  <c:v>-87.257498223142449</c:v>
                </c:pt>
                <c:pt idx="491">
                  <c:v>-87.319810916233337</c:v>
                </c:pt>
                <c:pt idx="492">
                  <c:v>-87.380712811320137</c:v>
                </c:pt>
                <c:pt idx="493">
                  <c:v>-87.440235515630519</c:v>
                </c:pt>
                <c:pt idx="494">
                  <c:v>-87.498409950552187</c:v>
                </c:pt>
                <c:pt idx="495">
                  <c:v>-87.55526636501898</c:v>
                </c:pt>
                <c:pt idx="496">
                  <c:v>-87.610834348738734</c:v>
                </c:pt>
                <c:pt idx="497">
                  <c:v>-87.665142845256909</c:v>
                </c:pt>
                <c:pt idx="498">
                  <c:v>-87.718220164851033</c:v>
                </c:pt>
                <c:pt idx="499">
                  <c:v>-87.770093997250967</c:v>
                </c:pt>
                <c:pt idx="500">
                  <c:v>-87.820791424181721</c:v>
                </c:pt>
                <c:pt idx="501">
                  <c:v>-87.870338931725001</c:v>
                </c:pt>
                <c:pt idx="502">
                  <c:v>-87.918762422497238</c:v>
                </c:pt>
                <c:pt idx="503">
                  <c:v>-87.966087227641324</c:v>
                </c:pt>
                <c:pt idx="504">
                  <c:v>-88.012338118631021</c:v>
                </c:pt>
                <c:pt idx="505">
                  <c:v>-88.057539318885901</c:v>
                </c:pt>
                <c:pt idx="506">
                  <c:v>-88.101714515196562</c:v>
                </c:pt>
                <c:pt idx="507">
                  <c:v>-88.144886868959233</c:v>
                </c:pt>
                <c:pt idx="508">
                  <c:v>-88.187079027219482</c:v>
                </c:pt>
                <c:pt idx="509">
                  <c:v>-88.228313133525276</c:v>
                </c:pt>
                <c:pt idx="510">
                  <c:v>-88.268610838589709</c:v>
                </c:pt>
                <c:pt idx="511">
                  <c:v>-88.307993310763734</c:v>
                </c:pt>
                <c:pt idx="512">
                  <c:v>-88.34648124632011</c:v>
                </c:pt>
                <c:pt idx="513">
                  <c:v>-88.384094879549409</c:v>
                </c:pt>
                <c:pt idx="514">
                  <c:v>-88.420853992669208</c:v>
                </c:pt>
                <c:pt idx="515">
                  <c:v>-88.456777925548081</c:v>
                </c:pt>
                <c:pt idx="516">
                  <c:v>-88.491885585245825</c:v>
                </c:pt>
                <c:pt idx="517">
                  <c:v>-88.526195455371649</c:v>
                </c:pt>
                <c:pt idx="518">
                  <c:v>-88.559725605262074</c:v>
                </c:pt>
                <c:pt idx="519">
                  <c:v>-88.592493698980633</c:v>
                </c:pt>
                <c:pt idx="520">
                  <c:v>-88.624517004141254</c:v>
                </c:pt>
                <c:pt idx="521">
                  <c:v>-88.655812400557494</c:v>
                </c:pt>
                <c:pt idx="522">
                  <c:v>-88.686396388719757</c:v>
                </c:pt>
                <c:pt idx="523">
                  <c:v>-88.716285098103057</c:v>
                </c:pt>
                <c:pt idx="524">
                  <c:v>-88.74549429530704</c:v>
                </c:pt>
                <c:pt idx="525">
                  <c:v>-88.774039392031426</c:v>
                </c:pt>
                <c:pt idx="526">
                  <c:v>-88.801935452888429</c:v>
                </c:pt>
                <c:pt idx="527">
                  <c:v>-88.829197203055386</c:v>
                </c:pt>
                <c:pt idx="528">
                  <c:v>-88.855839035769506</c:v>
                </c:pt>
                <c:pt idx="529">
                  <c:v>-88.881875019667476</c:v>
                </c:pt>
                <c:pt idx="530">
                  <c:v>-88.907318905972446</c:v>
                </c:pt>
                <c:pt idx="531">
                  <c:v>-88.932184135530761</c:v>
                </c:pt>
                <c:pt idx="532">
                  <c:v>-88.956483845701143</c:v>
                </c:pt>
                <c:pt idx="533">
                  <c:v>-88.980230877098705</c:v>
                </c:pt>
                <c:pt idx="534">
                  <c:v>-89.003437780196478</c:v>
                </c:pt>
                <c:pt idx="535">
                  <c:v>-89.026116821786715</c:v>
                </c:pt>
                <c:pt idx="536">
                  <c:v>-89.04827999130481</c:v>
                </c:pt>
                <c:pt idx="537">
                  <c:v>-89.069939007018078</c:v>
                </c:pt>
                <c:pt idx="538">
                  <c:v>-89.09110532208193</c:v>
                </c:pt>
                <c:pt idx="539">
                  <c:v>-89.111790130466062</c:v>
                </c:pt>
                <c:pt idx="540">
                  <c:v>-89.13200437275286</c:v>
                </c:pt>
                <c:pt idx="541">
                  <c:v>-89.151758741810539</c:v>
                </c:pt>
              </c:numCache>
            </c:numRef>
          </c:yVal>
          <c:smooth val="1"/>
          <c:extLst>
            <c:ext xmlns:c16="http://schemas.microsoft.com/office/drawing/2014/chart" uri="{C3380CC4-5D6E-409C-BE32-E72D297353CC}">
              <c16:uniqueId val="{00000001-9071-434A-B397-2C3D7F38C963}"/>
            </c:ext>
          </c:extLst>
        </c:ser>
        <c:dLbls>
          <c:showLegendKey val="0"/>
          <c:showVal val="0"/>
          <c:showCatName val="0"/>
          <c:showSerName val="0"/>
          <c:showPercent val="0"/>
          <c:showBubbleSize val="0"/>
        </c:dLbls>
        <c:axId val="555313792"/>
        <c:axId val="555312256"/>
      </c:scatterChart>
      <c:valAx>
        <c:axId val="555304064"/>
        <c:scaling>
          <c:logBase val="10"/>
          <c:orientation val="minMax"/>
          <c:max val="2200000"/>
          <c:min val="10"/>
        </c:scaling>
        <c:delete val="0"/>
        <c:axPos val="b"/>
        <c:minorGridlines/>
        <c:title>
          <c:tx>
            <c:rich>
              <a:bodyPr/>
              <a:lstStyle/>
              <a:p>
                <a:pPr>
                  <a:defRPr/>
                </a:pPr>
                <a:r>
                  <a:rPr lang="en-US"/>
                  <a:t>Frequency</a:t>
                </a:r>
                <a:r>
                  <a:rPr lang="en-US" baseline="0"/>
                  <a:t> (Hz)</a:t>
                </a:r>
                <a:endParaRPr lang="en-US"/>
              </a:p>
            </c:rich>
          </c:tx>
          <c:overlay val="0"/>
        </c:title>
        <c:numFmt formatCode="0" sourceLinked="0"/>
        <c:majorTickMark val="out"/>
        <c:minorTickMark val="none"/>
        <c:tickLblPos val="low"/>
        <c:crossAx val="555305984"/>
        <c:crosses val="autoZero"/>
        <c:crossBetween val="midCat"/>
      </c:valAx>
      <c:valAx>
        <c:axId val="555305984"/>
        <c:scaling>
          <c:orientation val="minMax"/>
          <c:max val="40"/>
          <c:min val="-40"/>
        </c:scaling>
        <c:delete val="0"/>
        <c:axPos val="l"/>
        <c:majorGridlines/>
        <c:minorGridlines/>
        <c:title>
          <c:tx>
            <c:rich>
              <a:bodyPr rot="-5400000" vert="horz"/>
              <a:lstStyle/>
              <a:p>
                <a:pPr>
                  <a:defRPr/>
                </a:pPr>
                <a:r>
                  <a:rPr lang="en-US"/>
                  <a:t>Gain</a:t>
                </a:r>
                <a:r>
                  <a:rPr lang="en-US" baseline="0"/>
                  <a:t> (dB)</a:t>
                </a:r>
                <a:endParaRPr lang="en-US"/>
              </a:p>
            </c:rich>
          </c:tx>
          <c:overlay val="0"/>
        </c:title>
        <c:numFmt formatCode="General" sourceLinked="0"/>
        <c:majorTickMark val="out"/>
        <c:minorTickMark val="none"/>
        <c:tickLblPos val="nextTo"/>
        <c:crossAx val="555304064"/>
        <c:crosses val="autoZero"/>
        <c:crossBetween val="midCat"/>
        <c:majorUnit val="20"/>
        <c:minorUnit val="10"/>
      </c:valAx>
      <c:valAx>
        <c:axId val="555312256"/>
        <c:scaling>
          <c:orientation val="minMax"/>
          <c:max val="180"/>
          <c:min val="-180"/>
        </c:scaling>
        <c:delete val="0"/>
        <c:axPos val="r"/>
        <c:numFmt formatCode="General" sourceLinked="1"/>
        <c:majorTickMark val="out"/>
        <c:minorTickMark val="none"/>
        <c:tickLblPos val="nextTo"/>
        <c:crossAx val="555313792"/>
        <c:crosses val="max"/>
        <c:crossBetween val="midCat"/>
        <c:majorUnit val="90"/>
        <c:minorUnit val="45"/>
      </c:valAx>
      <c:valAx>
        <c:axId val="555313792"/>
        <c:scaling>
          <c:logBase val="10"/>
          <c:orientation val="minMax"/>
        </c:scaling>
        <c:delete val="1"/>
        <c:axPos val="b"/>
        <c:numFmt formatCode="0.00" sourceLinked="1"/>
        <c:majorTickMark val="out"/>
        <c:minorTickMark val="none"/>
        <c:tickLblPos val="nextTo"/>
        <c:crossAx val="555312256"/>
        <c:crosses val="autoZero"/>
        <c:crossBetween val="midCat"/>
      </c:valAx>
    </c:plotArea>
    <c:legend>
      <c:legendPos val="r"/>
      <c:layout>
        <c:manualLayout>
          <c:xMode val="edge"/>
          <c:yMode val="edge"/>
          <c:x val="0.79880558209512509"/>
          <c:y val="0.14321997959862004"/>
          <c:w val="0.13459449276057311"/>
          <c:h val="0.10691609861199437"/>
        </c:manualLayout>
      </c:layout>
      <c:overlay val="1"/>
      <c:spPr>
        <a:solidFill>
          <a:schemeClr val="bg1"/>
        </a:solidFill>
      </c:spPr>
    </c:legend>
    <c:plotVisOnly val="1"/>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aseline="0"/>
              <a:t>DCM Control Loop Transfer Function</a:t>
            </a:r>
          </a:p>
        </c:rich>
      </c:tx>
      <c:overlay val="0"/>
    </c:title>
    <c:autoTitleDeleted val="0"/>
    <c:plotArea>
      <c:layout/>
      <c:scatterChart>
        <c:scatterStyle val="smoothMarker"/>
        <c:varyColors val="0"/>
        <c:ser>
          <c:idx val="0"/>
          <c:order val="0"/>
          <c:spPr>
            <a:ln w="38100">
              <a:solidFill>
                <a:srgbClr val="FF0000"/>
              </a:solidFill>
            </a:ln>
          </c:spPr>
          <c:marker>
            <c:symbol val="none"/>
          </c:marker>
          <c:xVal>
            <c:numRef>
              <c:f>Control_Loop_Tables!$N$19:$N$560</c:f>
              <c:numCache>
                <c:formatCode>0.00</c:formatCode>
                <c:ptCount val="542"/>
                <c:pt idx="0">
                  <c:v>10.232929922807543</c:v>
                </c:pt>
                <c:pt idx="1">
                  <c:v>10.471285480509</c:v>
                </c:pt>
                <c:pt idx="2">
                  <c:v>10.715193052376069</c:v>
                </c:pt>
                <c:pt idx="3">
                  <c:v>10.964781961431854</c:v>
                </c:pt>
                <c:pt idx="4">
                  <c:v>11.220184543019636</c:v>
                </c:pt>
                <c:pt idx="5">
                  <c:v>11.481536214968834</c:v>
                </c:pt>
                <c:pt idx="6">
                  <c:v>11.748975549395301</c:v>
                </c:pt>
                <c:pt idx="7">
                  <c:v>12.022644346174133</c:v>
                </c:pt>
                <c:pt idx="8">
                  <c:v>12.302687708123818</c:v>
                </c:pt>
                <c:pt idx="9">
                  <c:v>12.58925411794168</c:v>
                </c:pt>
                <c:pt idx="10">
                  <c:v>12.882495516931346</c:v>
                </c:pt>
                <c:pt idx="11">
                  <c:v>13.182567385564075</c:v>
                </c:pt>
                <c:pt idx="12">
                  <c:v>13.489628825916535</c:v>
                </c:pt>
                <c:pt idx="13">
                  <c:v>13.803842646028857</c:v>
                </c:pt>
                <c:pt idx="14">
                  <c:v>14.125375446227544</c:v>
                </c:pt>
                <c:pt idx="15">
                  <c:v>14.454397707459275</c:v>
                </c:pt>
                <c:pt idx="16">
                  <c:v>14.791083881682074</c:v>
                </c:pt>
                <c:pt idx="17">
                  <c:v>15.135612484362087</c:v>
                </c:pt>
                <c:pt idx="18">
                  <c:v>15.488166189124817</c:v>
                </c:pt>
                <c:pt idx="19">
                  <c:v>15.848931924611136</c:v>
                </c:pt>
                <c:pt idx="20">
                  <c:v>16.218100973589298</c:v>
                </c:pt>
                <c:pt idx="21">
                  <c:v>16.595869074375614</c:v>
                </c:pt>
                <c:pt idx="22">
                  <c:v>16.982436524617448</c:v>
                </c:pt>
                <c:pt idx="23">
                  <c:v>17.378008287493756</c:v>
                </c:pt>
                <c:pt idx="24">
                  <c:v>17.782794100389236</c:v>
                </c:pt>
                <c:pt idx="25">
                  <c:v>18.197008586099841</c:v>
                </c:pt>
                <c:pt idx="26">
                  <c:v>18.62087136662868</c:v>
                </c:pt>
                <c:pt idx="27">
                  <c:v>19.054607179632477</c:v>
                </c:pt>
                <c:pt idx="28">
                  <c:v>19.498445997580465</c:v>
                </c:pt>
                <c:pt idx="29">
                  <c:v>19.952623149688804</c:v>
                </c:pt>
                <c:pt idx="30">
                  <c:v>20.4173794466953</c:v>
                </c:pt>
                <c:pt idx="31">
                  <c:v>20.8929613085404</c:v>
                </c:pt>
                <c:pt idx="32">
                  <c:v>21.379620895022335</c:v>
                </c:pt>
                <c:pt idx="33">
                  <c:v>21.877616239495538</c:v>
                </c:pt>
                <c:pt idx="34">
                  <c:v>22.387211385683404</c:v>
                </c:pt>
                <c:pt idx="35">
                  <c:v>22.908676527677727</c:v>
                </c:pt>
                <c:pt idx="36">
                  <c:v>23.442288153199236</c:v>
                </c:pt>
                <c:pt idx="37">
                  <c:v>23.988329190194907</c:v>
                </c:pt>
                <c:pt idx="38">
                  <c:v>24.547089156850316</c:v>
                </c:pt>
                <c:pt idx="39">
                  <c:v>25.118864315095799</c:v>
                </c:pt>
                <c:pt idx="40">
                  <c:v>25.703957827688647</c:v>
                </c:pt>
                <c:pt idx="41">
                  <c:v>26.302679918953825</c:v>
                </c:pt>
                <c:pt idx="42">
                  <c:v>26.915348039269158</c:v>
                </c:pt>
                <c:pt idx="43">
                  <c:v>27.542287033381665</c:v>
                </c:pt>
                <c:pt idx="44">
                  <c:v>28.183829312644548</c:v>
                </c:pt>
                <c:pt idx="45">
                  <c:v>28.840315031266066</c:v>
                </c:pt>
                <c:pt idx="46">
                  <c:v>29.512092266663863</c:v>
                </c:pt>
                <c:pt idx="47">
                  <c:v>30.199517204020164</c:v>
                </c:pt>
                <c:pt idx="48">
                  <c:v>30.902954325135919</c:v>
                </c:pt>
                <c:pt idx="49">
                  <c:v>31.622776601683803</c:v>
                </c:pt>
                <c:pt idx="50">
                  <c:v>32.359365692962832</c:v>
                </c:pt>
                <c:pt idx="51">
                  <c:v>33.113112148259127</c:v>
                </c:pt>
                <c:pt idx="52">
                  <c:v>33.884415613920268</c:v>
                </c:pt>
                <c:pt idx="53">
                  <c:v>34.67368504525318</c:v>
                </c:pt>
                <c:pt idx="54">
                  <c:v>35.481338923357555</c:v>
                </c:pt>
                <c:pt idx="55">
                  <c:v>36.307805477010156</c:v>
                </c:pt>
                <c:pt idx="56">
                  <c:v>37.15352290971726</c:v>
                </c:pt>
                <c:pt idx="57">
                  <c:v>38.018939632056139</c:v>
                </c:pt>
                <c:pt idx="58">
                  <c:v>38.904514499428053</c:v>
                </c:pt>
                <c:pt idx="59">
                  <c:v>39.810717055349755</c:v>
                </c:pt>
                <c:pt idx="60">
                  <c:v>40.738027780411279</c:v>
                </c:pt>
                <c:pt idx="61">
                  <c:v>41.686938347033561</c:v>
                </c:pt>
                <c:pt idx="62">
                  <c:v>42.657951880159267</c:v>
                </c:pt>
                <c:pt idx="63">
                  <c:v>43.651583224016633</c:v>
                </c:pt>
                <c:pt idx="64">
                  <c:v>44.668359215096324</c:v>
                </c:pt>
                <c:pt idx="65">
                  <c:v>45.70881896148753</c:v>
                </c:pt>
                <c:pt idx="66">
                  <c:v>46.773514128719818</c:v>
                </c:pt>
                <c:pt idx="67">
                  <c:v>47.863009232263877</c:v>
                </c:pt>
                <c:pt idx="68">
                  <c:v>48.977881936844632</c:v>
                </c:pt>
                <c:pt idx="69">
                  <c:v>50.118723362727238</c:v>
                </c:pt>
                <c:pt idx="70">
                  <c:v>51.28613839913649</c:v>
                </c:pt>
                <c:pt idx="71">
                  <c:v>52.480746024977286</c:v>
                </c:pt>
                <c:pt idx="72">
                  <c:v>53.703179637025293</c:v>
                </c:pt>
                <c:pt idx="73">
                  <c:v>54.95408738576247</c:v>
                </c:pt>
                <c:pt idx="74">
                  <c:v>56.234132519034915</c:v>
                </c:pt>
                <c:pt idx="75">
                  <c:v>57.543993733715695</c:v>
                </c:pt>
                <c:pt idx="76">
                  <c:v>58.884365535558949</c:v>
                </c:pt>
                <c:pt idx="77">
                  <c:v>60.255958607435822</c:v>
                </c:pt>
                <c:pt idx="78">
                  <c:v>61.659500186148257</c:v>
                </c:pt>
                <c:pt idx="79">
                  <c:v>63.095734448019364</c:v>
                </c:pt>
                <c:pt idx="80">
                  <c:v>64.565422903465588</c:v>
                </c:pt>
                <c:pt idx="81">
                  <c:v>66.069344800759623</c:v>
                </c:pt>
                <c:pt idx="82">
                  <c:v>67.60829753919819</c:v>
                </c:pt>
                <c:pt idx="83">
                  <c:v>69.183097091893657</c:v>
                </c:pt>
                <c:pt idx="84">
                  <c:v>70.794578438413865</c:v>
                </c:pt>
                <c:pt idx="85">
                  <c:v>72.443596007499011</c:v>
                </c:pt>
                <c:pt idx="86">
                  <c:v>74.131024130091816</c:v>
                </c:pt>
                <c:pt idx="87">
                  <c:v>75.857757502918361</c:v>
                </c:pt>
                <c:pt idx="88">
                  <c:v>77.624711662869217</c:v>
                </c:pt>
                <c:pt idx="89">
                  <c:v>79.432823472428197</c:v>
                </c:pt>
                <c:pt idx="90">
                  <c:v>81.283051616409963</c:v>
                </c:pt>
                <c:pt idx="91">
                  <c:v>83.176377110267126</c:v>
                </c:pt>
                <c:pt idx="92">
                  <c:v>85.113803820237734</c:v>
                </c:pt>
                <c:pt idx="93">
                  <c:v>87.096358995608071</c:v>
                </c:pt>
                <c:pt idx="94">
                  <c:v>89.125093813374562</c:v>
                </c:pt>
                <c:pt idx="95">
                  <c:v>91.201083935590972</c:v>
                </c:pt>
                <c:pt idx="96">
                  <c:v>93.325430079699174</c:v>
                </c:pt>
                <c:pt idx="97">
                  <c:v>95.499258602143655</c:v>
                </c:pt>
                <c:pt idx="98">
                  <c:v>97.723722095581124</c:v>
                </c:pt>
                <c:pt idx="99">
                  <c:v>100</c:v>
                </c:pt>
                <c:pt idx="100">
                  <c:v>102.32929922807544</c:v>
                </c:pt>
                <c:pt idx="101">
                  <c:v>104.71285480508998</c:v>
                </c:pt>
                <c:pt idx="102">
                  <c:v>107.15193052376065</c:v>
                </c:pt>
                <c:pt idx="103">
                  <c:v>109.64781961431861</c:v>
                </c:pt>
                <c:pt idx="104">
                  <c:v>112.20184543019634</c:v>
                </c:pt>
                <c:pt idx="105">
                  <c:v>114.81536214968835</c:v>
                </c:pt>
                <c:pt idx="106">
                  <c:v>117.48975549395293</c:v>
                </c:pt>
                <c:pt idx="107">
                  <c:v>120.22644346174135</c:v>
                </c:pt>
                <c:pt idx="108">
                  <c:v>123.02687708123821</c:v>
                </c:pt>
                <c:pt idx="109">
                  <c:v>125.89254117941677</c:v>
                </c:pt>
                <c:pt idx="110">
                  <c:v>128.82495516931343</c:v>
                </c:pt>
                <c:pt idx="111">
                  <c:v>131.82567385564084</c:v>
                </c:pt>
                <c:pt idx="112">
                  <c:v>134.89628825916537</c:v>
                </c:pt>
                <c:pt idx="113">
                  <c:v>138.0384264602886</c:v>
                </c:pt>
                <c:pt idx="114">
                  <c:v>141.25375446227542</c:v>
                </c:pt>
                <c:pt idx="115">
                  <c:v>144.54397707459285</c:v>
                </c:pt>
                <c:pt idx="116">
                  <c:v>147.91083881682084</c:v>
                </c:pt>
                <c:pt idx="117">
                  <c:v>151.3561248436209</c:v>
                </c:pt>
                <c:pt idx="118">
                  <c:v>154.8816618912482</c:v>
                </c:pt>
                <c:pt idx="119">
                  <c:v>158.48931924611153</c:v>
                </c:pt>
                <c:pt idx="120">
                  <c:v>162.18100973589304</c:v>
                </c:pt>
                <c:pt idx="121">
                  <c:v>165.95869074375622</c:v>
                </c:pt>
                <c:pt idx="122">
                  <c:v>169.82436524617444</c:v>
                </c:pt>
                <c:pt idx="123">
                  <c:v>173.78008287493768</c:v>
                </c:pt>
                <c:pt idx="124">
                  <c:v>177.82794100389242</c:v>
                </c:pt>
                <c:pt idx="125">
                  <c:v>181.9700858609983</c:v>
                </c:pt>
                <c:pt idx="126">
                  <c:v>186.20871366628685</c:v>
                </c:pt>
                <c:pt idx="127">
                  <c:v>190.54607179632498</c:v>
                </c:pt>
                <c:pt idx="128">
                  <c:v>194.98445997580458</c:v>
                </c:pt>
                <c:pt idx="129">
                  <c:v>199.52623149688802</c:v>
                </c:pt>
                <c:pt idx="130">
                  <c:v>204.17379446695315</c:v>
                </c:pt>
                <c:pt idx="131">
                  <c:v>208.92961308540396</c:v>
                </c:pt>
                <c:pt idx="132">
                  <c:v>213.79620895022339</c:v>
                </c:pt>
                <c:pt idx="133">
                  <c:v>218.77616239495524</c:v>
                </c:pt>
                <c:pt idx="134">
                  <c:v>223.87211385683412</c:v>
                </c:pt>
                <c:pt idx="135">
                  <c:v>229.08676527677744</c:v>
                </c:pt>
                <c:pt idx="136">
                  <c:v>234.42288153199232</c:v>
                </c:pt>
                <c:pt idx="137">
                  <c:v>239.88329190194912</c:v>
                </c:pt>
                <c:pt idx="138">
                  <c:v>245.4708915685033</c:v>
                </c:pt>
                <c:pt idx="139">
                  <c:v>251.18864315095806</c:v>
                </c:pt>
                <c:pt idx="140">
                  <c:v>257.03957827688663</c:v>
                </c:pt>
                <c:pt idx="141">
                  <c:v>263.02679918953817</c:v>
                </c:pt>
                <c:pt idx="142">
                  <c:v>269.15348039269179</c:v>
                </c:pt>
                <c:pt idx="143">
                  <c:v>275.42287033381683</c:v>
                </c:pt>
                <c:pt idx="144">
                  <c:v>281.83829312644554</c:v>
                </c:pt>
                <c:pt idx="145">
                  <c:v>288.40315031266073</c:v>
                </c:pt>
                <c:pt idx="146">
                  <c:v>295.12092266663871</c:v>
                </c:pt>
                <c:pt idx="147">
                  <c:v>301.99517204020168</c:v>
                </c:pt>
                <c:pt idx="148">
                  <c:v>309.02954325135937</c:v>
                </c:pt>
                <c:pt idx="149">
                  <c:v>316.22776601683825</c:v>
                </c:pt>
                <c:pt idx="150">
                  <c:v>323.59365692962825</c:v>
                </c:pt>
                <c:pt idx="151">
                  <c:v>331.13112148259137</c:v>
                </c:pt>
                <c:pt idx="152">
                  <c:v>338.84415613920277</c:v>
                </c:pt>
                <c:pt idx="153">
                  <c:v>346.73685045253183</c:v>
                </c:pt>
                <c:pt idx="154">
                  <c:v>354.81338923357566</c:v>
                </c:pt>
                <c:pt idx="155">
                  <c:v>363.07805477010152</c:v>
                </c:pt>
                <c:pt idx="156">
                  <c:v>371.53522909717265</c:v>
                </c:pt>
                <c:pt idx="157">
                  <c:v>380.18939632056163</c:v>
                </c:pt>
                <c:pt idx="158">
                  <c:v>389.04514499428063</c:v>
                </c:pt>
                <c:pt idx="159">
                  <c:v>398.10717055349761</c:v>
                </c:pt>
                <c:pt idx="160">
                  <c:v>407.38027780411272</c:v>
                </c:pt>
                <c:pt idx="161">
                  <c:v>416.86938347033572</c:v>
                </c:pt>
                <c:pt idx="162">
                  <c:v>426.57951880159294</c:v>
                </c:pt>
                <c:pt idx="163">
                  <c:v>436.51583224016622</c:v>
                </c:pt>
                <c:pt idx="164">
                  <c:v>446.68359215096331</c:v>
                </c:pt>
                <c:pt idx="165">
                  <c:v>457.0881896148756</c:v>
                </c:pt>
                <c:pt idx="166">
                  <c:v>467.7351412871983</c:v>
                </c:pt>
                <c:pt idx="167">
                  <c:v>478.63009232263886</c:v>
                </c:pt>
                <c:pt idx="168">
                  <c:v>489.77881936844625</c:v>
                </c:pt>
                <c:pt idx="169">
                  <c:v>501.18723362727269</c:v>
                </c:pt>
                <c:pt idx="170">
                  <c:v>512.86138399136519</c:v>
                </c:pt>
                <c:pt idx="171">
                  <c:v>524.80746024977248</c:v>
                </c:pt>
                <c:pt idx="172">
                  <c:v>537.03179637025301</c:v>
                </c:pt>
                <c:pt idx="173">
                  <c:v>549.54087385762534</c:v>
                </c:pt>
                <c:pt idx="174">
                  <c:v>562.34132519034927</c:v>
                </c:pt>
                <c:pt idx="175">
                  <c:v>575.43993733715706</c:v>
                </c:pt>
                <c:pt idx="176">
                  <c:v>588.84365535558959</c:v>
                </c:pt>
                <c:pt idx="177">
                  <c:v>602.55958607435832</c:v>
                </c:pt>
                <c:pt idx="178">
                  <c:v>616.59500186148273</c:v>
                </c:pt>
                <c:pt idx="179">
                  <c:v>630.95734448019323</c:v>
                </c:pt>
                <c:pt idx="180">
                  <c:v>645.65422903465594</c:v>
                </c:pt>
                <c:pt idx="181">
                  <c:v>660.69344800759643</c:v>
                </c:pt>
                <c:pt idx="182">
                  <c:v>676.08297539198213</c:v>
                </c:pt>
                <c:pt idx="183">
                  <c:v>691.83097091893671</c:v>
                </c:pt>
                <c:pt idx="184">
                  <c:v>707.94578438413873</c:v>
                </c:pt>
                <c:pt idx="185">
                  <c:v>724.43596007499025</c:v>
                </c:pt>
                <c:pt idx="186">
                  <c:v>741.31024130091828</c:v>
                </c:pt>
                <c:pt idx="187">
                  <c:v>758.57757502918378</c:v>
                </c:pt>
                <c:pt idx="188">
                  <c:v>776.24711662869231</c:v>
                </c:pt>
                <c:pt idx="189">
                  <c:v>794.32823472428208</c:v>
                </c:pt>
                <c:pt idx="190">
                  <c:v>812.83051616409978</c:v>
                </c:pt>
                <c:pt idx="191">
                  <c:v>831.7637711026714</c:v>
                </c:pt>
                <c:pt idx="192">
                  <c:v>851.13803820237763</c:v>
                </c:pt>
                <c:pt idx="193">
                  <c:v>870.96358995608091</c:v>
                </c:pt>
                <c:pt idx="194">
                  <c:v>891.25093813374656</c:v>
                </c:pt>
                <c:pt idx="195">
                  <c:v>912.01083935590987</c:v>
                </c:pt>
                <c:pt idx="196">
                  <c:v>933.25430079699106</c:v>
                </c:pt>
                <c:pt idx="197">
                  <c:v>954.99258602143675</c:v>
                </c:pt>
                <c:pt idx="198">
                  <c:v>977.23722095581138</c:v>
                </c:pt>
                <c:pt idx="199">
                  <c:v>1000</c:v>
                </c:pt>
                <c:pt idx="200">
                  <c:v>1023.2929922807547</c:v>
                </c:pt>
                <c:pt idx="201">
                  <c:v>1047.1285480509</c:v>
                </c:pt>
                <c:pt idx="202">
                  <c:v>1071.5193052376069</c:v>
                </c:pt>
                <c:pt idx="203">
                  <c:v>1096.4781961431863</c:v>
                </c:pt>
                <c:pt idx="204">
                  <c:v>1122.0184543019636</c:v>
                </c:pt>
                <c:pt idx="205">
                  <c:v>1148.1536214968839</c:v>
                </c:pt>
                <c:pt idx="206">
                  <c:v>1174.8975549395295</c:v>
                </c:pt>
                <c:pt idx="207">
                  <c:v>1202.2644346174138</c:v>
                </c:pt>
                <c:pt idx="208">
                  <c:v>1230.2687708123824</c:v>
                </c:pt>
                <c:pt idx="209">
                  <c:v>1258.925411794168</c:v>
                </c:pt>
                <c:pt idx="210">
                  <c:v>1288.2495516931347</c:v>
                </c:pt>
                <c:pt idx="211">
                  <c:v>1318.2567385564089</c:v>
                </c:pt>
                <c:pt idx="212">
                  <c:v>1348.9628825916541</c:v>
                </c:pt>
                <c:pt idx="213">
                  <c:v>1380.3842646028863</c:v>
                </c:pt>
                <c:pt idx="214">
                  <c:v>1412.5375446227545</c:v>
                </c:pt>
                <c:pt idx="215">
                  <c:v>1445.4397707459289</c:v>
                </c:pt>
                <c:pt idx="216">
                  <c:v>1479.1083881682086</c:v>
                </c:pt>
                <c:pt idx="217">
                  <c:v>1513.5612484362093</c:v>
                </c:pt>
                <c:pt idx="218">
                  <c:v>1548.8166189124822</c:v>
                </c:pt>
                <c:pt idx="219">
                  <c:v>1584.8931924611156</c:v>
                </c:pt>
                <c:pt idx="220">
                  <c:v>1621.8100973589308</c:v>
                </c:pt>
                <c:pt idx="221">
                  <c:v>1659.5869074375626</c:v>
                </c:pt>
                <c:pt idx="222">
                  <c:v>1698.2436524617447</c:v>
                </c:pt>
                <c:pt idx="223">
                  <c:v>1737.8008287493772</c:v>
                </c:pt>
                <c:pt idx="224">
                  <c:v>1778.2794100389244</c:v>
                </c:pt>
                <c:pt idx="225">
                  <c:v>1819.7008586099832</c:v>
                </c:pt>
                <c:pt idx="226">
                  <c:v>1862.0871366628687</c:v>
                </c:pt>
                <c:pt idx="227">
                  <c:v>1905.4607179632501</c:v>
                </c:pt>
                <c:pt idx="228">
                  <c:v>1949.8445997580463</c:v>
                </c:pt>
                <c:pt idx="229">
                  <c:v>1995.2623149688804</c:v>
                </c:pt>
                <c:pt idx="230">
                  <c:v>2041.7379446695318</c:v>
                </c:pt>
                <c:pt idx="231">
                  <c:v>2089.2961308540398</c:v>
                </c:pt>
                <c:pt idx="232">
                  <c:v>2137.9620895022344</c:v>
                </c:pt>
                <c:pt idx="233">
                  <c:v>2187.7616239495528</c:v>
                </c:pt>
                <c:pt idx="234">
                  <c:v>2238.7211385683418</c:v>
                </c:pt>
                <c:pt idx="235">
                  <c:v>2290.8676527677749</c:v>
                </c:pt>
                <c:pt idx="236">
                  <c:v>2344.2288153199238</c:v>
                </c:pt>
                <c:pt idx="237">
                  <c:v>2398.8329190194918</c:v>
                </c:pt>
                <c:pt idx="238">
                  <c:v>2454.7089156850338</c:v>
                </c:pt>
                <c:pt idx="239">
                  <c:v>2511.8864315095811</c:v>
                </c:pt>
                <c:pt idx="240">
                  <c:v>2570.3957827688669</c:v>
                </c:pt>
                <c:pt idx="241">
                  <c:v>2630.2679918953822</c:v>
                </c:pt>
                <c:pt idx="242">
                  <c:v>2691.5348039269184</c:v>
                </c:pt>
                <c:pt idx="243">
                  <c:v>2754.228703338169</c:v>
                </c:pt>
                <c:pt idx="244">
                  <c:v>2818.3829312644561</c:v>
                </c:pt>
                <c:pt idx="245">
                  <c:v>2884.0315031266077</c:v>
                </c:pt>
                <c:pt idx="246">
                  <c:v>2951.2092266663876</c:v>
                </c:pt>
                <c:pt idx="247">
                  <c:v>3019.9517204020176</c:v>
                </c:pt>
                <c:pt idx="248">
                  <c:v>3090.295432513592</c:v>
                </c:pt>
                <c:pt idx="249">
                  <c:v>3162.2776601683804</c:v>
                </c:pt>
                <c:pt idx="250">
                  <c:v>3235.9365692962833</c:v>
                </c:pt>
                <c:pt idx="251">
                  <c:v>3311.3112148259115</c:v>
                </c:pt>
                <c:pt idx="252">
                  <c:v>3388.4415613920314</c:v>
                </c:pt>
                <c:pt idx="253">
                  <c:v>3467.3685045253224</c:v>
                </c:pt>
                <c:pt idx="254">
                  <c:v>3548.1338923357539</c:v>
                </c:pt>
                <c:pt idx="255">
                  <c:v>3630.7805477010188</c:v>
                </c:pt>
                <c:pt idx="256">
                  <c:v>3715.352290971724</c:v>
                </c:pt>
                <c:pt idx="257">
                  <c:v>3801.8939632056172</c:v>
                </c:pt>
                <c:pt idx="258">
                  <c:v>3890.451449942811</c:v>
                </c:pt>
                <c:pt idx="259">
                  <c:v>3981.0717055349769</c:v>
                </c:pt>
                <c:pt idx="260">
                  <c:v>4073.8027780411317</c:v>
                </c:pt>
                <c:pt idx="261">
                  <c:v>4168.6938347033583</c:v>
                </c:pt>
                <c:pt idx="262">
                  <c:v>4265.7951880159299</c:v>
                </c:pt>
                <c:pt idx="263">
                  <c:v>4365.1583224016631</c:v>
                </c:pt>
                <c:pt idx="264">
                  <c:v>4466.8359215096343</c:v>
                </c:pt>
                <c:pt idx="265">
                  <c:v>4570.8818961487532</c:v>
                </c:pt>
                <c:pt idx="266">
                  <c:v>4677.3514128719844</c:v>
                </c:pt>
                <c:pt idx="267">
                  <c:v>4786.3009232263848</c:v>
                </c:pt>
                <c:pt idx="268">
                  <c:v>4897.7881936844633</c:v>
                </c:pt>
                <c:pt idx="269">
                  <c:v>5011.8723362727324</c:v>
                </c:pt>
                <c:pt idx="270">
                  <c:v>5128.6138399136489</c:v>
                </c:pt>
                <c:pt idx="271">
                  <c:v>5248.0746024977261</c:v>
                </c:pt>
                <c:pt idx="272">
                  <c:v>5370.3179637025269</c:v>
                </c:pt>
                <c:pt idx="273">
                  <c:v>5495.4087385762541</c:v>
                </c:pt>
                <c:pt idx="274">
                  <c:v>5623.4132519034993</c:v>
                </c:pt>
                <c:pt idx="275">
                  <c:v>5754.399373371567</c:v>
                </c:pt>
                <c:pt idx="276">
                  <c:v>5888.4365535558973</c:v>
                </c:pt>
                <c:pt idx="277">
                  <c:v>6025.595860743585</c:v>
                </c:pt>
                <c:pt idx="278">
                  <c:v>6165.9500186148289</c:v>
                </c:pt>
                <c:pt idx="279">
                  <c:v>6309.5734448019384</c:v>
                </c:pt>
                <c:pt idx="280">
                  <c:v>6456.5422903465615</c:v>
                </c:pt>
                <c:pt idx="281">
                  <c:v>6606.9344800759654</c:v>
                </c:pt>
                <c:pt idx="282">
                  <c:v>6760.8297539198229</c:v>
                </c:pt>
                <c:pt idx="283">
                  <c:v>6918.3097091893687</c:v>
                </c:pt>
                <c:pt idx="284">
                  <c:v>7079.4578438413828</c:v>
                </c:pt>
                <c:pt idx="285">
                  <c:v>7244.3596007499036</c:v>
                </c:pt>
                <c:pt idx="286">
                  <c:v>7413.1024130091773</c:v>
                </c:pt>
                <c:pt idx="287">
                  <c:v>7585.7757502918394</c:v>
                </c:pt>
                <c:pt idx="288">
                  <c:v>7762.4711662869322</c:v>
                </c:pt>
                <c:pt idx="289">
                  <c:v>7943.2823472428154</c:v>
                </c:pt>
                <c:pt idx="290">
                  <c:v>8128.3051616410066</c:v>
                </c:pt>
                <c:pt idx="291">
                  <c:v>8317.6377110267094</c:v>
                </c:pt>
                <c:pt idx="292">
                  <c:v>8511.3803820237772</c:v>
                </c:pt>
                <c:pt idx="293">
                  <c:v>8709.6358995608189</c:v>
                </c:pt>
                <c:pt idx="294">
                  <c:v>8912.5093813374679</c:v>
                </c:pt>
                <c:pt idx="295">
                  <c:v>9120.1083935591087</c:v>
                </c:pt>
                <c:pt idx="296">
                  <c:v>9332.5430079699217</c:v>
                </c:pt>
                <c:pt idx="297">
                  <c:v>9549.9258602143691</c:v>
                </c:pt>
                <c:pt idx="298">
                  <c:v>9772.3722095581161</c:v>
                </c:pt>
                <c:pt idx="299">
                  <c:v>10000</c:v>
                </c:pt>
                <c:pt idx="300">
                  <c:v>10232.929922807549</c:v>
                </c:pt>
                <c:pt idx="301">
                  <c:v>10471.285480509003</c:v>
                </c:pt>
                <c:pt idx="302">
                  <c:v>10715.193052376071</c:v>
                </c:pt>
                <c:pt idx="303">
                  <c:v>10964.781961431856</c:v>
                </c:pt>
                <c:pt idx="304">
                  <c:v>11220.184543019639</c:v>
                </c:pt>
                <c:pt idx="305">
                  <c:v>11481.536214968832</c:v>
                </c:pt>
                <c:pt idx="306">
                  <c:v>11748.975549395318</c:v>
                </c:pt>
                <c:pt idx="307">
                  <c:v>12022.644346174151</c:v>
                </c:pt>
                <c:pt idx="308">
                  <c:v>12302.687708123816</c:v>
                </c:pt>
                <c:pt idx="309">
                  <c:v>12589.254117941671</c:v>
                </c:pt>
                <c:pt idx="310">
                  <c:v>12882.49551693136</c:v>
                </c:pt>
                <c:pt idx="311">
                  <c:v>13182.567385564091</c:v>
                </c:pt>
                <c:pt idx="312">
                  <c:v>13489.628825916556</c:v>
                </c:pt>
                <c:pt idx="313">
                  <c:v>13803.842646028841</c:v>
                </c:pt>
                <c:pt idx="314">
                  <c:v>14125.375446227561</c:v>
                </c:pt>
                <c:pt idx="315">
                  <c:v>14454.397707459291</c:v>
                </c:pt>
                <c:pt idx="316">
                  <c:v>14791.083881682089</c:v>
                </c:pt>
                <c:pt idx="317">
                  <c:v>15135.612484362096</c:v>
                </c:pt>
                <c:pt idx="318">
                  <c:v>15488.166189124853</c:v>
                </c:pt>
                <c:pt idx="319">
                  <c:v>15848.931924611146</c:v>
                </c:pt>
                <c:pt idx="320">
                  <c:v>16218.100973589309</c:v>
                </c:pt>
                <c:pt idx="321">
                  <c:v>16595.869074375616</c:v>
                </c:pt>
                <c:pt idx="322">
                  <c:v>16982.436524617482</c:v>
                </c:pt>
                <c:pt idx="323">
                  <c:v>17378.008287493791</c:v>
                </c:pt>
                <c:pt idx="324">
                  <c:v>17782.794100389234</c:v>
                </c:pt>
                <c:pt idx="325">
                  <c:v>18197.008586099837</c:v>
                </c:pt>
                <c:pt idx="326">
                  <c:v>18620.871366628675</c:v>
                </c:pt>
                <c:pt idx="327">
                  <c:v>19054.607179632505</c:v>
                </c:pt>
                <c:pt idx="328">
                  <c:v>19498.445997580486</c:v>
                </c:pt>
                <c:pt idx="329">
                  <c:v>19952.623149688792</c:v>
                </c:pt>
                <c:pt idx="330">
                  <c:v>20417.379446695286</c:v>
                </c:pt>
                <c:pt idx="331">
                  <c:v>20892.961308540423</c:v>
                </c:pt>
                <c:pt idx="332">
                  <c:v>21379.620895022348</c:v>
                </c:pt>
                <c:pt idx="333">
                  <c:v>21877.61623949555</c:v>
                </c:pt>
                <c:pt idx="334">
                  <c:v>22387.211385683382</c:v>
                </c:pt>
                <c:pt idx="335">
                  <c:v>22908.676527677751</c:v>
                </c:pt>
                <c:pt idx="336">
                  <c:v>23442.288153199243</c:v>
                </c:pt>
                <c:pt idx="337">
                  <c:v>23988.329190194923</c:v>
                </c:pt>
                <c:pt idx="338">
                  <c:v>24547.089156850321</c:v>
                </c:pt>
                <c:pt idx="339">
                  <c:v>25118.86431509586</c:v>
                </c:pt>
                <c:pt idx="340">
                  <c:v>25703.95782768865</c:v>
                </c:pt>
                <c:pt idx="341">
                  <c:v>26302.679918953829</c:v>
                </c:pt>
                <c:pt idx="342">
                  <c:v>26915.348039269167</c:v>
                </c:pt>
                <c:pt idx="343">
                  <c:v>27542.287033381719</c:v>
                </c:pt>
                <c:pt idx="344">
                  <c:v>28183.829312644593</c:v>
                </c:pt>
                <c:pt idx="345">
                  <c:v>28840.315031266062</c:v>
                </c:pt>
                <c:pt idx="346">
                  <c:v>29512.092266663854</c:v>
                </c:pt>
                <c:pt idx="347">
                  <c:v>30199.517204020212</c:v>
                </c:pt>
                <c:pt idx="348">
                  <c:v>30902.954325135954</c:v>
                </c:pt>
                <c:pt idx="349">
                  <c:v>31622.77660168384</c:v>
                </c:pt>
                <c:pt idx="350">
                  <c:v>32359.365692962871</c:v>
                </c:pt>
                <c:pt idx="351">
                  <c:v>33113.11214825909</c:v>
                </c:pt>
                <c:pt idx="352">
                  <c:v>33884.41561392029</c:v>
                </c:pt>
                <c:pt idx="353">
                  <c:v>34673.685045253202</c:v>
                </c:pt>
                <c:pt idx="354">
                  <c:v>35481.33892335758</c:v>
                </c:pt>
                <c:pt idx="355">
                  <c:v>36307.805477010232</c:v>
                </c:pt>
                <c:pt idx="356">
                  <c:v>37153.522909717351</c:v>
                </c:pt>
                <c:pt idx="357">
                  <c:v>38018.939632056143</c:v>
                </c:pt>
                <c:pt idx="358">
                  <c:v>38904.514499428085</c:v>
                </c:pt>
                <c:pt idx="359">
                  <c:v>39810.717055349742</c:v>
                </c:pt>
                <c:pt idx="360">
                  <c:v>40738.027780411358</c:v>
                </c:pt>
                <c:pt idx="361">
                  <c:v>41686.938347033625</c:v>
                </c:pt>
                <c:pt idx="362">
                  <c:v>42657.951880159271</c:v>
                </c:pt>
                <c:pt idx="363">
                  <c:v>43651.583224016598</c:v>
                </c:pt>
                <c:pt idx="364">
                  <c:v>44668.359215096389</c:v>
                </c:pt>
                <c:pt idx="365">
                  <c:v>45708.818961487581</c:v>
                </c:pt>
                <c:pt idx="366">
                  <c:v>46773.514128719893</c:v>
                </c:pt>
                <c:pt idx="367">
                  <c:v>47863.009232263823</c:v>
                </c:pt>
                <c:pt idx="368">
                  <c:v>48977.881936844598</c:v>
                </c:pt>
                <c:pt idx="369">
                  <c:v>50118.723362727294</c:v>
                </c:pt>
                <c:pt idx="370">
                  <c:v>51286.138399136544</c:v>
                </c:pt>
                <c:pt idx="371">
                  <c:v>52480.746024977314</c:v>
                </c:pt>
                <c:pt idx="372">
                  <c:v>53703.179637025423</c:v>
                </c:pt>
                <c:pt idx="373">
                  <c:v>54954.087385762505</c:v>
                </c:pt>
                <c:pt idx="374">
                  <c:v>56234.132519034953</c:v>
                </c:pt>
                <c:pt idx="375">
                  <c:v>57543.993733715732</c:v>
                </c:pt>
                <c:pt idx="376">
                  <c:v>58884.365535558936</c:v>
                </c:pt>
                <c:pt idx="377">
                  <c:v>60255.95860743591</c:v>
                </c:pt>
                <c:pt idx="378">
                  <c:v>61659.500186148245</c:v>
                </c:pt>
                <c:pt idx="379">
                  <c:v>63095.734448019342</c:v>
                </c:pt>
                <c:pt idx="380">
                  <c:v>64565.422903465682</c:v>
                </c:pt>
                <c:pt idx="381">
                  <c:v>66069.344800759733</c:v>
                </c:pt>
                <c:pt idx="382">
                  <c:v>67608.297539198305</c:v>
                </c:pt>
                <c:pt idx="383">
                  <c:v>69183.097091893651</c:v>
                </c:pt>
                <c:pt idx="384">
                  <c:v>70794.578438413781</c:v>
                </c:pt>
                <c:pt idx="385">
                  <c:v>72443.596007499116</c:v>
                </c:pt>
                <c:pt idx="386">
                  <c:v>74131.024130091857</c:v>
                </c:pt>
                <c:pt idx="387">
                  <c:v>75857.757502918481</c:v>
                </c:pt>
                <c:pt idx="388">
                  <c:v>77624.711662869129</c:v>
                </c:pt>
                <c:pt idx="389">
                  <c:v>79432.823472428237</c:v>
                </c:pt>
                <c:pt idx="390">
                  <c:v>81283.051616410012</c:v>
                </c:pt>
                <c:pt idx="391">
                  <c:v>83176.377110267174</c:v>
                </c:pt>
                <c:pt idx="392">
                  <c:v>85113.803820237721</c:v>
                </c:pt>
                <c:pt idx="393">
                  <c:v>87096.358995608127</c:v>
                </c:pt>
                <c:pt idx="394">
                  <c:v>89125.093813374609</c:v>
                </c:pt>
                <c:pt idx="395">
                  <c:v>91201.083935591028</c:v>
                </c:pt>
                <c:pt idx="396">
                  <c:v>93325.430079699145</c:v>
                </c:pt>
                <c:pt idx="397">
                  <c:v>95499.258602143804</c:v>
                </c:pt>
                <c:pt idx="398">
                  <c:v>97723.722095581266</c:v>
                </c:pt>
                <c:pt idx="399">
                  <c:v>100000</c:v>
                </c:pt>
                <c:pt idx="400">
                  <c:v>102329.29922807543</c:v>
                </c:pt>
                <c:pt idx="401">
                  <c:v>104712.85480508996</c:v>
                </c:pt>
                <c:pt idx="402">
                  <c:v>107151.93052376082</c:v>
                </c:pt>
                <c:pt idx="403">
                  <c:v>109647.81961431868</c:v>
                </c:pt>
                <c:pt idx="404">
                  <c:v>112201.84543019651</c:v>
                </c:pt>
                <c:pt idx="405">
                  <c:v>114815.36214968823</c:v>
                </c:pt>
                <c:pt idx="406">
                  <c:v>117489.75549395311</c:v>
                </c:pt>
                <c:pt idx="407">
                  <c:v>120226.44346174144</c:v>
                </c:pt>
                <c:pt idx="408">
                  <c:v>123026.87708123829</c:v>
                </c:pt>
                <c:pt idx="409">
                  <c:v>125892.54117941685</c:v>
                </c:pt>
                <c:pt idx="410">
                  <c:v>128824.95516931375</c:v>
                </c:pt>
                <c:pt idx="411">
                  <c:v>131825.67385564081</c:v>
                </c:pt>
                <c:pt idx="412">
                  <c:v>134896.28825916545</c:v>
                </c:pt>
                <c:pt idx="413">
                  <c:v>138038.42646028858</c:v>
                </c:pt>
                <c:pt idx="414">
                  <c:v>141253.75446227577</c:v>
                </c:pt>
                <c:pt idx="415">
                  <c:v>144543.97707459307</c:v>
                </c:pt>
                <c:pt idx="416">
                  <c:v>147910.83881682079</c:v>
                </c:pt>
                <c:pt idx="417">
                  <c:v>151356.12484362084</c:v>
                </c:pt>
                <c:pt idx="418">
                  <c:v>154881.66189124843</c:v>
                </c:pt>
                <c:pt idx="419">
                  <c:v>158489.31924611164</c:v>
                </c:pt>
                <c:pt idx="420">
                  <c:v>162181.00973589328</c:v>
                </c:pt>
                <c:pt idx="421">
                  <c:v>165958.69074375604</c:v>
                </c:pt>
                <c:pt idx="422">
                  <c:v>169824.36524617471</c:v>
                </c:pt>
                <c:pt idx="423">
                  <c:v>173780.0828749378</c:v>
                </c:pt>
                <c:pt idx="424">
                  <c:v>177827.94100389251</c:v>
                </c:pt>
                <c:pt idx="425">
                  <c:v>181970.08586099857</c:v>
                </c:pt>
                <c:pt idx="426">
                  <c:v>186208.71366628664</c:v>
                </c:pt>
                <c:pt idx="427">
                  <c:v>190546.07179632492</c:v>
                </c:pt>
                <c:pt idx="428">
                  <c:v>194984.45997580473</c:v>
                </c:pt>
                <c:pt idx="429">
                  <c:v>199526.23149688813</c:v>
                </c:pt>
                <c:pt idx="430">
                  <c:v>204173.79446695308</c:v>
                </c:pt>
                <c:pt idx="431">
                  <c:v>208929.61308540447</c:v>
                </c:pt>
                <c:pt idx="432">
                  <c:v>213796.20895022334</c:v>
                </c:pt>
                <c:pt idx="433">
                  <c:v>218776.16239495538</c:v>
                </c:pt>
                <c:pt idx="434">
                  <c:v>223872.11385683404</c:v>
                </c:pt>
                <c:pt idx="435">
                  <c:v>229086.76527677779</c:v>
                </c:pt>
                <c:pt idx="436">
                  <c:v>234422.88153199267</c:v>
                </c:pt>
                <c:pt idx="437">
                  <c:v>239883.29190194907</c:v>
                </c:pt>
                <c:pt idx="438">
                  <c:v>245470.89156850305</c:v>
                </c:pt>
                <c:pt idx="439">
                  <c:v>251188.64315095844</c:v>
                </c:pt>
                <c:pt idx="440">
                  <c:v>257039.57827688678</c:v>
                </c:pt>
                <c:pt idx="441">
                  <c:v>263026.79918953858</c:v>
                </c:pt>
                <c:pt idx="442">
                  <c:v>269153.48039269145</c:v>
                </c:pt>
                <c:pt idx="443">
                  <c:v>275422.87033381703</c:v>
                </c:pt>
                <c:pt idx="444">
                  <c:v>281838.29312644573</c:v>
                </c:pt>
                <c:pt idx="445">
                  <c:v>288403.1503126609</c:v>
                </c:pt>
                <c:pt idx="446">
                  <c:v>295120.92266663886</c:v>
                </c:pt>
                <c:pt idx="447">
                  <c:v>301995.17204020242</c:v>
                </c:pt>
                <c:pt idx="448">
                  <c:v>309029.54325135931</c:v>
                </c:pt>
                <c:pt idx="449">
                  <c:v>316227.7660168382</c:v>
                </c:pt>
                <c:pt idx="450">
                  <c:v>323593.65692962846</c:v>
                </c:pt>
                <c:pt idx="451">
                  <c:v>331131.12148259126</c:v>
                </c:pt>
                <c:pt idx="452">
                  <c:v>338844.15613920329</c:v>
                </c:pt>
                <c:pt idx="453">
                  <c:v>346736.85045253241</c:v>
                </c:pt>
                <c:pt idx="454">
                  <c:v>354813.38923357555</c:v>
                </c:pt>
                <c:pt idx="455">
                  <c:v>363078.05477010203</c:v>
                </c:pt>
                <c:pt idx="456">
                  <c:v>371535.2290971732</c:v>
                </c:pt>
                <c:pt idx="457">
                  <c:v>380189.39632056188</c:v>
                </c:pt>
                <c:pt idx="458">
                  <c:v>389045.14499428123</c:v>
                </c:pt>
                <c:pt idx="459">
                  <c:v>398107.17055349716</c:v>
                </c:pt>
                <c:pt idx="460">
                  <c:v>407380.27780411334</c:v>
                </c:pt>
                <c:pt idx="461">
                  <c:v>416869.38347033598</c:v>
                </c:pt>
                <c:pt idx="462">
                  <c:v>426579.51880159322</c:v>
                </c:pt>
                <c:pt idx="463">
                  <c:v>436515.83224016649</c:v>
                </c:pt>
                <c:pt idx="464">
                  <c:v>446683.59215096442</c:v>
                </c:pt>
                <c:pt idx="465">
                  <c:v>457088.18961487547</c:v>
                </c:pt>
                <c:pt idx="466">
                  <c:v>467735.14128719864</c:v>
                </c:pt>
                <c:pt idx="467">
                  <c:v>478630.09232263872</c:v>
                </c:pt>
                <c:pt idx="468">
                  <c:v>489778.81936844654</c:v>
                </c:pt>
                <c:pt idx="469">
                  <c:v>501187.23362727347</c:v>
                </c:pt>
                <c:pt idx="470">
                  <c:v>512861.38399136515</c:v>
                </c:pt>
                <c:pt idx="471">
                  <c:v>524807.46024977288</c:v>
                </c:pt>
                <c:pt idx="472">
                  <c:v>537031.7963702539</c:v>
                </c:pt>
                <c:pt idx="473">
                  <c:v>549540.87385762564</c:v>
                </c:pt>
                <c:pt idx="474">
                  <c:v>562341.32519035018</c:v>
                </c:pt>
                <c:pt idx="475">
                  <c:v>575439.93733715697</c:v>
                </c:pt>
                <c:pt idx="476">
                  <c:v>588843.65535558888</c:v>
                </c:pt>
                <c:pt idx="477">
                  <c:v>602559.58607435878</c:v>
                </c:pt>
                <c:pt idx="478">
                  <c:v>616595.00186148309</c:v>
                </c:pt>
                <c:pt idx="479">
                  <c:v>630957.34448019415</c:v>
                </c:pt>
                <c:pt idx="480">
                  <c:v>645654.22903465747</c:v>
                </c:pt>
                <c:pt idx="481">
                  <c:v>660693.44800759677</c:v>
                </c:pt>
                <c:pt idx="482">
                  <c:v>676082.97539198259</c:v>
                </c:pt>
                <c:pt idx="483">
                  <c:v>691830.97091893724</c:v>
                </c:pt>
                <c:pt idx="484">
                  <c:v>707945.78438413853</c:v>
                </c:pt>
                <c:pt idx="485">
                  <c:v>724435.96007499192</c:v>
                </c:pt>
                <c:pt idx="486">
                  <c:v>741310.24130091805</c:v>
                </c:pt>
                <c:pt idx="487">
                  <c:v>758577.57502918423</c:v>
                </c:pt>
                <c:pt idx="488">
                  <c:v>776247.11662869214</c:v>
                </c:pt>
                <c:pt idx="489">
                  <c:v>794328.23472428333</c:v>
                </c:pt>
                <c:pt idx="490">
                  <c:v>812830.51616410096</c:v>
                </c:pt>
                <c:pt idx="491">
                  <c:v>831763.77110267128</c:v>
                </c:pt>
                <c:pt idx="492">
                  <c:v>851138.03820237669</c:v>
                </c:pt>
                <c:pt idx="493">
                  <c:v>870963.58995608077</c:v>
                </c:pt>
                <c:pt idx="494">
                  <c:v>891250.93813374708</c:v>
                </c:pt>
                <c:pt idx="495">
                  <c:v>912010.83935591124</c:v>
                </c:pt>
                <c:pt idx="496">
                  <c:v>933254.30079699249</c:v>
                </c:pt>
                <c:pt idx="497">
                  <c:v>954992.58602143743</c:v>
                </c:pt>
                <c:pt idx="498">
                  <c:v>977237.22095581202</c:v>
                </c:pt>
                <c:pt idx="499">
                  <c:v>1000000</c:v>
                </c:pt>
                <c:pt idx="500">
                  <c:v>1023292.9922807553</c:v>
                </c:pt>
                <c:pt idx="501">
                  <c:v>1047128.5480509007</c:v>
                </c:pt>
                <c:pt idx="502">
                  <c:v>1071519.3052376076</c:v>
                </c:pt>
                <c:pt idx="503">
                  <c:v>1096478.196143186</c:v>
                </c:pt>
                <c:pt idx="504">
                  <c:v>1122018.4543019643</c:v>
                </c:pt>
                <c:pt idx="505">
                  <c:v>1148153.6214968837</c:v>
                </c:pt>
                <c:pt idx="506">
                  <c:v>1174897.5549395324</c:v>
                </c:pt>
                <c:pt idx="507">
                  <c:v>1202264.4346174158</c:v>
                </c:pt>
                <c:pt idx="508">
                  <c:v>1230268.770812382</c:v>
                </c:pt>
                <c:pt idx="509">
                  <c:v>1258925.4117941677</c:v>
                </c:pt>
                <c:pt idx="510">
                  <c:v>1288249.5516931366</c:v>
                </c:pt>
                <c:pt idx="511">
                  <c:v>1318256.7385564097</c:v>
                </c:pt>
                <c:pt idx="512">
                  <c:v>1348962.8825916562</c:v>
                </c:pt>
                <c:pt idx="513">
                  <c:v>1380384.2646028849</c:v>
                </c:pt>
                <c:pt idx="514">
                  <c:v>1412537.5446227565</c:v>
                </c:pt>
                <c:pt idx="515">
                  <c:v>1445439.7707459298</c:v>
                </c:pt>
                <c:pt idx="516">
                  <c:v>1479108.3881682095</c:v>
                </c:pt>
                <c:pt idx="517">
                  <c:v>1513561.2484362102</c:v>
                </c:pt>
                <c:pt idx="518">
                  <c:v>1548816.6189124861</c:v>
                </c:pt>
                <c:pt idx="519">
                  <c:v>1584893.1924611153</c:v>
                </c:pt>
                <c:pt idx="520">
                  <c:v>1621810.0973589318</c:v>
                </c:pt>
                <c:pt idx="521">
                  <c:v>1659586.9074375622</c:v>
                </c:pt>
                <c:pt idx="522">
                  <c:v>1698243.6524617488</c:v>
                </c:pt>
                <c:pt idx="523">
                  <c:v>1737800.8287493798</c:v>
                </c:pt>
                <c:pt idx="524">
                  <c:v>1778279.4100389241</c:v>
                </c:pt>
                <c:pt idx="525">
                  <c:v>1819700.8586099846</c:v>
                </c:pt>
                <c:pt idx="526">
                  <c:v>1862087.1366628683</c:v>
                </c:pt>
                <c:pt idx="527">
                  <c:v>1905460.7179632513</c:v>
                </c:pt>
                <c:pt idx="528">
                  <c:v>1949844.5997580495</c:v>
                </c:pt>
                <c:pt idx="529">
                  <c:v>1995262.31496888</c:v>
                </c:pt>
                <c:pt idx="530">
                  <c:v>2041737.9446695296</c:v>
                </c:pt>
                <c:pt idx="531">
                  <c:v>2089296.1308540432</c:v>
                </c:pt>
                <c:pt idx="532">
                  <c:v>2137962.0895022359</c:v>
                </c:pt>
                <c:pt idx="533">
                  <c:v>2187761.6239495561</c:v>
                </c:pt>
                <c:pt idx="534">
                  <c:v>2238721.1385683389</c:v>
                </c:pt>
                <c:pt idx="535">
                  <c:v>2290867.6527677765</c:v>
                </c:pt>
                <c:pt idx="536">
                  <c:v>2344228.8153199251</c:v>
                </c:pt>
                <c:pt idx="537">
                  <c:v>2398832.9190194933</c:v>
                </c:pt>
                <c:pt idx="538">
                  <c:v>2454708.915685033</c:v>
                </c:pt>
                <c:pt idx="539">
                  <c:v>2511886.431509587</c:v>
                </c:pt>
                <c:pt idx="540">
                  <c:v>2570395.782768866</c:v>
                </c:pt>
                <c:pt idx="541">
                  <c:v>2630267.9918953842</c:v>
                </c:pt>
              </c:numCache>
            </c:numRef>
          </c:xVal>
          <c:yVal>
            <c:numRef>
              <c:f>Control_Loop_Tables!$BI$19:$BI$560</c:f>
              <c:numCache>
                <c:formatCode>0.000</c:formatCode>
                <c:ptCount val="542"/>
                <c:pt idx="0">
                  <c:v>43.444374187696241</c:v>
                </c:pt>
                <c:pt idx="1">
                  <c:v>43.254398687325583</c:v>
                </c:pt>
                <c:pt idx="2">
                  <c:v>43.064217503581958</c:v>
                </c:pt>
                <c:pt idx="3">
                  <c:v>42.873826838171325</c:v>
                </c:pt>
                <c:pt idx="4">
                  <c:v>42.683223485489947</c:v>
                </c:pt>
                <c:pt idx="5">
                  <c:v>42.492404818977747</c:v>
                </c:pt>
                <c:pt idx="6">
                  <c:v>42.301368774947832</c:v>
                </c:pt>
                <c:pt idx="7">
                  <c:v>42.110113834169603</c:v>
                </c:pt>
                <c:pt idx="8">
                  <c:v>41.918639001490583</c:v>
                </c:pt>
                <c:pt idx="9">
                  <c:v>41.726943783776619</c:v>
                </c:pt>
                <c:pt idx="10">
                  <c:v>41.535028166449699</c:v>
                </c:pt>
                <c:pt idx="11">
                  <c:v>41.342892588893392</c:v>
                </c:pt>
                <c:pt idx="12">
                  <c:v>41.150537918986146</c:v>
                </c:pt>
                <c:pt idx="13">
                  <c:v>40.957965427010379</c:v>
                </c:pt>
                <c:pt idx="14">
                  <c:v>40.765176759170828</c:v>
                </c:pt>
                <c:pt idx="15">
                  <c:v>40.572173910939952</c:v>
                </c:pt>
                <c:pt idx="16">
                  <c:v>40.378959200429605</c:v>
                </c:pt>
                <c:pt idx="17">
                  <c:v>40.185535241973732</c:v>
                </c:pt>
                <c:pt idx="18">
                  <c:v>39.991904920085318</c:v>
                </c:pt>
                <c:pt idx="19">
                  <c:v>39.798071363933573</c:v>
                </c:pt>
                <c:pt idx="20">
                  <c:v>39.604037922471605</c:v>
                </c:pt>
                <c:pt idx="21">
                  <c:v>39.409808140322468</c:v>
                </c:pt>
                <c:pt idx="22">
                  <c:v>39.215385734520403</c:v>
                </c:pt>
                <c:pt idx="23">
                  <c:v>39.020774572180706</c:v>
                </c:pt>
                <c:pt idx="24">
                  <c:v>38.825978649164007</c:v>
                </c:pt>
                <c:pt idx="25">
                  <c:v>38.631002069779981</c:v>
                </c:pt>
                <c:pt idx="26">
                  <c:v>38.435849027565794</c:v>
                </c:pt>
                <c:pt idx="27">
                  <c:v>38.240523787161358</c:v>
                </c:pt>
                <c:pt idx="28">
                  <c:v>38.045030667292174</c:v>
                </c:pt>
                <c:pt idx="29">
                  <c:v>37.849374024861341</c:v>
                </c:pt>
                <c:pt idx="30">
                  <c:v>37.653558240143113</c:v>
                </c:pt>
                <c:pt idx="31">
                  <c:v>37.457587703062082</c:v>
                </c:pt>
                <c:pt idx="32">
                  <c:v>37.261466800537121</c:v>
                </c:pt>
                <c:pt idx="33">
                  <c:v>37.065199904861508</c:v>
                </c:pt>
                <c:pt idx="34">
                  <c:v>36.868791363087297</c:v>
                </c:pt>
                <c:pt idx="35">
                  <c:v>36.672245487377772</c:v>
                </c:pt>
                <c:pt idx="36">
                  <c:v>36.475566546288469</c:v>
                </c:pt>
                <c:pt idx="37">
                  <c:v>36.278758756934572</c:v>
                </c:pt>
                <c:pt idx="38">
                  <c:v>36.081826278002694</c:v>
                </c:pt>
                <c:pt idx="39">
                  <c:v>35.884773203560705</c:v>
                </c:pt>
                <c:pt idx="40">
                  <c:v>35.687603557622595</c:v>
                </c:pt>
                <c:pt idx="41">
                  <c:v>35.490321289419938</c:v>
                </c:pt>
                <c:pt idx="42">
                  <c:v>35.292930269338868</c:v>
                </c:pt>
                <c:pt idx="43">
                  <c:v>35.095434285475676</c:v>
                </c:pt>
                <c:pt idx="44">
                  <c:v>34.897837040767151</c:v>
                </c:pt>
                <c:pt idx="45">
                  <c:v>34.700142150655452</c:v>
                </c:pt>
                <c:pt idx="46">
                  <c:v>34.502353141244747</c:v>
                </c:pt>
                <c:pt idx="47">
                  <c:v>34.304473447910404</c:v>
                </c:pt>
                <c:pt idx="48">
                  <c:v>34.106506414323832</c:v>
                </c:pt>
                <c:pt idx="49">
                  <c:v>33.908455291855105</c:v>
                </c:pt>
                <c:pt idx="50">
                  <c:v>33.710323239320374</c:v>
                </c:pt>
                <c:pt idx="51">
                  <c:v>33.512113323041049</c:v>
                </c:pt>
                <c:pt idx="52">
                  <c:v>33.313828517183445</c:v>
                </c:pt>
                <c:pt idx="53">
                  <c:v>33.115471704350135</c:v>
                </c:pt>
                <c:pt idx="54">
                  <c:v>32.917045676397315</c:v>
                </c:pt>
                <c:pt idx="55">
                  <c:v>32.718553135449277</c:v>
                </c:pt>
                <c:pt idx="56">
                  <c:v>32.519996695091024</c:v>
                </c:pt>
                <c:pt idx="57">
                  <c:v>32.321378881712469</c:v>
                </c:pt>
                <c:pt idx="58">
                  <c:v>32.122702135987147</c:v>
                </c:pt>
                <c:pt idx="59">
                  <c:v>31.923968814465027</c:v>
                </c:pt>
                <c:pt idx="60">
                  <c:v>31.725181191262291</c:v>
                </c:pt>
                <c:pt idx="61">
                  <c:v>31.52634145983242</c:v>
                </c:pt>
                <c:pt idx="62">
                  <c:v>31.327451734804018</c:v>
                </c:pt>
                <c:pt idx="63">
                  <c:v>31.128514053871914</c:v>
                </c:pt>
                <c:pt idx="64">
                  <c:v>30.929530379729002</c:v>
                </c:pt>
                <c:pt idx="65">
                  <c:v>30.730502602028906</c:v>
                </c:pt>
                <c:pt idx="66">
                  <c:v>30.531432539368527</c:v>
                </c:pt>
                <c:pt idx="67">
                  <c:v>30.332321941281929</c:v>
                </c:pt>
                <c:pt idx="68">
                  <c:v>30.133172490237161</c:v>
                </c:pt>
                <c:pt idx="69">
                  <c:v>29.933985803629923</c:v>
                </c:pt>
                <c:pt idx="70">
                  <c:v>29.734763435765664</c:v>
                </c:pt>
                <c:pt idx="71">
                  <c:v>29.535506879826862</c:v>
                </c:pt>
                <c:pt idx="72">
                  <c:v>29.336217569818341</c:v>
                </c:pt>
                <c:pt idx="73">
                  <c:v>29.13689688248764</c:v>
                </c:pt>
                <c:pt idx="74">
                  <c:v>28.937546139215801</c:v>
                </c:pt>
                <c:pt idx="75">
                  <c:v>28.738166607876039</c:v>
                </c:pt>
                <c:pt idx="76">
                  <c:v>28.538759504656465</c:v>
                </c:pt>
                <c:pt idx="77">
                  <c:v>28.339325995845748</c:v>
                </c:pt>
                <c:pt idx="78">
                  <c:v>28.139867199578109</c:v>
                </c:pt>
                <c:pt idx="79">
                  <c:v>27.940384187538395</c:v>
                </c:pt>
                <c:pt idx="80">
                  <c:v>27.740877986622479</c:v>
                </c:pt>
                <c:pt idx="81">
                  <c:v>27.541349580555799</c:v>
                </c:pt>
                <c:pt idx="82">
                  <c:v>27.341799911466609</c:v>
                </c:pt>
                <c:pt idx="83">
                  <c:v>27.14222988141384</c:v>
                </c:pt>
                <c:pt idx="84">
                  <c:v>26.942640353870694</c:v>
                </c:pt>
                <c:pt idx="85">
                  <c:v>26.743032155161949</c:v>
                </c:pt>
                <c:pt idx="86">
                  <c:v>26.543406075856026</c:v>
                </c:pt>
                <c:pt idx="87">
                  <c:v>26.343762872112791</c:v>
                </c:pt>
                <c:pt idx="88">
                  <c:v>26.144103266984406</c:v>
                </c:pt>
                <c:pt idx="89">
                  <c:v>25.94442795167431</c:v>
                </c:pt>
                <c:pt idx="90">
                  <c:v>25.744737586750386</c:v>
                </c:pt>
                <c:pt idx="91">
                  <c:v>25.54503280331496</c:v>
                </c:pt>
                <c:pt idx="92">
                  <c:v>25.345314204133317</c:v>
                </c:pt>
                <c:pt idx="93">
                  <c:v>25.145582364718805</c:v>
                </c:pt>
                <c:pt idx="94">
                  <c:v>24.945837834378079</c:v>
                </c:pt>
                <c:pt idx="95">
                  <c:v>24.746081137214695</c:v>
                </c:pt>
                <c:pt idx="96">
                  <c:v>24.546312773094741</c:v>
                </c:pt>
                <c:pt idx="97">
                  <c:v>24.346533218572336</c:v>
                </c:pt>
                <c:pt idx="98">
                  <c:v>24.146742927778561</c:v>
                </c:pt>
                <c:pt idx="99">
                  <c:v>23.946942333272677</c:v>
                </c:pt>
                <c:pt idx="100">
                  <c:v>23.747131846858519</c:v>
                </c:pt>
                <c:pt idx="101">
                  <c:v>23.547311860364847</c:v>
                </c:pt>
                <c:pt idx="102">
                  <c:v>23.347482746392107</c:v>
                </c:pt>
                <c:pt idx="103">
                  <c:v>23.147644859025995</c:v>
                </c:pt>
                <c:pt idx="104">
                  <c:v>22.947798534518693</c:v>
                </c:pt>
                <c:pt idx="105">
                  <c:v>22.747944091938557</c:v>
                </c:pt>
                <c:pt idx="106">
                  <c:v>22.548081833789638</c:v>
                </c:pt>
                <c:pt idx="107">
                  <c:v>22.348212046600789</c:v>
                </c:pt>
                <c:pt idx="108">
                  <c:v>22.148335001486736</c:v>
                </c:pt>
                <c:pt idx="109">
                  <c:v>21.948450954680329</c:v>
                </c:pt>
                <c:pt idx="110">
                  <c:v>21.748560148038276</c:v>
                </c:pt>
                <c:pt idx="111">
                  <c:v>21.548662809519033</c:v>
                </c:pt>
                <c:pt idx="112">
                  <c:v>21.348759153636689</c:v>
                </c:pt>
                <c:pt idx="113">
                  <c:v>21.148849381888066</c:v>
                </c:pt>
                <c:pt idx="114">
                  <c:v>20.948933683156579</c:v>
                </c:pt>
                <c:pt idx="115">
                  <c:v>20.74901223409141</c:v>
                </c:pt>
                <c:pt idx="116">
                  <c:v>20.549085199464571</c:v>
                </c:pt>
                <c:pt idx="117">
                  <c:v>20.349152732504322</c:v>
                </c:pt>
                <c:pt idx="118">
                  <c:v>20.149214975207709</c:v>
                </c:pt>
                <c:pt idx="119">
                  <c:v>19.949272058630939</c:v>
                </c:pt>
                <c:pt idx="120">
                  <c:v>19.749324103159335</c:v>
                </c:pt>
                <c:pt idx="121">
                  <c:v>19.549371218756299</c:v>
                </c:pt>
                <c:pt idx="122">
                  <c:v>19.349413505193731</c:v>
                </c:pt>
                <c:pt idx="123">
                  <c:v>19.149451052261327</c:v>
                </c:pt>
                <c:pt idx="124">
                  <c:v>18.949483939958089</c:v>
                </c:pt>
                <c:pt idx="125">
                  <c:v>18.749512238665059</c:v>
                </c:pt>
                <c:pt idx="126">
                  <c:v>18.54953600929916</c:v>
                </c:pt>
                <c:pt idx="127">
                  <c:v>18.349555303449886</c:v>
                </c:pt>
                <c:pt idx="128">
                  <c:v>18.149570163499234</c:v>
                </c:pt>
                <c:pt idx="129">
                  <c:v>17.94958062272168</c:v>
                </c:pt>
                <c:pt idx="130">
                  <c:v>17.749586705371211</c:v>
                </c:pt>
                <c:pt idx="131">
                  <c:v>17.549588426748471</c:v>
                </c:pt>
                <c:pt idx="132">
                  <c:v>17.349585793253745</c:v>
                </c:pt>
                <c:pt idx="133">
                  <c:v>17.14957880242245</c:v>
                </c:pt>
                <c:pt idx="134">
                  <c:v>16.949567442946439</c:v>
                </c:pt>
                <c:pt idx="135">
                  <c:v>16.749551694678161</c:v>
                </c:pt>
                <c:pt idx="136">
                  <c:v>16.549531528620996</c:v>
                </c:pt>
                <c:pt idx="137">
                  <c:v>16.349506906903322</c:v>
                </c:pt>
                <c:pt idx="138">
                  <c:v>16.149477782739041</c:v>
                </c:pt>
                <c:pt idx="139">
                  <c:v>15.949444100372361</c:v>
                </c:pt>
                <c:pt idx="140">
                  <c:v>15.749405795008924</c:v>
                </c:pt>
                <c:pt idx="141">
                  <c:v>15.549362792732753</c:v>
                </c:pt>
                <c:pt idx="142">
                  <c:v>15.349315010409031</c:v>
                </c:pt>
                <c:pt idx="143">
                  <c:v>15.149262355573786</c:v>
                </c:pt>
                <c:pt idx="144">
                  <c:v>14.949204726309876</c:v>
                </c:pt>
                <c:pt idx="145">
                  <c:v>14.749142011109825</c:v>
                </c:pt>
                <c:pt idx="146">
                  <c:v>14.549074088726302</c:v>
                </c:pt>
                <c:pt idx="147">
                  <c:v>14.349000828010212</c:v>
                </c:pt>
                <c:pt idx="148">
                  <c:v>14.148922087736198</c:v>
                </c:pt>
                <c:pt idx="149">
                  <c:v>13.948837716417245</c:v>
                </c:pt>
                <c:pt idx="150">
                  <c:v>13.748747552107973</c:v>
                </c:pt>
                <c:pt idx="151">
                  <c:v>13.548651422196919</c:v>
                </c:pt>
                <c:pt idx="152">
                  <c:v>13.348549143189057</c:v>
                </c:pt>
                <c:pt idx="153">
                  <c:v>13.148440520479001</c:v>
                </c:pt>
                <c:pt idx="154">
                  <c:v>12.948325348115169</c:v>
                </c:pt>
                <c:pt idx="155">
                  <c:v>12.748203408555838</c:v>
                </c:pt>
                <c:pt idx="156">
                  <c:v>12.54807447241916</c:v>
                </c:pt>
                <c:pt idx="157">
                  <c:v>12.347938298225172</c:v>
                </c:pt>
                <c:pt idx="158">
                  <c:v>12.147794632134701</c:v>
                </c:pt>
                <c:pt idx="159">
                  <c:v>11.947643207682713</c:v>
                </c:pt>
                <c:pt idx="160">
                  <c:v>11.747483745510561</c:v>
                </c:pt>
                <c:pt idx="161">
                  <c:v>11.547315953095998</c:v>
                </c:pt>
                <c:pt idx="162">
                  <c:v>11.347139524484133</c:v>
                </c:pt>
                <c:pt idx="163">
                  <c:v>11.146954140020728</c:v>
                </c:pt>
                <c:pt idx="164">
                  <c:v>10.946759466089627</c:v>
                </c:pt>
                <c:pt idx="165">
                  <c:v>10.746555154856148</c:v>
                </c:pt>
                <c:pt idx="166">
                  <c:v>10.54634084402042</c:v>
                </c:pt>
                <c:pt idx="167">
                  <c:v>10.346116156580177</c:v>
                </c:pt>
                <c:pt idx="168">
                  <c:v>10.145880700609197</c:v>
                </c:pt>
                <c:pt idx="169">
                  <c:v>9.9456340690520975</c:v>
                </c:pt>
                <c:pt idx="170">
                  <c:v>9.7453758395399177</c:v>
                </c:pt>
                <c:pt idx="171">
                  <c:v>9.5451055742297264</c:v>
                </c:pt>
                <c:pt idx="172">
                  <c:v>9.3448228196720002</c:v>
                </c:pt>
                <c:pt idx="173">
                  <c:v>9.1445271067105978</c:v>
                </c:pt>
                <c:pt idx="174">
                  <c:v>8.9442179504194339</c:v>
                </c:pt>
                <c:pt idx="175">
                  <c:v>8.7438948500803697</c:v>
                </c:pt>
                <c:pt idx="176">
                  <c:v>8.5435572892090015</c:v>
                </c:pt>
                <c:pt idx="177">
                  <c:v>8.3432047356319678</c:v>
                </c:pt>
                <c:pt idx="178">
                  <c:v>8.1428366416231395</c:v>
                </c:pt>
                <c:pt idx="179">
                  <c:v>7.9424524441051538</c:v>
                </c:pt>
                <c:pt idx="180">
                  <c:v>7.7420515649226118</c:v>
                </c:pt>
                <c:pt idx="181">
                  <c:v>7.5416334111928425</c:v>
                </c:pt>
                <c:pt idx="182">
                  <c:v>7.3411973757453612</c:v>
                </c:pt>
                <c:pt idx="183">
                  <c:v>7.1407428376532325</c:v>
                </c:pt>
                <c:pt idx="184">
                  <c:v>6.940269162868856</c:v>
                </c:pt>
                <c:pt idx="185">
                  <c:v>6.7397757049704303</c:v>
                </c:pt>
                <c:pt idx="186">
                  <c:v>6.5392618060281027</c:v>
                </c:pt>
                <c:pt idx="187">
                  <c:v>6.3387267976002457</c:v>
                </c:pt>
                <c:pt idx="188">
                  <c:v>6.1381700018689731</c:v>
                </c:pt>
                <c:pt idx="189">
                  <c:v>5.9375907329236624</c:v>
                </c:pt>
                <c:pt idx="190">
                  <c:v>5.7369882982037765</c:v>
                </c:pt>
                <c:pt idx="191">
                  <c:v>5.5363620001096567</c:v>
                </c:pt>
                <c:pt idx="192">
                  <c:v>5.3357111377922539</c:v>
                </c:pt>
                <c:pt idx="193">
                  <c:v>5.1350350091313004</c:v>
                </c:pt>
                <c:pt idx="194">
                  <c:v>4.9343329129109605</c:v>
                </c:pt>
                <c:pt idx="195">
                  <c:v>4.7336041512033447</c:v>
                </c:pt>
                <c:pt idx="196">
                  <c:v>4.5328480319674043</c:v>
                </c:pt>
                <c:pt idx="197">
                  <c:v>4.3320638718735456</c:v>
                </c:pt>
                <c:pt idx="198">
                  <c:v>4.131250999358274</c:v>
                </c:pt>
                <c:pt idx="199">
                  <c:v>3.930408757918904</c:v>
                </c:pt>
                <c:pt idx="200">
                  <c:v>3.7295365096508117</c:v>
                </c:pt>
                <c:pt idx="201">
                  <c:v>3.528633639033012</c:v>
                </c:pt>
                <c:pt idx="202">
                  <c:v>3.3276995569636614</c:v>
                </c:pt>
                <c:pt idx="203">
                  <c:v>3.1267337050466888</c:v>
                </c:pt>
                <c:pt idx="204">
                  <c:v>2.9257355601281181</c:v>
                </c:pt>
                <c:pt idx="205">
                  <c:v>2.7247046390775767</c:v>
                </c:pt>
                <c:pt idx="206">
                  <c:v>2.5236405038109648</c:v>
                </c:pt>
                <c:pt idx="207">
                  <c:v>2.3225427665433664</c:v>
                </c:pt>
                <c:pt idx="208">
                  <c:v>2.1214110952622387</c:v>
                </c:pt>
                <c:pt idx="209">
                  <c:v>1.9202452194044515</c:v>
                </c:pt>
                <c:pt idx="210">
                  <c:v>1.7190449357212851</c:v>
                </c:pt>
                <c:pt idx="211">
                  <c:v>1.51781011430698</c:v>
                </c:pt>
                <c:pt idx="212">
                  <c:v>1.3165407047682933</c:v>
                </c:pt>
                <c:pt idx="213">
                  <c:v>1.1152367425052243</c:v>
                </c:pt>
                <c:pt idx="214">
                  <c:v>0.91389835506871175</c:v>
                </c:pt>
                <c:pt idx="215">
                  <c:v>0.71252576856295313</c:v>
                </c:pt>
                <c:pt idx="216">
                  <c:v>0.51111931404845945</c:v>
                </c:pt>
                <c:pt idx="217">
                  <c:v>0.30967943390541364</c:v>
                </c:pt>
                <c:pt idx="218">
                  <c:v>0.10820668810927611</c:v>
                </c:pt>
                <c:pt idx="219">
                  <c:v>-9.3298239628945165E-2</c:v>
                </c:pt>
                <c:pt idx="220">
                  <c:v>-0.29483453591124303</c:v>
                </c:pt>
                <c:pt idx="221">
                  <c:v>-0.49640125194241663</c:v>
                </c:pt>
                <c:pt idx="222">
                  <c:v>-0.69799729811618683</c:v>
                </c:pt>
                <c:pt idx="223">
                  <c:v>-0.89962143895414015</c:v>
                </c:pt>
                <c:pt idx="224">
                  <c:v>-1.1012722884519848</c:v>
                </c:pt>
                <c:pt idx="225">
                  <c:v>-1.3029483058888212</c:v>
                </c:pt>
                <c:pt idx="226">
                  <c:v>-1.5046477921514216</c:v>
                </c:pt>
                <c:pt idx="227">
                  <c:v>-1.7063688866248861</c:v>
                </c:pt>
                <c:pt idx="228">
                  <c:v>-1.908109564693983</c:v>
                </c:pt>
                <c:pt idx="229">
                  <c:v>-2.1098676359003452</c:v>
                </c:pt>
                <c:pt idx="230">
                  <c:v>-2.3116407427872923</c:v>
                </c:pt>
                <c:pt idx="231">
                  <c:v>-2.5134263604653424</c:v>
                </c:pt>
                <c:pt idx="232">
                  <c:v>-2.715221796917175</c:v>
                </c:pt>
                <c:pt idx="233">
                  <c:v>-2.9170241940577051</c:v>
                </c:pt>
                <c:pt idx="234">
                  <c:v>-3.1188305295508534</c:v>
                </c:pt>
                <c:pt idx="235">
                  <c:v>-3.3206376193794718</c:v>
                </c:pt>
                <c:pt idx="236">
                  <c:v>-3.5224421211503785</c:v>
                </c:pt>
                <c:pt idx="237">
                  <c:v>-3.7242405381089663</c:v>
                </c:pt>
                <c:pt idx="238">
                  <c:v>-3.9260292238258647</c:v>
                </c:pt>
                <c:pt idx="239">
                  <c:v>-4.1278043875064743</c:v>
                </c:pt>
                <c:pt idx="240">
                  <c:v>-4.3295620998665809</c:v>
                </c:pt>
                <c:pt idx="241">
                  <c:v>-4.5312982995044084</c:v>
                </c:pt>
                <c:pt idx="242">
                  <c:v>-4.7330087996924153</c:v>
                </c:pt>
                <c:pt idx="243">
                  <c:v>-4.9346892955022419</c:v>
                </c:pt>
                <c:pt idx="244">
                  <c:v>-5.1363353711712101</c:v>
                </c:pt>
                <c:pt idx="245">
                  <c:v>-5.3379425076101708</c:v>
                </c:pt>
                <c:pt idx="246">
                  <c:v>-5.5395060899494988</c:v>
                </c:pt>
                <c:pt idx="247">
                  <c:v>-5.7410214150169523</c:v>
                </c:pt>
                <c:pt idx="248">
                  <c:v>-5.9424836986387488</c:v>
                </c:pt>
                <c:pt idx="249">
                  <c:v>-6.143888082655085</c:v>
                </c:pt>
                <c:pt idx="250">
                  <c:v>-6.3452296415443241</c:v>
                </c:pt>
                <c:pt idx="251">
                  <c:v>-6.5465033885511579</c:v>
                </c:pt>
                <c:pt idx="252">
                  <c:v>-6.7477042812190957</c:v>
                </c:pt>
                <c:pt idx="253">
                  <c:v>-6.9488272262358706</c:v>
                </c:pt>
                <c:pt idx="254">
                  <c:v>-7.1498670835022606</c:v>
                </c:pt>
                <c:pt idx="255">
                  <c:v>-7.3508186693493904</c:v>
                </c:pt>
                <c:pt idx="256">
                  <c:v>-7.5516767588323752</c:v>
                </c:pt>
                <c:pt idx="257">
                  <c:v>-7.7524360870426454</c:v>
                </c:pt>
                <c:pt idx="258">
                  <c:v>-7.9530913493883961</c:v>
                </c:pt>
                <c:pt idx="259">
                  <c:v>-8.1536372008046953</c:v>
                </c:pt>
                <c:pt idx="260">
                  <c:v>-8.3540682538642344</c:v>
                </c:pt>
                <c:pt idx="261">
                  <c:v>-8.5543790757703757</c:v>
                </c:pt>
                <c:pt idx="262">
                  <c:v>-8.7545641842249484</c:v>
                </c:pt>
                <c:pt idx="263">
                  <c:v>-8.9546180421710986</c:v>
                </c:pt>
                <c:pt idx="264">
                  <c:v>-9.1545350514222275</c:v>
                </c:pt>
                <c:pt idx="265">
                  <c:v>-9.3543095451956777</c:v>
                </c:pt>
                <c:pt idx="266">
                  <c:v>-9.5539357795758608</c:v>
                </c:pt>
                <c:pt idx="267">
                  <c:v>-9.7534079239415057</c:v>
                </c:pt>
                <c:pt idx="268">
                  <c:v>-9.9527200503929478</c:v>
                </c:pt>
                <c:pt idx="269">
                  <c:v>-10.151866122223529</c:v>
                </c:pt>
                <c:pt idx="270">
                  <c:v>-10.35083998148178</c:v>
                </c:pt>
                <c:pt idx="271">
                  <c:v>-10.54963533567298</c:v>
                </c:pt>
                <c:pt idx="272">
                  <c:v>-10.748245743651641</c:v>
                </c:pt>
                <c:pt idx="273">
                  <c:v>-10.946664600759032</c:v>
                </c:pt>
                <c:pt idx="274">
                  <c:v>-11.144885123256</c:v>
                </c:pt>
                <c:pt idx="275">
                  <c:v>-11.342900332106517</c:v>
                </c:pt>
                <c:pt idx="276">
                  <c:v>-11.540703036163043</c:v>
                </c:pt>
                <c:pt idx="277">
                  <c:v>-11.738285814804037</c:v>
                </c:pt>
                <c:pt idx="278">
                  <c:v>-11.935641000074773</c:v>
                </c:pt>
                <c:pt idx="279">
                  <c:v>-12.132760658377395</c:v>
                </c:pt>
                <c:pt idx="280">
                  <c:v>-12.329636571757057</c:v>
                </c:pt>
                <c:pt idx="281">
                  <c:v>-12.526260218827542</c:v>
                </c:pt>
                <c:pt idx="282">
                  <c:v>-12.722622755378303</c:v>
                </c:pt>
                <c:pt idx="283">
                  <c:v>-12.918714994702567</c:v>
                </c:pt>
                <c:pt idx="284">
                  <c:v>-13.114527387685161</c:v>
                </c:pt>
                <c:pt idx="285">
                  <c:v>-13.310050002686925</c:v>
                </c:pt>
                <c:pt idx="286">
                  <c:v>-13.505272505261154</c:v>
                </c:pt>
                <c:pt idx="287">
                  <c:v>-13.700184137737676</c:v>
                </c:pt>
                <c:pt idx="288">
                  <c:v>-13.894773698708809</c:v>
                </c:pt>
                <c:pt idx="289">
                  <c:v>-14.089029522452236</c:v>
                </c:pt>
                <c:pt idx="290">
                  <c:v>-14.282939458327288</c:v>
                </c:pt>
                <c:pt idx="291">
                  <c:v>-14.476490850179504</c:v>
                </c:pt>
                <c:pt idx="292">
                  <c:v>-14.669670515794015</c:v>
                </c:pt>
                <c:pt idx="293">
                  <c:v>-14.862464726436862</c:v>
                </c:pt>
                <c:pt idx="294">
                  <c:v>-15.054859186528704</c:v>
                </c:pt>
                <c:pt idx="295">
                  <c:v>-15.246839013497485</c:v>
                </c:pt>
                <c:pt idx="296">
                  <c:v>-15.43838871786053</c:v>
                </c:pt>
                <c:pt idx="297">
                  <c:v>-15.629492183592188</c:v>
                </c:pt>
                <c:pt idx="298">
                  <c:v>-15.820132648836996</c:v>
                </c:pt>
                <c:pt idx="299">
                  <c:v>-16.010292687033726</c:v>
                </c:pt>
                <c:pt idx="300">
                  <c:v>-16.199954188523392</c:v>
                </c:pt>
                <c:pt idx="301">
                  <c:v>-16.389098342718626</c:v>
                </c:pt>
                <c:pt idx="302">
                  <c:v>-16.577705620921101</c:v>
                </c:pt>
                <c:pt idx="303">
                  <c:v>-16.765755759878704</c:v>
                </c:pt>
                <c:pt idx="304">
                  <c:v>-16.953227746184069</c:v>
                </c:pt>
                <c:pt idx="305">
                  <c:v>-17.140099801622618</c:v>
                </c:pt>
                <c:pt idx="306">
                  <c:v>-17.32634936958755</c:v>
                </c:pt>
                <c:pt idx="307">
                  <c:v>-17.511953102686533</c:v>
                </c:pt>
                <c:pt idx="308">
                  <c:v>-17.696886851675654</c:v>
                </c:pt>
                <c:pt idx="309">
                  <c:v>-17.881125655861389</c:v>
                </c:pt>
                <c:pt idx="310">
                  <c:v>-18.064643735123081</c:v>
                </c:pt>
                <c:pt idx="311">
                  <c:v>-18.247414483715513</c:v>
                </c:pt>
                <c:pt idx="312">
                  <c:v>-18.42941046601744</c:v>
                </c:pt>
                <c:pt idx="313">
                  <c:v>-18.610603414403077</c:v>
                </c:pt>
                <c:pt idx="314">
                  <c:v>-18.790964229417217</c:v>
                </c:pt>
                <c:pt idx="315">
                  <c:v>-18.970462982441802</c:v>
                </c:pt>
                <c:pt idx="316">
                  <c:v>-19.14906892104781</c:v>
                </c:pt>
                <c:pt idx="317">
                  <c:v>-19.32675047722968</c:v>
                </c:pt>
                <c:pt idx="318">
                  <c:v>-19.503475278721758</c:v>
                </c:pt>
                <c:pt idx="319">
                  <c:v>-19.679210163599205</c:v>
                </c:pt>
                <c:pt idx="320">
                  <c:v>-19.853921198363061</c:v>
                </c:pt>
                <c:pt idx="321">
                  <c:v>-20.027573699709396</c:v>
                </c:pt>
                <c:pt idx="322">
                  <c:v>-20.200132260175</c:v>
                </c:pt>
                <c:pt idx="323">
                  <c:v>-20.371560777848494</c:v>
                </c:pt>
                <c:pt idx="324">
                  <c:v>-20.541822490323565</c:v>
                </c:pt>
                <c:pt idx="325">
                  <c:v>-20.710880013059683</c:v>
                </c:pt>
                <c:pt idx="326">
                  <c:v>-20.878695382301167</c:v>
                </c:pt>
                <c:pt idx="327">
                  <c:v>-21.045230102686862</c:v>
                </c:pt>
                <c:pt idx="328">
                  <c:v>-21.210445199659365</c:v>
                </c:pt>
                <c:pt idx="329">
                  <c:v>-21.374301276762008</c:v>
                </c:pt>
                <c:pt idx="330">
                  <c:v>-21.536758577877592</c:v>
                </c:pt>
                <c:pt idx="331">
                  <c:v>-21.697777054437243</c:v>
                </c:pt>
                <c:pt idx="332">
                  <c:v>-21.857316437587016</c:v>
                </c:pt>
                <c:pt idx="333">
                  <c:v>-22.015336315266754</c:v>
                </c:pt>
                <c:pt idx="334">
                  <c:v>-22.171796214107843</c:v>
                </c:pt>
                <c:pt idx="335">
                  <c:v>-22.326655686018885</c:v>
                </c:pt>
                <c:pt idx="336">
                  <c:v>-22.479874399274181</c:v>
                </c:pt>
                <c:pt idx="337">
                  <c:v>-22.631412233876706</c:v>
                </c:pt>
                <c:pt idx="338">
                  <c:v>-22.781229380911292</c:v>
                </c:pt>
                <c:pt idx="339">
                  <c:v>-22.929286445554151</c:v>
                </c:pt>
                <c:pt idx="340">
                  <c:v>-23.075544553351008</c:v>
                </c:pt>
                <c:pt idx="341">
                  <c:v>-23.219965459323511</c:v>
                </c:pt>
                <c:pt idx="342">
                  <c:v>-23.362511659411474</c:v>
                </c:pt>
                <c:pt idx="343">
                  <c:v>-23.503146503707999</c:v>
                </c:pt>
                <c:pt idx="344">
                  <c:v>-23.641834310899039</c:v>
                </c:pt>
                <c:pt idx="345">
                  <c:v>-23.778540483270941</c:v>
                </c:pt>
                <c:pt idx="346">
                  <c:v>-23.913231621614131</c:v>
                </c:pt>
                <c:pt idx="347">
                  <c:v>-24.045875639313298</c:v>
                </c:pt>
                <c:pt idx="348">
                  <c:v>-24.176441874889107</c:v>
                </c:pt>
                <c:pt idx="349">
                  <c:v>-24.30490120223164</c:v>
                </c:pt>
                <c:pt idx="350">
                  <c:v>-24.431226137757221</c:v>
                </c:pt>
                <c:pt idx="351">
                  <c:v>-24.55539094370949</c:v>
                </c:pt>
                <c:pt idx="352">
                  <c:v>-24.677371726834227</c:v>
                </c:pt>
                <c:pt idx="353">
                  <c:v>-24.797146531667529</c:v>
                </c:pt>
                <c:pt idx="354">
                  <c:v>-24.914695427701425</c:v>
                </c:pt>
                <c:pt idx="355">
                  <c:v>-25.030000589720956</c:v>
                </c:pt>
                <c:pt idx="356">
                  <c:v>-25.143046370652353</c:v>
                </c:pt>
                <c:pt idx="357">
                  <c:v>-25.253819366307319</c:v>
                </c:pt>
                <c:pt idx="358">
                  <c:v>-25.362308471473234</c:v>
                </c:pt>
                <c:pt idx="359">
                  <c:v>-25.468504926864664</c:v>
                </c:pt>
                <c:pt idx="360">
                  <c:v>-25.572402356523494</c:v>
                </c:pt>
                <c:pt idx="361">
                  <c:v>-25.673996795341623</c:v>
                </c:pt>
                <c:pt idx="362">
                  <c:v>-25.773286706460365</c:v>
                </c:pt>
                <c:pt idx="363">
                  <c:v>-25.870272988393307</c:v>
                </c:pt>
                <c:pt idx="364">
                  <c:v>-25.964958971810827</c:v>
                </c:pt>
                <c:pt idx="365">
                  <c:v>-26.057350406017044</c:v>
                </c:pt>
                <c:pt idx="366">
                  <c:v>-26.147455435240939</c:v>
                </c:pt>
                <c:pt idx="367">
                  <c:v>-26.235284564957837</c:v>
                </c:pt>
                <c:pt idx="368">
                  <c:v>-26.32085061853893</c:v>
                </c:pt>
                <c:pt idx="369">
                  <c:v>-26.404168684615485</c:v>
                </c:pt>
                <c:pt idx="370">
                  <c:v>-26.485256055614983</c:v>
                </c:pt>
                <c:pt idx="371">
                  <c:v>-26.564132158002728</c:v>
                </c:pt>
                <c:pt idx="372">
                  <c:v>-26.640818474819209</c:v>
                </c:pt>
                <c:pt idx="373">
                  <c:v>-26.715338461161306</c:v>
                </c:pt>
                <c:pt idx="374">
                  <c:v>-26.787717453298676</c:v>
                </c:pt>
                <c:pt idx="375">
                  <c:v>-26.857982572152238</c:v>
                </c:pt>
                <c:pt idx="376">
                  <c:v>-26.926162621887791</c:v>
                </c:pt>
                <c:pt idx="377">
                  <c:v>-26.992287984394395</c:v>
                </c:pt>
                <c:pt idx="378">
                  <c:v>-27.05639051042251</c:v>
                </c:pt>
                <c:pt idx="379">
                  <c:v>-27.118503408158261</c:v>
                </c:pt>
                <c:pt idx="380">
                  <c:v>-27.17866112999436</c:v>
                </c:pt>
                <c:pt idx="381">
                  <c:v>-27.236899258244481</c:v>
                </c:pt>
                <c:pt idx="382">
                  <c:v>-27.293254390518989</c:v>
                </c:pt>
                <c:pt idx="383">
                  <c:v>-27.347764025447347</c:v>
                </c:pt>
                <c:pt idx="384">
                  <c:v>-27.400466449397477</c:v>
                </c:pt>
                <c:pt idx="385">
                  <c:v>-27.451400624795216</c:v>
                </c:pt>
                <c:pt idx="386">
                  <c:v>-27.500606080604605</c:v>
                </c:pt>
                <c:pt idx="387">
                  <c:v>-27.548122805477156</c:v>
                </c:pt>
                <c:pt idx="388">
                  <c:v>-27.59399114402871</c:v>
                </c:pt>
                <c:pt idx="389">
                  <c:v>-27.638251696649128</c:v>
                </c:pt>
                <c:pt idx="390">
                  <c:v>-27.680945223196247</c:v>
                </c:pt>
                <c:pt idx="391">
                  <c:v>-27.722112550874819</c:v>
                </c:pt>
                <c:pt idx="392">
                  <c:v>-27.761794486547249</c:v>
                </c:pt>
                <c:pt idx="393">
                  <c:v>-27.80003173367308</c:v>
                </c:pt>
                <c:pt idx="394">
                  <c:v>-27.83686481402804</c:v>
                </c:pt>
                <c:pt idx="395">
                  <c:v>-27.87233399430534</c:v>
                </c:pt>
                <c:pt idx="396">
                  <c:v>-27.906479217659303</c:v>
                </c:pt>
                <c:pt idx="397">
                  <c:v>-27.939340040214347</c:v>
                </c:pt>
                <c:pt idx="398">
                  <c:v>-27.970955572521458</c:v>
                </c:pt>
                <c:pt idx="399">
                  <c:v>-28.001364425914957</c:v>
                </c:pt>
                <c:pt idx="400">
                  <c:v>-28.030604663690447</c:v>
                </c:pt>
                <c:pt idx="401">
                  <c:v>-28.058713756998802</c:v>
                </c:pt>
                <c:pt idx="402">
                  <c:v>-28.085728545329424</c:v>
                </c:pt>
                <c:pt idx="403">
                  <c:v>-28.111685201434181</c:v>
                </c:pt>
                <c:pt idx="404">
                  <c:v>-28.136619200528198</c:v>
                </c:pt>
                <c:pt idx="405">
                  <c:v>-28.160565293591159</c:v>
                </c:pt>
                <c:pt idx="406">
                  <c:v>-28.183557484579168</c:v>
                </c:pt>
                <c:pt idx="407">
                  <c:v>-28.205629011352343</c:v>
                </c:pt>
                <c:pt idx="408">
                  <c:v>-28.226812330115315</c:v>
                </c:pt>
                <c:pt idx="409">
                  <c:v>-28.247139103165999</c:v>
                </c:pt>
                <c:pt idx="410">
                  <c:v>-28.266640189744937</c:v>
                </c:pt>
                <c:pt idx="411">
                  <c:v>-28.285345639780072</c:v>
                </c:pt>
                <c:pt idx="412">
                  <c:v>-28.303284690321085</c:v>
                </c:pt>
                <c:pt idx="413">
                  <c:v>-28.320485764462887</c:v>
                </c:pt>
                <c:pt idx="414">
                  <c:v>-28.336976472561247</c:v>
                </c:pt>
                <c:pt idx="415">
                  <c:v>-28.352783615549797</c:v>
                </c:pt>
                <c:pt idx="416">
                  <c:v>-28.367933190172195</c:v>
                </c:pt>
                <c:pt idx="417">
                  <c:v>-28.382450395952961</c:v>
                </c:pt>
                <c:pt idx="418">
                  <c:v>-28.396359643735906</c:v>
                </c:pt>
                <c:pt idx="419">
                  <c:v>-28.409684565626407</c:v>
                </c:pt>
                <c:pt idx="420">
                  <c:v>-28.422448026186178</c:v>
                </c:pt>
                <c:pt idx="421">
                  <c:v>-28.434672134730459</c:v>
                </c:pt>
                <c:pt idx="422">
                  <c:v>-28.446378258593931</c:v>
                </c:pt>
                <c:pt idx="423">
                  <c:v>-28.457587037233694</c:v>
                </c:pt>
                <c:pt idx="424">
                  <c:v>-28.468318397048812</c:v>
                </c:pt>
                <c:pt idx="425">
                  <c:v>-28.478591566805424</c:v>
                </c:pt>
                <c:pt idx="426">
                  <c:v>-28.488425093560934</c:v>
                </c:pt>
                <c:pt idx="427">
                  <c:v>-28.497836858991757</c:v>
                </c:pt>
                <c:pt idx="428">
                  <c:v>-28.50684409603517</c:v>
                </c:pt>
                <c:pt idx="429">
                  <c:v>-28.515463405763146</c:v>
                </c:pt>
                <c:pt idx="430">
                  <c:v>-28.523710774413612</c:v>
                </c:pt>
                <c:pt idx="431">
                  <c:v>-28.531601590510867</c:v>
                </c:pt>
                <c:pt idx="432">
                  <c:v>-28.539150662012268</c:v>
                </c:pt>
                <c:pt idx="433">
                  <c:v>-28.546372233426496</c:v>
                </c:pt>
                <c:pt idx="434">
                  <c:v>-28.553280002851743</c:v>
                </c:pt>
                <c:pt idx="435">
                  <c:v>-28.559887138889685</c:v>
                </c:pt>
                <c:pt idx="436">
                  <c:v>-28.566206297394029</c:v>
                </c:pt>
                <c:pt idx="437">
                  <c:v>-28.572249638018555</c:v>
                </c:pt>
                <c:pt idx="438">
                  <c:v>-28.578028840533946</c:v>
                </c:pt>
                <c:pt idx="439">
                  <c:v>-28.583555120884576</c:v>
                </c:pt>
                <c:pt idx="440">
                  <c:v>-28.588839246963001</c:v>
                </c:pt>
                <c:pt idx="441">
                  <c:v>-28.593891554081431</c:v>
                </c:pt>
                <c:pt idx="442">
                  <c:v>-28.598721960122901</c:v>
                </c:pt>
                <c:pt idx="443">
                  <c:v>-28.603339980358186</c:v>
                </c:pt>
                <c:pt idx="444">
                  <c:v>-28.607754741916764</c:v>
                </c:pt>
                <c:pt idx="445">
                  <c:v>-28.611974997902671</c:v>
                </c:pt>
                <c:pt idx="446">
                  <c:v>-28.616009141148012</c:v>
                </c:pt>
                <c:pt idx="447">
                  <c:v>-28.61986521759977</c:v>
                </c:pt>
                <c:pt idx="448">
                  <c:v>-28.623550939335605</c:v>
                </c:pt>
                <c:pt idx="449">
                  <c:v>-28.627073697207347</c:v>
                </c:pt>
                <c:pt idx="450">
                  <c:v>-28.630440573113098</c:v>
                </c:pt>
                <c:pt idx="451">
                  <c:v>-28.633658351897363</c:v>
                </c:pt>
                <c:pt idx="452">
                  <c:v>-28.636733532881262</c:v>
                </c:pt>
                <c:pt idx="453">
                  <c:v>-28.639672341028866</c:v>
                </c:pt>
                <c:pt idx="454">
                  <c:v>-28.642480737749828</c:v>
                </c:pt>
                <c:pt idx="455">
                  <c:v>-28.64516443134525</c:v>
                </c:pt>
                <c:pt idx="456">
                  <c:v>-28.647728887104009</c:v>
                </c:pt>
                <c:pt idx="457">
                  <c:v>-28.650179337050794</c:v>
                </c:pt>
                <c:pt idx="458">
                  <c:v>-28.652520789357624</c:v>
                </c:pt>
                <c:pt idx="459">
                  <c:v>-28.654758037422809</c:v>
                </c:pt>
                <c:pt idx="460">
                  <c:v>-28.656895668625474</c:v>
                </c:pt>
                <c:pt idx="461">
                  <c:v>-28.658938072763263</c:v>
                </c:pt>
                <c:pt idx="462">
                  <c:v>-28.66088945018177</c:v>
                </c:pt>
                <c:pt idx="463">
                  <c:v>-28.662753819601612</c:v>
                </c:pt>
                <c:pt idx="464">
                  <c:v>-28.664535025654374</c:v>
                </c:pt>
                <c:pt idx="465">
                  <c:v>-28.666236746132604</c:v>
                </c:pt>
                <c:pt idx="466">
                  <c:v>-28.667862498964265</c:v>
                </c:pt>
                <c:pt idx="467">
                  <c:v>-28.669415648918054</c:v>
                </c:pt>
                <c:pt idx="468">
                  <c:v>-28.670899414050254</c:v>
                </c:pt>
                <c:pt idx="469">
                  <c:v>-28.672316871898317</c:v>
                </c:pt>
                <c:pt idx="470">
                  <c:v>-28.673670965431697</c:v>
                </c:pt>
                <c:pt idx="471">
                  <c:v>-28.67496450876676</c:v>
                </c:pt>
                <c:pt idx="472">
                  <c:v>-28.676200192653173</c:v>
                </c:pt>
                <c:pt idx="473">
                  <c:v>-28.677380589741883</c:v>
                </c:pt>
                <c:pt idx="474">
                  <c:v>-28.67850815963876</c:v>
                </c:pt>
                <c:pt idx="475">
                  <c:v>-28.679585253754517</c:v>
                </c:pt>
                <c:pt idx="476">
                  <c:v>-28.680614119956488</c:v>
                </c:pt>
                <c:pt idx="477">
                  <c:v>-28.68159690702997</c:v>
                </c:pt>
                <c:pt idx="478">
                  <c:v>-28.682535668955506</c:v>
                </c:pt>
                <c:pt idx="479">
                  <c:v>-28.683432369010401</c:v>
                </c:pt>
                <c:pt idx="480">
                  <c:v>-28.684288883698969</c:v>
                </c:pt>
                <c:pt idx="481">
                  <c:v>-28.685107006519726</c:v>
                </c:pt>
                <c:pt idx="482">
                  <c:v>-28.68588845157457</c:v>
                </c:pt>
                <c:pt idx="483">
                  <c:v>-28.686634857027041</c:v>
                </c:pt>
                <c:pt idx="484">
                  <c:v>-28.687347788414339</c:v>
                </c:pt>
                <c:pt idx="485">
                  <c:v>-28.688028741819885</c:v>
                </c:pt>
                <c:pt idx="486">
                  <c:v>-28.688679146911436</c:v>
                </c:pt>
                <c:pt idx="487">
                  <c:v>-28.689300369849647</c:v>
                </c:pt>
                <c:pt idx="488">
                  <c:v>-28.689893716073573</c:v>
                </c:pt>
                <c:pt idx="489">
                  <c:v>-28.690460432966297</c:v>
                </c:pt>
                <c:pt idx="490">
                  <c:v>-28.691001712406944</c:v>
                </c:pt>
                <c:pt idx="491">
                  <c:v>-28.691518693213105</c:v>
                </c:pt>
                <c:pt idx="492">
                  <c:v>-28.692012463477944</c:v>
                </c:pt>
                <c:pt idx="493">
                  <c:v>-28.692484062806702</c:v>
                </c:pt>
                <c:pt idx="494">
                  <c:v>-28.692934484456917</c:v>
                </c:pt>
                <c:pt idx="495">
                  <c:v>-28.693364677385304</c:v>
                </c:pt>
                <c:pt idx="496">
                  <c:v>-28.693775548206556</c:v>
                </c:pt>
                <c:pt idx="497">
                  <c:v>-28.694167963066892</c:v>
                </c:pt>
                <c:pt idx="498">
                  <c:v>-28.694542749435769</c:v>
                </c:pt>
                <c:pt idx="499">
                  <c:v>-28.694900697819929</c:v>
                </c:pt>
                <c:pt idx="500">
                  <c:v>-28.69524256340263</c:v>
                </c:pt>
                <c:pt idx="501">
                  <c:v>-28.695569067610567</c:v>
                </c:pt>
                <c:pt idx="502">
                  <c:v>-28.695880899613591</c:v>
                </c:pt>
                <c:pt idx="503">
                  <c:v>-28.696178717757419</c:v>
                </c:pt>
                <c:pt idx="504">
                  <c:v>-28.696463150933695</c:v>
                </c:pt>
                <c:pt idx="505">
                  <c:v>-28.696734799890699</c:v>
                </c:pt>
                <c:pt idx="506">
                  <c:v>-28.696994238485711</c:v>
                </c:pt>
                <c:pt idx="507">
                  <c:v>-28.697242014881983</c:v>
                </c:pt>
                <c:pt idx="508">
                  <c:v>-28.697478652694208</c:v>
                </c:pt>
                <c:pt idx="509">
                  <c:v>-28.697704652081811</c:v>
                </c:pt>
                <c:pt idx="510">
                  <c:v>-28.697920490795216</c:v>
                </c:pt>
                <c:pt idx="511">
                  <c:v>-28.698126625175707</c:v>
                </c:pt>
                <c:pt idx="512">
                  <c:v>-28.698323491110131</c:v>
                </c:pt>
                <c:pt idx="513">
                  <c:v>-28.698511504944975</c:v>
                </c:pt>
                <c:pt idx="514">
                  <c:v>-28.69869106435813</c:v>
                </c:pt>
                <c:pt idx="515">
                  <c:v>-28.698862549193631</c:v>
                </c:pt>
                <c:pt idx="516">
                  <c:v>-28.699026322258309</c:v>
                </c:pt>
                <c:pt idx="517">
                  <c:v>-28.69918273008355</c:v>
                </c:pt>
                <c:pt idx="518">
                  <c:v>-28.699332103653113</c:v>
                </c:pt>
                <c:pt idx="519">
                  <c:v>-28.699474759098422</c:v>
                </c:pt>
                <c:pt idx="520">
                  <c:v>-28.699610998363397</c:v>
                </c:pt>
                <c:pt idx="521">
                  <c:v>-28.699741109839199</c:v>
                </c:pt>
                <c:pt idx="522">
                  <c:v>-28.699865368971253</c:v>
                </c:pt>
                <c:pt idx="523">
                  <c:v>-28.699984038838316</c:v>
                </c:pt>
                <c:pt idx="524">
                  <c:v>-28.700097370707383</c:v>
                </c:pt>
                <c:pt idx="525">
                  <c:v>-28.700205604561496</c:v>
                </c:pt>
                <c:pt idx="526">
                  <c:v>-28.700308969606599</c:v>
                </c:pt>
                <c:pt idx="527">
                  <c:v>-28.700407684753912</c:v>
                </c:pt>
                <c:pt idx="528">
                  <c:v>-28.700501959081308</c:v>
                </c:pt>
                <c:pt idx="529">
                  <c:v>-28.700591992274589</c:v>
                </c:pt>
                <c:pt idx="530">
                  <c:v>-28.700677975048151</c:v>
                </c:pt>
                <c:pt idx="531">
                  <c:v>-28.700760089547895</c:v>
                </c:pt>
                <c:pt idx="532">
                  <c:v>-28.700838509734965</c:v>
                </c:pt>
                <c:pt idx="533">
                  <c:v>-28.700913401753489</c:v>
                </c:pt>
                <c:pt idx="534">
                  <c:v>-28.700984924280956</c:v>
                </c:pt>
                <c:pt idx="535">
                  <c:v>-28.70105322886349</c:v>
                </c:pt>
                <c:pt idx="536">
                  <c:v>-28.701118460235762</c:v>
                </c:pt>
                <c:pt idx="537">
                  <c:v>-28.701180756626851</c:v>
                </c:pt>
                <c:pt idx="538">
                  <c:v>-28.701240250052315</c:v>
                </c:pt>
                <c:pt idx="539">
                  <c:v>-28.701297066592943</c:v>
                </c:pt>
                <c:pt idx="540">
                  <c:v>-28.70135132666158</c:v>
                </c:pt>
                <c:pt idx="541">
                  <c:v>-28.701403145257377</c:v>
                </c:pt>
              </c:numCache>
            </c:numRef>
          </c:yVal>
          <c:smooth val="1"/>
          <c:extLst>
            <c:ext xmlns:c16="http://schemas.microsoft.com/office/drawing/2014/chart" uri="{C3380CC4-5D6E-409C-BE32-E72D297353CC}">
              <c16:uniqueId val="{00000000-79CC-43C6-9415-C1FDEEB8D57B}"/>
            </c:ext>
          </c:extLst>
        </c:ser>
        <c:dLbls>
          <c:showLegendKey val="0"/>
          <c:showVal val="0"/>
          <c:showCatName val="0"/>
          <c:showSerName val="0"/>
          <c:showPercent val="0"/>
          <c:showBubbleSize val="0"/>
        </c:dLbls>
        <c:axId val="555344640"/>
        <c:axId val="555346560"/>
      </c:scatterChart>
      <c:scatterChart>
        <c:scatterStyle val="smoothMarker"/>
        <c:varyColors val="0"/>
        <c:ser>
          <c:idx val="1"/>
          <c:order val="1"/>
          <c:spPr>
            <a:ln w="38100">
              <a:solidFill>
                <a:schemeClr val="tx1">
                  <a:lumMod val="95000"/>
                  <a:lumOff val="5000"/>
                </a:schemeClr>
              </a:solidFill>
              <a:prstDash val="sysDash"/>
            </a:ln>
          </c:spPr>
          <c:marker>
            <c:symbol val="none"/>
          </c:marker>
          <c:xVal>
            <c:numRef>
              <c:f>Control_Loop_Tables!$N$19:$N$560</c:f>
              <c:numCache>
                <c:formatCode>0.00</c:formatCode>
                <c:ptCount val="542"/>
                <c:pt idx="0">
                  <c:v>10.232929922807543</c:v>
                </c:pt>
                <c:pt idx="1">
                  <c:v>10.471285480509</c:v>
                </c:pt>
                <c:pt idx="2">
                  <c:v>10.715193052376069</c:v>
                </c:pt>
                <c:pt idx="3">
                  <c:v>10.964781961431854</c:v>
                </c:pt>
                <c:pt idx="4">
                  <c:v>11.220184543019636</c:v>
                </c:pt>
                <c:pt idx="5">
                  <c:v>11.481536214968834</c:v>
                </c:pt>
                <c:pt idx="6">
                  <c:v>11.748975549395301</c:v>
                </c:pt>
                <c:pt idx="7">
                  <c:v>12.022644346174133</c:v>
                </c:pt>
                <c:pt idx="8">
                  <c:v>12.302687708123818</c:v>
                </c:pt>
                <c:pt idx="9">
                  <c:v>12.58925411794168</c:v>
                </c:pt>
                <c:pt idx="10">
                  <c:v>12.882495516931346</c:v>
                </c:pt>
                <c:pt idx="11">
                  <c:v>13.182567385564075</c:v>
                </c:pt>
                <c:pt idx="12">
                  <c:v>13.489628825916535</c:v>
                </c:pt>
                <c:pt idx="13">
                  <c:v>13.803842646028857</c:v>
                </c:pt>
                <c:pt idx="14">
                  <c:v>14.125375446227544</c:v>
                </c:pt>
                <c:pt idx="15">
                  <c:v>14.454397707459275</c:v>
                </c:pt>
                <c:pt idx="16">
                  <c:v>14.791083881682074</c:v>
                </c:pt>
                <c:pt idx="17">
                  <c:v>15.135612484362087</c:v>
                </c:pt>
                <c:pt idx="18">
                  <c:v>15.488166189124817</c:v>
                </c:pt>
                <c:pt idx="19">
                  <c:v>15.848931924611136</c:v>
                </c:pt>
                <c:pt idx="20">
                  <c:v>16.218100973589298</c:v>
                </c:pt>
                <c:pt idx="21">
                  <c:v>16.595869074375614</c:v>
                </c:pt>
                <c:pt idx="22">
                  <c:v>16.982436524617448</c:v>
                </c:pt>
                <c:pt idx="23">
                  <c:v>17.378008287493756</c:v>
                </c:pt>
                <c:pt idx="24">
                  <c:v>17.782794100389236</c:v>
                </c:pt>
                <c:pt idx="25">
                  <c:v>18.197008586099841</c:v>
                </c:pt>
                <c:pt idx="26">
                  <c:v>18.62087136662868</c:v>
                </c:pt>
                <c:pt idx="27">
                  <c:v>19.054607179632477</c:v>
                </c:pt>
                <c:pt idx="28">
                  <c:v>19.498445997580465</c:v>
                </c:pt>
                <c:pt idx="29">
                  <c:v>19.952623149688804</c:v>
                </c:pt>
                <c:pt idx="30">
                  <c:v>20.4173794466953</c:v>
                </c:pt>
                <c:pt idx="31">
                  <c:v>20.8929613085404</c:v>
                </c:pt>
                <c:pt idx="32">
                  <c:v>21.379620895022335</c:v>
                </c:pt>
                <c:pt idx="33">
                  <c:v>21.877616239495538</c:v>
                </c:pt>
                <c:pt idx="34">
                  <c:v>22.387211385683404</c:v>
                </c:pt>
                <c:pt idx="35">
                  <c:v>22.908676527677727</c:v>
                </c:pt>
                <c:pt idx="36">
                  <c:v>23.442288153199236</c:v>
                </c:pt>
                <c:pt idx="37">
                  <c:v>23.988329190194907</c:v>
                </c:pt>
                <c:pt idx="38">
                  <c:v>24.547089156850316</c:v>
                </c:pt>
                <c:pt idx="39">
                  <c:v>25.118864315095799</c:v>
                </c:pt>
                <c:pt idx="40">
                  <c:v>25.703957827688647</c:v>
                </c:pt>
                <c:pt idx="41">
                  <c:v>26.302679918953825</c:v>
                </c:pt>
                <c:pt idx="42">
                  <c:v>26.915348039269158</c:v>
                </c:pt>
                <c:pt idx="43">
                  <c:v>27.542287033381665</c:v>
                </c:pt>
                <c:pt idx="44">
                  <c:v>28.183829312644548</c:v>
                </c:pt>
                <c:pt idx="45">
                  <c:v>28.840315031266066</c:v>
                </c:pt>
                <c:pt idx="46">
                  <c:v>29.512092266663863</c:v>
                </c:pt>
                <c:pt idx="47">
                  <c:v>30.199517204020164</c:v>
                </c:pt>
                <c:pt idx="48">
                  <c:v>30.902954325135919</c:v>
                </c:pt>
                <c:pt idx="49">
                  <c:v>31.622776601683803</c:v>
                </c:pt>
                <c:pt idx="50">
                  <c:v>32.359365692962832</c:v>
                </c:pt>
                <c:pt idx="51">
                  <c:v>33.113112148259127</c:v>
                </c:pt>
                <c:pt idx="52">
                  <c:v>33.884415613920268</c:v>
                </c:pt>
                <c:pt idx="53">
                  <c:v>34.67368504525318</c:v>
                </c:pt>
                <c:pt idx="54">
                  <c:v>35.481338923357555</c:v>
                </c:pt>
                <c:pt idx="55">
                  <c:v>36.307805477010156</c:v>
                </c:pt>
                <c:pt idx="56">
                  <c:v>37.15352290971726</c:v>
                </c:pt>
                <c:pt idx="57">
                  <c:v>38.018939632056139</c:v>
                </c:pt>
                <c:pt idx="58">
                  <c:v>38.904514499428053</c:v>
                </c:pt>
                <c:pt idx="59">
                  <c:v>39.810717055349755</c:v>
                </c:pt>
                <c:pt idx="60">
                  <c:v>40.738027780411279</c:v>
                </c:pt>
                <c:pt idx="61">
                  <c:v>41.686938347033561</c:v>
                </c:pt>
                <c:pt idx="62">
                  <c:v>42.657951880159267</c:v>
                </c:pt>
                <c:pt idx="63">
                  <c:v>43.651583224016633</c:v>
                </c:pt>
                <c:pt idx="64">
                  <c:v>44.668359215096324</c:v>
                </c:pt>
                <c:pt idx="65">
                  <c:v>45.70881896148753</c:v>
                </c:pt>
                <c:pt idx="66">
                  <c:v>46.773514128719818</c:v>
                </c:pt>
                <c:pt idx="67">
                  <c:v>47.863009232263877</c:v>
                </c:pt>
                <c:pt idx="68">
                  <c:v>48.977881936844632</c:v>
                </c:pt>
                <c:pt idx="69">
                  <c:v>50.118723362727238</c:v>
                </c:pt>
                <c:pt idx="70">
                  <c:v>51.28613839913649</c:v>
                </c:pt>
                <c:pt idx="71">
                  <c:v>52.480746024977286</c:v>
                </c:pt>
                <c:pt idx="72">
                  <c:v>53.703179637025293</c:v>
                </c:pt>
                <c:pt idx="73">
                  <c:v>54.95408738576247</c:v>
                </c:pt>
                <c:pt idx="74">
                  <c:v>56.234132519034915</c:v>
                </c:pt>
                <c:pt idx="75">
                  <c:v>57.543993733715695</c:v>
                </c:pt>
                <c:pt idx="76">
                  <c:v>58.884365535558949</c:v>
                </c:pt>
                <c:pt idx="77">
                  <c:v>60.255958607435822</c:v>
                </c:pt>
                <c:pt idx="78">
                  <c:v>61.659500186148257</c:v>
                </c:pt>
                <c:pt idx="79">
                  <c:v>63.095734448019364</c:v>
                </c:pt>
                <c:pt idx="80">
                  <c:v>64.565422903465588</c:v>
                </c:pt>
                <c:pt idx="81">
                  <c:v>66.069344800759623</c:v>
                </c:pt>
                <c:pt idx="82">
                  <c:v>67.60829753919819</c:v>
                </c:pt>
                <c:pt idx="83">
                  <c:v>69.183097091893657</c:v>
                </c:pt>
                <c:pt idx="84">
                  <c:v>70.794578438413865</c:v>
                </c:pt>
                <c:pt idx="85">
                  <c:v>72.443596007499011</c:v>
                </c:pt>
                <c:pt idx="86">
                  <c:v>74.131024130091816</c:v>
                </c:pt>
                <c:pt idx="87">
                  <c:v>75.857757502918361</c:v>
                </c:pt>
                <c:pt idx="88">
                  <c:v>77.624711662869217</c:v>
                </c:pt>
                <c:pt idx="89">
                  <c:v>79.432823472428197</c:v>
                </c:pt>
                <c:pt idx="90">
                  <c:v>81.283051616409963</c:v>
                </c:pt>
                <c:pt idx="91">
                  <c:v>83.176377110267126</c:v>
                </c:pt>
                <c:pt idx="92">
                  <c:v>85.113803820237734</c:v>
                </c:pt>
                <c:pt idx="93">
                  <c:v>87.096358995608071</c:v>
                </c:pt>
                <c:pt idx="94">
                  <c:v>89.125093813374562</c:v>
                </c:pt>
                <c:pt idx="95">
                  <c:v>91.201083935590972</c:v>
                </c:pt>
                <c:pt idx="96">
                  <c:v>93.325430079699174</c:v>
                </c:pt>
                <c:pt idx="97">
                  <c:v>95.499258602143655</c:v>
                </c:pt>
                <c:pt idx="98">
                  <c:v>97.723722095581124</c:v>
                </c:pt>
                <c:pt idx="99">
                  <c:v>100</c:v>
                </c:pt>
                <c:pt idx="100">
                  <c:v>102.32929922807544</c:v>
                </c:pt>
                <c:pt idx="101">
                  <c:v>104.71285480508998</c:v>
                </c:pt>
                <c:pt idx="102">
                  <c:v>107.15193052376065</c:v>
                </c:pt>
                <c:pt idx="103">
                  <c:v>109.64781961431861</c:v>
                </c:pt>
                <c:pt idx="104">
                  <c:v>112.20184543019634</c:v>
                </c:pt>
                <c:pt idx="105">
                  <c:v>114.81536214968835</c:v>
                </c:pt>
                <c:pt idx="106">
                  <c:v>117.48975549395293</c:v>
                </c:pt>
                <c:pt idx="107">
                  <c:v>120.22644346174135</c:v>
                </c:pt>
                <c:pt idx="108">
                  <c:v>123.02687708123821</c:v>
                </c:pt>
                <c:pt idx="109">
                  <c:v>125.89254117941677</c:v>
                </c:pt>
                <c:pt idx="110">
                  <c:v>128.82495516931343</c:v>
                </c:pt>
                <c:pt idx="111">
                  <c:v>131.82567385564084</c:v>
                </c:pt>
                <c:pt idx="112">
                  <c:v>134.89628825916537</c:v>
                </c:pt>
                <c:pt idx="113">
                  <c:v>138.0384264602886</c:v>
                </c:pt>
                <c:pt idx="114">
                  <c:v>141.25375446227542</c:v>
                </c:pt>
                <c:pt idx="115">
                  <c:v>144.54397707459285</c:v>
                </c:pt>
                <c:pt idx="116">
                  <c:v>147.91083881682084</c:v>
                </c:pt>
                <c:pt idx="117">
                  <c:v>151.3561248436209</c:v>
                </c:pt>
                <c:pt idx="118">
                  <c:v>154.8816618912482</c:v>
                </c:pt>
                <c:pt idx="119">
                  <c:v>158.48931924611153</c:v>
                </c:pt>
                <c:pt idx="120">
                  <c:v>162.18100973589304</c:v>
                </c:pt>
                <c:pt idx="121">
                  <c:v>165.95869074375622</c:v>
                </c:pt>
                <c:pt idx="122">
                  <c:v>169.82436524617444</c:v>
                </c:pt>
                <c:pt idx="123">
                  <c:v>173.78008287493768</c:v>
                </c:pt>
                <c:pt idx="124">
                  <c:v>177.82794100389242</c:v>
                </c:pt>
                <c:pt idx="125">
                  <c:v>181.9700858609983</c:v>
                </c:pt>
                <c:pt idx="126">
                  <c:v>186.20871366628685</c:v>
                </c:pt>
                <c:pt idx="127">
                  <c:v>190.54607179632498</c:v>
                </c:pt>
                <c:pt idx="128">
                  <c:v>194.98445997580458</c:v>
                </c:pt>
                <c:pt idx="129">
                  <c:v>199.52623149688802</c:v>
                </c:pt>
                <c:pt idx="130">
                  <c:v>204.17379446695315</c:v>
                </c:pt>
                <c:pt idx="131">
                  <c:v>208.92961308540396</c:v>
                </c:pt>
                <c:pt idx="132">
                  <c:v>213.79620895022339</c:v>
                </c:pt>
                <c:pt idx="133">
                  <c:v>218.77616239495524</c:v>
                </c:pt>
                <c:pt idx="134">
                  <c:v>223.87211385683412</c:v>
                </c:pt>
                <c:pt idx="135">
                  <c:v>229.08676527677744</c:v>
                </c:pt>
                <c:pt idx="136">
                  <c:v>234.42288153199232</c:v>
                </c:pt>
                <c:pt idx="137">
                  <c:v>239.88329190194912</c:v>
                </c:pt>
                <c:pt idx="138">
                  <c:v>245.4708915685033</c:v>
                </c:pt>
                <c:pt idx="139">
                  <c:v>251.18864315095806</c:v>
                </c:pt>
                <c:pt idx="140">
                  <c:v>257.03957827688663</c:v>
                </c:pt>
                <c:pt idx="141">
                  <c:v>263.02679918953817</c:v>
                </c:pt>
                <c:pt idx="142">
                  <c:v>269.15348039269179</c:v>
                </c:pt>
                <c:pt idx="143">
                  <c:v>275.42287033381683</c:v>
                </c:pt>
                <c:pt idx="144">
                  <c:v>281.83829312644554</c:v>
                </c:pt>
                <c:pt idx="145">
                  <c:v>288.40315031266073</c:v>
                </c:pt>
                <c:pt idx="146">
                  <c:v>295.12092266663871</c:v>
                </c:pt>
                <c:pt idx="147">
                  <c:v>301.99517204020168</c:v>
                </c:pt>
                <c:pt idx="148">
                  <c:v>309.02954325135937</c:v>
                </c:pt>
                <c:pt idx="149">
                  <c:v>316.22776601683825</c:v>
                </c:pt>
                <c:pt idx="150">
                  <c:v>323.59365692962825</c:v>
                </c:pt>
                <c:pt idx="151">
                  <c:v>331.13112148259137</c:v>
                </c:pt>
                <c:pt idx="152">
                  <c:v>338.84415613920277</c:v>
                </c:pt>
                <c:pt idx="153">
                  <c:v>346.73685045253183</c:v>
                </c:pt>
                <c:pt idx="154">
                  <c:v>354.81338923357566</c:v>
                </c:pt>
                <c:pt idx="155">
                  <c:v>363.07805477010152</c:v>
                </c:pt>
                <c:pt idx="156">
                  <c:v>371.53522909717265</c:v>
                </c:pt>
                <c:pt idx="157">
                  <c:v>380.18939632056163</c:v>
                </c:pt>
                <c:pt idx="158">
                  <c:v>389.04514499428063</c:v>
                </c:pt>
                <c:pt idx="159">
                  <c:v>398.10717055349761</c:v>
                </c:pt>
                <c:pt idx="160">
                  <c:v>407.38027780411272</c:v>
                </c:pt>
                <c:pt idx="161">
                  <c:v>416.86938347033572</c:v>
                </c:pt>
                <c:pt idx="162">
                  <c:v>426.57951880159294</c:v>
                </c:pt>
                <c:pt idx="163">
                  <c:v>436.51583224016622</c:v>
                </c:pt>
                <c:pt idx="164">
                  <c:v>446.68359215096331</c:v>
                </c:pt>
                <c:pt idx="165">
                  <c:v>457.0881896148756</c:v>
                </c:pt>
                <c:pt idx="166">
                  <c:v>467.7351412871983</c:v>
                </c:pt>
                <c:pt idx="167">
                  <c:v>478.63009232263886</c:v>
                </c:pt>
                <c:pt idx="168">
                  <c:v>489.77881936844625</c:v>
                </c:pt>
                <c:pt idx="169">
                  <c:v>501.18723362727269</c:v>
                </c:pt>
                <c:pt idx="170">
                  <c:v>512.86138399136519</c:v>
                </c:pt>
                <c:pt idx="171">
                  <c:v>524.80746024977248</c:v>
                </c:pt>
                <c:pt idx="172">
                  <c:v>537.03179637025301</c:v>
                </c:pt>
                <c:pt idx="173">
                  <c:v>549.54087385762534</c:v>
                </c:pt>
                <c:pt idx="174">
                  <c:v>562.34132519034927</c:v>
                </c:pt>
                <c:pt idx="175">
                  <c:v>575.43993733715706</c:v>
                </c:pt>
                <c:pt idx="176">
                  <c:v>588.84365535558959</c:v>
                </c:pt>
                <c:pt idx="177">
                  <c:v>602.55958607435832</c:v>
                </c:pt>
                <c:pt idx="178">
                  <c:v>616.59500186148273</c:v>
                </c:pt>
                <c:pt idx="179">
                  <c:v>630.95734448019323</c:v>
                </c:pt>
                <c:pt idx="180">
                  <c:v>645.65422903465594</c:v>
                </c:pt>
                <c:pt idx="181">
                  <c:v>660.69344800759643</c:v>
                </c:pt>
                <c:pt idx="182">
                  <c:v>676.08297539198213</c:v>
                </c:pt>
                <c:pt idx="183">
                  <c:v>691.83097091893671</c:v>
                </c:pt>
                <c:pt idx="184">
                  <c:v>707.94578438413873</c:v>
                </c:pt>
                <c:pt idx="185">
                  <c:v>724.43596007499025</c:v>
                </c:pt>
                <c:pt idx="186">
                  <c:v>741.31024130091828</c:v>
                </c:pt>
                <c:pt idx="187">
                  <c:v>758.57757502918378</c:v>
                </c:pt>
                <c:pt idx="188">
                  <c:v>776.24711662869231</c:v>
                </c:pt>
                <c:pt idx="189">
                  <c:v>794.32823472428208</c:v>
                </c:pt>
                <c:pt idx="190">
                  <c:v>812.83051616409978</c:v>
                </c:pt>
                <c:pt idx="191">
                  <c:v>831.7637711026714</c:v>
                </c:pt>
                <c:pt idx="192">
                  <c:v>851.13803820237763</c:v>
                </c:pt>
                <c:pt idx="193">
                  <c:v>870.96358995608091</c:v>
                </c:pt>
                <c:pt idx="194">
                  <c:v>891.25093813374656</c:v>
                </c:pt>
                <c:pt idx="195">
                  <c:v>912.01083935590987</c:v>
                </c:pt>
                <c:pt idx="196">
                  <c:v>933.25430079699106</c:v>
                </c:pt>
                <c:pt idx="197">
                  <c:v>954.99258602143675</c:v>
                </c:pt>
                <c:pt idx="198">
                  <c:v>977.23722095581138</c:v>
                </c:pt>
                <c:pt idx="199">
                  <c:v>1000</c:v>
                </c:pt>
                <c:pt idx="200">
                  <c:v>1023.2929922807547</c:v>
                </c:pt>
                <c:pt idx="201">
                  <c:v>1047.1285480509</c:v>
                </c:pt>
                <c:pt idx="202">
                  <c:v>1071.5193052376069</c:v>
                </c:pt>
                <c:pt idx="203">
                  <c:v>1096.4781961431863</c:v>
                </c:pt>
                <c:pt idx="204">
                  <c:v>1122.0184543019636</c:v>
                </c:pt>
                <c:pt idx="205">
                  <c:v>1148.1536214968839</c:v>
                </c:pt>
                <c:pt idx="206">
                  <c:v>1174.8975549395295</c:v>
                </c:pt>
                <c:pt idx="207">
                  <c:v>1202.2644346174138</c:v>
                </c:pt>
                <c:pt idx="208">
                  <c:v>1230.2687708123824</c:v>
                </c:pt>
                <c:pt idx="209">
                  <c:v>1258.925411794168</c:v>
                </c:pt>
                <c:pt idx="210">
                  <c:v>1288.2495516931347</c:v>
                </c:pt>
                <c:pt idx="211">
                  <c:v>1318.2567385564089</c:v>
                </c:pt>
                <c:pt idx="212">
                  <c:v>1348.9628825916541</c:v>
                </c:pt>
                <c:pt idx="213">
                  <c:v>1380.3842646028863</c:v>
                </c:pt>
                <c:pt idx="214">
                  <c:v>1412.5375446227545</c:v>
                </c:pt>
                <c:pt idx="215">
                  <c:v>1445.4397707459289</c:v>
                </c:pt>
                <c:pt idx="216">
                  <c:v>1479.1083881682086</c:v>
                </c:pt>
                <c:pt idx="217">
                  <c:v>1513.5612484362093</c:v>
                </c:pt>
                <c:pt idx="218">
                  <c:v>1548.8166189124822</c:v>
                </c:pt>
                <c:pt idx="219">
                  <c:v>1584.8931924611156</c:v>
                </c:pt>
                <c:pt idx="220">
                  <c:v>1621.8100973589308</c:v>
                </c:pt>
                <c:pt idx="221">
                  <c:v>1659.5869074375626</c:v>
                </c:pt>
                <c:pt idx="222">
                  <c:v>1698.2436524617447</c:v>
                </c:pt>
                <c:pt idx="223">
                  <c:v>1737.8008287493772</c:v>
                </c:pt>
                <c:pt idx="224">
                  <c:v>1778.2794100389244</c:v>
                </c:pt>
                <c:pt idx="225">
                  <c:v>1819.7008586099832</c:v>
                </c:pt>
                <c:pt idx="226">
                  <c:v>1862.0871366628687</c:v>
                </c:pt>
                <c:pt idx="227">
                  <c:v>1905.4607179632501</c:v>
                </c:pt>
                <c:pt idx="228">
                  <c:v>1949.8445997580463</c:v>
                </c:pt>
                <c:pt idx="229">
                  <c:v>1995.2623149688804</c:v>
                </c:pt>
                <c:pt idx="230">
                  <c:v>2041.7379446695318</c:v>
                </c:pt>
                <c:pt idx="231">
                  <c:v>2089.2961308540398</c:v>
                </c:pt>
                <c:pt idx="232">
                  <c:v>2137.9620895022344</c:v>
                </c:pt>
                <c:pt idx="233">
                  <c:v>2187.7616239495528</c:v>
                </c:pt>
                <c:pt idx="234">
                  <c:v>2238.7211385683418</c:v>
                </c:pt>
                <c:pt idx="235">
                  <c:v>2290.8676527677749</c:v>
                </c:pt>
                <c:pt idx="236">
                  <c:v>2344.2288153199238</c:v>
                </c:pt>
                <c:pt idx="237">
                  <c:v>2398.8329190194918</c:v>
                </c:pt>
                <c:pt idx="238">
                  <c:v>2454.7089156850338</c:v>
                </c:pt>
                <c:pt idx="239">
                  <c:v>2511.8864315095811</c:v>
                </c:pt>
                <c:pt idx="240">
                  <c:v>2570.3957827688669</c:v>
                </c:pt>
                <c:pt idx="241">
                  <c:v>2630.2679918953822</c:v>
                </c:pt>
                <c:pt idx="242">
                  <c:v>2691.5348039269184</c:v>
                </c:pt>
                <c:pt idx="243">
                  <c:v>2754.228703338169</c:v>
                </c:pt>
                <c:pt idx="244">
                  <c:v>2818.3829312644561</c:v>
                </c:pt>
                <c:pt idx="245">
                  <c:v>2884.0315031266077</c:v>
                </c:pt>
                <c:pt idx="246">
                  <c:v>2951.2092266663876</c:v>
                </c:pt>
                <c:pt idx="247">
                  <c:v>3019.9517204020176</c:v>
                </c:pt>
                <c:pt idx="248">
                  <c:v>3090.295432513592</c:v>
                </c:pt>
                <c:pt idx="249">
                  <c:v>3162.2776601683804</c:v>
                </c:pt>
                <c:pt idx="250">
                  <c:v>3235.9365692962833</c:v>
                </c:pt>
                <c:pt idx="251">
                  <c:v>3311.3112148259115</c:v>
                </c:pt>
                <c:pt idx="252">
                  <c:v>3388.4415613920314</c:v>
                </c:pt>
                <c:pt idx="253">
                  <c:v>3467.3685045253224</c:v>
                </c:pt>
                <c:pt idx="254">
                  <c:v>3548.1338923357539</c:v>
                </c:pt>
                <c:pt idx="255">
                  <c:v>3630.7805477010188</c:v>
                </c:pt>
                <c:pt idx="256">
                  <c:v>3715.352290971724</c:v>
                </c:pt>
                <c:pt idx="257">
                  <c:v>3801.8939632056172</c:v>
                </c:pt>
                <c:pt idx="258">
                  <c:v>3890.451449942811</c:v>
                </c:pt>
                <c:pt idx="259">
                  <c:v>3981.0717055349769</c:v>
                </c:pt>
                <c:pt idx="260">
                  <c:v>4073.8027780411317</c:v>
                </c:pt>
                <c:pt idx="261">
                  <c:v>4168.6938347033583</c:v>
                </c:pt>
                <c:pt idx="262">
                  <c:v>4265.7951880159299</c:v>
                </c:pt>
                <c:pt idx="263">
                  <c:v>4365.1583224016631</c:v>
                </c:pt>
                <c:pt idx="264">
                  <c:v>4466.8359215096343</c:v>
                </c:pt>
                <c:pt idx="265">
                  <c:v>4570.8818961487532</c:v>
                </c:pt>
                <c:pt idx="266">
                  <c:v>4677.3514128719844</c:v>
                </c:pt>
                <c:pt idx="267">
                  <c:v>4786.3009232263848</c:v>
                </c:pt>
                <c:pt idx="268">
                  <c:v>4897.7881936844633</c:v>
                </c:pt>
                <c:pt idx="269">
                  <c:v>5011.8723362727324</c:v>
                </c:pt>
                <c:pt idx="270">
                  <c:v>5128.6138399136489</c:v>
                </c:pt>
                <c:pt idx="271">
                  <c:v>5248.0746024977261</c:v>
                </c:pt>
                <c:pt idx="272">
                  <c:v>5370.3179637025269</c:v>
                </c:pt>
                <c:pt idx="273">
                  <c:v>5495.4087385762541</c:v>
                </c:pt>
                <c:pt idx="274">
                  <c:v>5623.4132519034993</c:v>
                </c:pt>
                <c:pt idx="275">
                  <c:v>5754.399373371567</c:v>
                </c:pt>
                <c:pt idx="276">
                  <c:v>5888.4365535558973</c:v>
                </c:pt>
                <c:pt idx="277">
                  <c:v>6025.595860743585</c:v>
                </c:pt>
                <c:pt idx="278">
                  <c:v>6165.9500186148289</c:v>
                </c:pt>
                <c:pt idx="279">
                  <c:v>6309.5734448019384</c:v>
                </c:pt>
                <c:pt idx="280">
                  <c:v>6456.5422903465615</c:v>
                </c:pt>
                <c:pt idx="281">
                  <c:v>6606.9344800759654</c:v>
                </c:pt>
                <c:pt idx="282">
                  <c:v>6760.8297539198229</c:v>
                </c:pt>
                <c:pt idx="283">
                  <c:v>6918.3097091893687</c:v>
                </c:pt>
                <c:pt idx="284">
                  <c:v>7079.4578438413828</c:v>
                </c:pt>
                <c:pt idx="285">
                  <c:v>7244.3596007499036</c:v>
                </c:pt>
                <c:pt idx="286">
                  <c:v>7413.1024130091773</c:v>
                </c:pt>
                <c:pt idx="287">
                  <c:v>7585.7757502918394</c:v>
                </c:pt>
                <c:pt idx="288">
                  <c:v>7762.4711662869322</c:v>
                </c:pt>
                <c:pt idx="289">
                  <c:v>7943.2823472428154</c:v>
                </c:pt>
                <c:pt idx="290">
                  <c:v>8128.3051616410066</c:v>
                </c:pt>
                <c:pt idx="291">
                  <c:v>8317.6377110267094</c:v>
                </c:pt>
                <c:pt idx="292">
                  <c:v>8511.3803820237772</c:v>
                </c:pt>
                <c:pt idx="293">
                  <c:v>8709.6358995608189</c:v>
                </c:pt>
                <c:pt idx="294">
                  <c:v>8912.5093813374679</c:v>
                </c:pt>
                <c:pt idx="295">
                  <c:v>9120.1083935591087</c:v>
                </c:pt>
                <c:pt idx="296">
                  <c:v>9332.5430079699217</c:v>
                </c:pt>
                <c:pt idx="297">
                  <c:v>9549.9258602143691</c:v>
                </c:pt>
                <c:pt idx="298">
                  <c:v>9772.3722095581161</c:v>
                </c:pt>
                <c:pt idx="299">
                  <c:v>10000</c:v>
                </c:pt>
                <c:pt idx="300">
                  <c:v>10232.929922807549</c:v>
                </c:pt>
                <c:pt idx="301">
                  <c:v>10471.285480509003</c:v>
                </c:pt>
                <c:pt idx="302">
                  <c:v>10715.193052376071</c:v>
                </c:pt>
                <c:pt idx="303">
                  <c:v>10964.781961431856</c:v>
                </c:pt>
                <c:pt idx="304">
                  <c:v>11220.184543019639</c:v>
                </c:pt>
                <c:pt idx="305">
                  <c:v>11481.536214968832</c:v>
                </c:pt>
                <c:pt idx="306">
                  <c:v>11748.975549395318</c:v>
                </c:pt>
                <c:pt idx="307">
                  <c:v>12022.644346174151</c:v>
                </c:pt>
                <c:pt idx="308">
                  <c:v>12302.687708123816</c:v>
                </c:pt>
                <c:pt idx="309">
                  <c:v>12589.254117941671</c:v>
                </c:pt>
                <c:pt idx="310">
                  <c:v>12882.49551693136</c:v>
                </c:pt>
                <c:pt idx="311">
                  <c:v>13182.567385564091</c:v>
                </c:pt>
                <c:pt idx="312">
                  <c:v>13489.628825916556</c:v>
                </c:pt>
                <c:pt idx="313">
                  <c:v>13803.842646028841</c:v>
                </c:pt>
                <c:pt idx="314">
                  <c:v>14125.375446227561</c:v>
                </c:pt>
                <c:pt idx="315">
                  <c:v>14454.397707459291</c:v>
                </c:pt>
                <c:pt idx="316">
                  <c:v>14791.083881682089</c:v>
                </c:pt>
                <c:pt idx="317">
                  <c:v>15135.612484362096</c:v>
                </c:pt>
                <c:pt idx="318">
                  <c:v>15488.166189124853</c:v>
                </c:pt>
                <c:pt idx="319">
                  <c:v>15848.931924611146</c:v>
                </c:pt>
                <c:pt idx="320">
                  <c:v>16218.100973589309</c:v>
                </c:pt>
                <c:pt idx="321">
                  <c:v>16595.869074375616</c:v>
                </c:pt>
                <c:pt idx="322">
                  <c:v>16982.436524617482</c:v>
                </c:pt>
                <c:pt idx="323">
                  <c:v>17378.008287493791</c:v>
                </c:pt>
                <c:pt idx="324">
                  <c:v>17782.794100389234</c:v>
                </c:pt>
                <c:pt idx="325">
                  <c:v>18197.008586099837</c:v>
                </c:pt>
                <c:pt idx="326">
                  <c:v>18620.871366628675</c:v>
                </c:pt>
                <c:pt idx="327">
                  <c:v>19054.607179632505</c:v>
                </c:pt>
                <c:pt idx="328">
                  <c:v>19498.445997580486</c:v>
                </c:pt>
                <c:pt idx="329">
                  <c:v>19952.623149688792</c:v>
                </c:pt>
                <c:pt idx="330">
                  <c:v>20417.379446695286</c:v>
                </c:pt>
                <c:pt idx="331">
                  <c:v>20892.961308540423</c:v>
                </c:pt>
                <c:pt idx="332">
                  <c:v>21379.620895022348</c:v>
                </c:pt>
                <c:pt idx="333">
                  <c:v>21877.61623949555</c:v>
                </c:pt>
                <c:pt idx="334">
                  <c:v>22387.211385683382</c:v>
                </c:pt>
                <c:pt idx="335">
                  <c:v>22908.676527677751</c:v>
                </c:pt>
                <c:pt idx="336">
                  <c:v>23442.288153199243</c:v>
                </c:pt>
                <c:pt idx="337">
                  <c:v>23988.329190194923</c:v>
                </c:pt>
                <c:pt idx="338">
                  <c:v>24547.089156850321</c:v>
                </c:pt>
                <c:pt idx="339">
                  <c:v>25118.86431509586</c:v>
                </c:pt>
                <c:pt idx="340">
                  <c:v>25703.95782768865</c:v>
                </c:pt>
                <c:pt idx="341">
                  <c:v>26302.679918953829</c:v>
                </c:pt>
                <c:pt idx="342">
                  <c:v>26915.348039269167</c:v>
                </c:pt>
                <c:pt idx="343">
                  <c:v>27542.287033381719</c:v>
                </c:pt>
                <c:pt idx="344">
                  <c:v>28183.829312644593</c:v>
                </c:pt>
                <c:pt idx="345">
                  <c:v>28840.315031266062</c:v>
                </c:pt>
                <c:pt idx="346">
                  <c:v>29512.092266663854</c:v>
                </c:pt>
                <c:pt idx="347">
                  <c:v>30199.517204020212</c:v>
                </c:pt>
                <c:pt idx="348">
                  <c:v>30902.954325135954</c:v>
                </c:pt>
                <c:pt idx="349">
                  <c:v>31622.77660168384</c:v>
                </c:pt>
                <c:pt idx="350">
                  <c:v>32359.365692962871</c:v>
                </c:pt>
                <c:pt idx="351">
                  <c:v>33113.11214825909</c:v>
                </c:pt>
                <c:pt idx="352">
                  <c:v>33884.41561392029</c:v>
                </c:pt>
                <c:pt idx="353">
                  <c:v>34673.685045253202</c:v>
                </c:pt>
                <c:pt idx="354">
                  <c:v>35481.33892335758</c:v>
                </c:pt>
                <c:pt idx="355">
                  <c:v>36307.805477010232</c:v>
                </c:pt>
                <c:pt idx="356">
                  <c:v>37153.522909717351</c:v>
                </c:pt>
                <c:pt idx="357">
                  <c:v>38018.939632056143</c:v>
                </c:pt>
                <c:pt idx="358">
                  <c:v>38904.514499428085</c:v>
                </c:pt>
                <c:pt idx="359">
                  <c:v>39810.717055349742</c:v>
                </c:pt>
                <c:pt idx="360">
                  <c:v>40738.027780411358</c:v>
                </c:pt>
                <c:pt idx="361">
                  <c:v>41686.938347033625</c:v>
                </c:pt>
                <c:pt idx="362">
                  <c:v>42657.951880159271</c:v>
                </c:pt>
                <c:pt idx="363">
                  <c:v>43651.583224016598</c:v>
                </c:pt>
                <c:pt idx="364">
                  <c:v>44668.359215096389</c:v>
                </c:pt>
                <c:pt idx="365">
                  <c:v>45708.818961487581</c:v>
                </c:pt>
                <c:pt idx="366">
                  <c:v>46773.514128719893</c:v>
                </c:pt>
                <c:pt idx="367">
                  <c:v>47863.009232263823</c:v>
                </c:pt>
                <c:pt idx="368">
                  <c:v>48977.881936844598</c:v>
                </c:pt>
                <c:pt idx="369">
                  <c:v>50118.723362727294</c:v>
                </c:pt>
                <c:pt idx="370">
                  <c:v>51286.138399136544</c:v>
                </c:pt>
                <c:pt idx="371">
                  <c:v>52480.746024977314</c:v>
                </c:pt>
                <c:pt idx="372">
                  <c:v>53703.179637025423</c:v>
                </c:pt>
                <c:pt idx="373">
                  <c:v>54954.087385762505</c:v>
                </c:pt>
                <c:pt idx="374">
                  <c:v>56234.132519034953</c:v>
                </c:pt>
                <c:pt idx="375">
                  <c:v>57543.993733715732</c:v>
                </c:pt>
                <c:pt idx="376">
                  <c:v>58884.365535558936</c:v>
                </c:pt>
                <c:pt idx="377">
                  <c:v>60255.95860743591</c:v>
                </c:pt>
                <c:pt idx="378">
                  <c:v>61659.500186148245</c:v>
                </c:pt>
                <c:pt idx="379">
                  <c:v>63095.734448019342</c:v>
                </c:pt>
                <c:pt idx="380">
                  <c:v>64565.422903465682</c:v>
                </c:pt>
                <c:pt idx="381">
                  <c:v>66069.344800759733</c:v>
                </c:pt>
                <c:pt idx="382">
                  <c:v>67608.297539198305</c:v>
                </c:pt>
                <c:pt idx="383">
                  <c:v>69183.097091893651</c:v>
                </c:pt>
                <c:pt idx="384">
                  <c:v>70794.578438413781</c:v>
                </c:pt>
                <c:pt idx="385">
                  <c:v>72443.596007499116</c:v>
                </c:pt>
                <c:pt idx="386">
                  <c:v>74131.024130091857</c:v>
                </c:pt>
                <c:pt idx="387">
                  <c:v>75857.757502918481</c:v>
                </c:pt>
                <c:pt idx="388">
                  <c:v>77624.711662869129</c:v>
                </c:pt>
                <c:pt idx="389">
                  <c:v>79432.823472428237</c:v>
                </c:pt>
                <c:pt idx="390">
                  <c:v>81283.051616410012</c:v>
                </c:pt>
                <c:pt idx="391">
                  <c:v>83176.377110267174</c:v>
                </c:pt>
                <c:pt idx="392">
                  <c:v>85113.803820237721</c:v>
                </c:pt>
                <c:pt idx="393">
                  <c:v>87096.358995608127</c:v>
                </c:pt>
                <c:pt idx="394">
                  <c:v>89125.093813374609</c:v>
                </c:pt>
                <c:pt idx="395">
                  <c:v>91201.083935591028</c:v>
                </c:pt>
                <c:pt idx="396">
                  <c:v>93325.430079699145</c:v>
                </c:pt>
                <c:pt idx="397">
                  <c:v>95499.258602143804</c:v>
                </c:pt>
                <c:pt idx="398">
                  <c:v>97723.722095581266</c:v>
                </c:pt>
                <c:pt idx="399">
                  <c:v>100000</c:v>
                </c:pt>
                <c:pt idx="400">
                  <c:v>102329.29922807543</c:v>
                </c:pt>
                <c:pt idx="401">
                  <c:v>104712.85480508996</c:v>
                </c:pt>
                <c:pt idx="402">
                  <c:v>107151.93052376082</c:v>
                </c:pt>
                <c:pt idx="403">
                  <c:v>109647.81961431868</c:v>
                </c:pt>
                <c:pt idx="404">
                  <c:v>112201.84543019651</c:v>
                </c:pt>
                <c:pt idx="405">
                  <c:v>114815.36214968823</c:v>
                </c:pt>
                <c:pt idx="406">
                  <c:v>117489.75549395311</c:v>
                </c:pt>
                <c:pt idx="407">
                  <c:v>120226.44346174144</c:v>
                </c:pt>
                <c:pt idx="408">
                  <c:v>123026.87708123829</c:v>
                </c:pt>
                <c:pt idx="409">
                  <c:v>125892.54117941685</c:v>
                </c:pt>
                <c:pt idx="410">
                  <c:v>128824.95516931375</c:v>
                </c:pt>
                <c:pt idx="411">
                  <c:v>131825.67385564081</c:v>
                </c:pt>
                <c:pt idx="412">
                  <c:v>134896.28825916545</c:v>
                </c:pt>
                <c:pt idx="413">
                  <c:v>138038.42646028858</c:v>
                </c:pt>
                <c:pt idx="414">
                  <c:v>141253.75446227577</c:v>
                </c:pt>
                <c:pt idx="415">
                  <c:v>144543.97707459307</c:v>
                </c:pt>
                <c:pt idx="416">
                  <c:v>147910.83881682079</c:v>
                </c:pt>
                <c:pt idx="417">
                  <c:v>151356.12484362084</c:v>
                </c:pt>
                <c:pt idx="418">
                  <c:v>154881.66189124843</c:v>
                </c:pt>
                <c:pt idx="419">
                  <c:v>158489.31924611164</c:v>
                </c:pt>
                <c:pt idx="420">
                  <c:v>162181.00973589328</c:v>
                </c:pt>
                <c:pt idx="421">
                  <c:v>165958.69074375604</c:v>
                </c:pt>
                <c:pt idx="422">
                  <c:v>169824.36524617471</c:v>
                </c:pt>
                <c:pt idx="423">
                  <c:v>173780.0828749378</c:v>
                </c:pt>
                <c:pt idx="424">
                  <c:v>177827.94100389251</c:v>
                </c:pt>
                <c:pt idx="425">
                  <c:v>181970.08586099857</c:v>
                </c:pt>
                <c:pt idx="426">
                  <c:v>186208.71366628664</c:v>
                </c:pt>
                <c:pt idx="427">
                  <c:v>190546.07179632492</c:v>
                </c:pt>
                <c:pt idx="428">
                  <c:v>194984.45997580473</c:v>
                </c:pt>
                <c:pt idx="429">
                  <c:v>199526.23149688813</c:v>
                </c:pt>
                <c:pt idx="430">
                  <c:v>204173.79446695308</c:v>
                </c:pt>
                <c:pt idx="431">
                  <c:v>208929.61308540447</c:v>
                </c:pt>
                <c:pt idx="432">
                  <c:v>213796.20895022334</c:v>
                </c:pt>
                <c:pt idx="433">
                  <c:v>218776.16239495538</c:v>
                </c:pt>
                <c:pt idx="434">
                  <c:v>223872.11385683404</c:v>
                </c:pt>
                <c:pt idx="435">
                  <c:v>229086.76527677779</c:v>
                </c:pt>
                <c:pt idx="436">
                  <c:v>234422.88153199267</c:v>
                </c:pt>
                <c:pt idx="437">
                  <c:v>239883.29190194907</c:v>
                </c:pt>
                <c:pt idx="438">
                  <c:v>245470.89156850305</c:v>
                </c:pt>
                <c:pt idx="439">
                  <c:v>251188.64315095844</c:v>
                </c:pt>
                <c:pt idx="440">
                  <c:v>257039.57827688678</c:v>
                </c:pt>
                <c:pt idx="441">
                  <c:v>263026.79918953858</c:v>
                </c:pt>
                <c:pt idx="442">
                  <c:v>269153.48039269145</c:v>
                </c:pt>
                <c:pt idx="443">
                  <c:v>275422.87033381703</c:v>
                </c:pt>
                <c:pt idx="444">
                  <c:v>281838.29312644573</c:v>
                </c:pt>
                <c:pt idx="445">
                  <c:v>288403.1503126609</c:v>
                </c:pt>
                <c:pt idx="446">
                  <c:v>295120.92266663886</c:v>
                </c:pt>
                <c:pt idx="447">
                  <c:v>301995.17204020242</c:v>
                </c:pt>
                <c:pt idx="448">
                  <c:v>309029.54325135931</c:v>
                </c:pt>
                <c:pt idx="449">
                  <c:v>316227.7660168382</c:v>
                </c:pt>
                <c:pt idx="450">
                  <c:v>323593.65692962846</c:v>
                </c:pt>
                <c:pt idx="451">
                  <c:v>331131.12148259126</c:v>
                </c:pt>
                <c:pt idx="452">
                  <c:v>338844.15613920329</c:v>
                </c:pt>
                <c:pt idx="453">
                  <c:v>346736.85045253241</c:v>
                </c:pt>
                <c:pt idx="454">
                  <c:v>354813.38923357555</c:v>
                </c:pt>
                <c:pt idx="455">
                  <c:v>363078.05477010203</c:v>
                </c:pt>
                <c:pt idx="456">
                  <c:v>371535.2290971732</c:v>
                </c:pt>
                <c:pt idx="457">
                  <c:v>380189.39632056188</c:v>
                </c:pt>
                <c:pt idx="458">
                  <c:v>389045.14499428123</c:v>
                </c:pt>
                <c:pt idx="459">
                  <c:v>398107.17055349716</c:v>
                </c:pt>
                <c:pt idx="460">
                  <c:v>407380.27780411334</c:v>
                </c:pt>
                <c:pt idx="461">
                  <c:v>416869.38347033598</c:v>
                </c:pt>
                <c:pt idx="462">
                  <c:v>426579.51880159322</c:v>
                </c:pt>
                <c:pt idx="463">
                  <c:v>436515.83224016649</c:v>
                </c:pt>
                <c:pt idx="464">
                  <c:v>446683.59215096442</c:v>
                </c:pt>
                <c:pt idx="465">
                  <c:v>457088.18961487547</c:v>
                </c:pt>
                <c:pt idx="466">
                  <c:v>467735.14128719864</c:v>
                </c:pt>
                <c:pt idx="467">
                  <c:v>478630.09232263872</c:v>
                </c:pt>
                <c:pt idx="468">
                  <c:v>489778.81936844654</c:v>
                </c:pt>
                <c:pt idx="469">
                  <c:v>501187.23362727347</c:v>
                </c:pt>
                <c:pt idx="470">
                  <c:v>512861.38399136515</c:v>
                </c:pt>
                <c:pt idx="471">
                  <c:v>524807.46024977288</c:v>
                </c:pt>
                <c:pt idx="472">
                  <c:v>537031.7963702539</c:v>
                </c:pt>
                <c:pt idx="473">
                  <c:v>549540.87385762564</c:v>
                </c:pt>
                <c:pt idx="474">
                  <c:v>562341.32519035018</c:v>
                </c:pt>
                <c:pt idx="475">
                  <c:v>575439.93733715697</c:v>
                </c:pt>
                <c:pt idx="476">
                  <c:v>588843.65535558888</c:v>
                </c:pt>
                <c:pt idx="477">
                  <c:v>602559.58607435878</c:v>
                </c:pt>
                <c:pt idx="478">
                  <c:v>616595.00186148309</c:v>
                </c:pt>
                <c:pt idx="479">
                  <c:v>630957.34448019415</c:v>
                </c:pt>
                <c:pt idx="480">
                  <c:v>645654.22903465747</c:v>
                </c:pt>
                <c:pt idx="481">
                  <c:v>660693.44800759677</c:v>
                </c:pt>
                <c:pt idx="482">
                  <c:v>676082.97539198259</c:v>
                </c:pt>
                <c:pt idx="483">
                  <c:v>691830.97091893724</c:v>
                </c:pt>
                <c:pt idx="484">
                  <c:v>707945.78438413853</c:v>
                </c:pt>
                <c:pt idx="485">
                  <c:v>724435.96007499192</c:v>
                </c:pt>
                <c:pt idx="486">
                  <c:v>741310.24130091805</c:v>
                </c:pt>
                <c:pt idx="487">
                  <c:v>758577.57502918423</c:v>
                </c:pt>
                <c:pt idx="488">
                  <c:v>776247.11662869214</c:v>
                </c:pt>
                <c:pt idx="489">
                  <c:v>794328.23472428333</c:v>
                </c:pt>
                <c:pt idx="490">
                  <c:v>812830.51616410096</c:v>
                </c:pt>
                <c:pt idx="491">
                  <c:v>831763.77110267128</c:v>
                </c:pt>
                <c:pt idx="492">
                  <c:v>851138.03820237669</c:v>
                </c:pt>
                <c:pt idx="493">
                  <c:v>870963.58995608077</c:v>
                </c:pt>
                <c:pt idx="494">
                  <c:v>891250.93813374708</c:v>
                </c:pt>
                <c:pt idx="495">
                  <c:v>912010.83935591124</c:v>
                </c:pt>
                <c:pt idx="496">
                  <c:v>933254.30079699249</c:v>
                </c:pt>
                <c:pt idx="497">
                  <c:v>954992.58602143743</c:v>
                </c:pt>
                <c:pt idx="498">
                  <c:v>977237.22095581202</c:v>
                </c:pt>
                <c:pt idx="499">
                  <c:v>1000000</c:v>
                </c:pt>
                <c:pt idx="500">
                  <c:v>1023292.9922807553</c:v>
                </c:pt>
                <c:pt idx="501">
                  <c:v>1047128.5480509007</c:v>
                </c:pt>
                <c:pt idx="502">
                  <c:v>1071519.3052376076</c:v>
                </c:pt>
                <c:pt idx="503">
                  <c:v>1096478.196143186</c:v>
                </c:pt>
                <c:pt idx="504">
                  <c:v>1122018.4543019643</c:v>
                </c:pt>
                <c:pt idx="505">
                  <c:v>1148153.6214968837</c:v>
                </c:pt>
                <c:pt idx="506">
                  <c:v>1174897.5549395324</c:v>
                </c:pt>
                <c:pt idx="507">
                  <c:v>1202264.4346174158</c:v>
                </c:pt>
                <c:pt idx="508">
                  <c:v>1230268.770812382</c:v>
                </c:pt>
                <c:pt idx="509">
                  <c:v>1258925.4117941677</c:v>
                </c:pt>
                <c:pt idx="510">
                  <c:v>1288249.5516931366</c:v>
                </c:pt>
                <c:pt idx="511">
                  <c:v>1318256.7385564097</c:v>
                </c:pt>
                <c:pt idx="512">
                  <c:v>1348962.8825916562</c:v>
                </c:pt>
                <c:pt idx="513">
                  <c:v>1380384.2646028849</c:v>
                </c:pt>
                <c:pt idx="514">
                  <c:v>1412537.5446227565</c:v>
                </c:pt>
                <c:pt idx="515">
                  <c:v>1445439.7707459298</c:v>
                </c:pt>
                <c:pt idx="516">
                  <c:v>1479108.3881682095</c:v>
                </c:pt>
                <c:pt idx="517">
                  <c:v>1513561.2484362102</c:v>
                </c:pt>
                <c:pt idx="518">
                  <c:v>1548816.6189124861</c:v>
                </c:pt>
                <c:pt idx="519">
                  <c:v>1584893.1924611153</c:v>
                </c:pt>
                <c:pt idx="520">
                  <c:v>1621810.0973589318</c:v>
                </c:pt>
                <c:pt idx="521">
                  <c:v>1659586.9074375622</c:v>
                </c:pt>
                <c:pt idx="522">
                  <c:v>1698243.6524617488</c:v>
                </c:pt>
                <c:pt idx="523">
                  <c:v>1737800.8287493798</c:v>
                </c:pt>
                <c:pt idx="524">
                  <c:v>1778279.4100389241</c:v>
                </c:pt>
                <c:pt idx="525">
                  <c:v>1819700.8586099846</c:v>
                </c:pt>
                <c:pt idx="526">
                  <c:v>1862087.1366628683</c:v>
                </c:pt>
                <c:pt idx="527">
                  <c:v>1905460.7179632513</c:v>
                </c:pt>
                <c:pt idx="528">
                  <c:v>1949844.5997580495</c:v>
                </c:pt>
                <c:pt idx="529">
                  <c:v>1995262.31496888</c:v>
                </c:pt>
                <c:pt idx="530">
                  <c:v>2041737.9446695296</c:v>
                </c:pt>
                <c:pt idx="531">
                  <c:v>2089296.1308540432</c:v>
                </c:pt>
                <c:pt idx="532">
                  <c:v>2137962.0895022359</c:v>
                </c:pt>
                <c:pt idx="533">
                  <c:v>2187761.6239495561</c:v>
                </c:pt>
                <c:pt idx="534">
                  <c:v>2238721.1385683389</c:v>
                </c:pt>
                <c:pt idx="535">
                  <c:v>2290867.6527677765</c:v>
                </c:pt>
                <c:pt idx="536">
                  <c:v>2344228.8153199251</c:v>
                </c:pt>
                <c:pt idx="537">
                  <c:v>2398832.9190194933</c:v>
                </c:pt>
                <c:pt idx="538">
                  <c:v>2454708.915685033</c:v>
                </c:pt>
                <c:pt idx="539">
                  <c:v>2511886.431509587</c:v>
                </c:pt>
                <c:pt idx="540">
                  <c:v>2570395.782768866</c:v>
                </c:pt>
                <c:pt idx="541">
                  <c:v>2630267.9918953842</c:v>
                </c:pt>
              </c:numCache>
            </c:numRef>
          </c:xVal>
          <c:yVal>
            <c:numRef>
              <c:f>Control_Loop_Tables!$BJ$19:$BJ$560</c:f>
              <c:numCache>
                <c:formatCode>General</c:formatCode>
                <c:ptCount val="542"/>
                <c:pt idx="0">
                  <c:v>93.199762438684829</c:v>
                </c:pt>
                <c:pt idx="1">
                  <c:v>93.166760597240781</c:v>
                </c:pt>
                <c:pt idx="2">
                  <c:v>93.132748065919742</c:v>
                </c:pt>
                <c:pt idx="3">
                  <c:v>93.097790704633894</c:v>
                </c:pt>
                <c:pt idx="4">
                  <c:v>93.061954377179006</c:v>
                </c:pt>
                <c:pt idx="5">
                  <c:v>93.025304699589356</c:v>
                </c:pt>
                <c:pt idx="6">
                  <c:v>92.987906802763419</c:v>
                </c:pt>
                <c:pt idx="7">
                  <c:v>92.94982511033075</c:v>
                </c:pt>
                <c:pt idx="8">
                  <c:v>92.911123132515499</c:v>
                </c:pt>
                <c:pt idx="9">
                  <c:v>92.871863276521751</c:v>
                </c:pt>
                <c:pt idx="10">
                  <c:v>92.832106673771762</c:v>
                </c:pt>
                <c:pt idx="11">
                  <c:v>92.791913024134232</c:v>
                </c:pt>
                <c:pt idx="12">
                  <c:v>92.75134045709693</c:v>
                </c:pt>
                <c:pt idx="13">
                  <c:v>92.710445409686031</c:v>
                </c:pt>
                <c:pt idx="14">
                  <c:v>92.669282520780897</c:v>
                </c:pt>
                <c:pt idx="15">
                  <c:v>92.627904541356514</c:v>
                </c:pt>
                <c:pt idx="16">
                  <c:v>92.586362260068881</c:v>
                </c:pt>
                <c:pt idx="17">
                  <c:v>92.544704443513766</c:v>
                </c:pt>
                <c:pt idx="18">
                  <c:v>92.502977790409034</c:v>
                </c:pt>
                <c:pt idx="19">
                  <c:v>92.461226898899426</c:v>
                </c:pt>
                <c:pt idx="20">
                  <c:v>92.419494246132601</c:v>
                </c:pt>
                <c:pt idx="21">
                  <c:v>92.377820179229289</c:v>
                </c:pt>
                <c:pt idx="22">
                  <c:v>92.336242916756518</c:v>
                </c:pt>
                <c:pt idx="23">
                  <c:v>92.294798559803198</c:v>
                </c:pt>
                <c:pt idx="24">
                  <c:v>92.253521111764528</c:v>
                </c:pt>
                <c:pt idx="25">
                  <c:v>92.212442505961292</c:v>
                </c:pt>
                <c:pt idx="26">
                  <c:v>92.171592640233314</c:v>
                </c:pt>
                <c:pt idx="27">
                  <c:v>92.130999417680371</c:v>
                </c:pt>
                <c:pt idx="28">
                  <c:v>92.090688792761398</c:v>
                </c:pt>
                <c:pt idx="29">
                  <c:v>92.050684821990572</c:v>
                </c:pt>
                <c:pt idx="30">
                  <c:v>92.011009718522686</c:v>
                </c:pt>
                <c:pt idx="31">
                  <c:v>91.971683909951679</c:v>
                </c:pt>
                <c:pt idx="32">
                  <c:v>91.932726098702929</c:v>
                </c:pt>
                <c:pt idx="33">
                  <c:v>91.894153324437141</c:v>
                </c:pt>
                <c:pt idx="34">
                  <c:v>91.855981027933311</c:v>
                </c:pt>
                <c:pt idx="35">
                  <c:v>91.818223115965651</c:v>
                </c:pt>
                <c:pt idx="36">
                  <c:v>91.780892026727926</c:v>
                </c:pt>
                <c:pt idx="37">
                  <c:v>91.743998795409723</c:v>
                </c:pt>
                <c:pt idx="38">
                  <c:v>91.707553119564523</c:v>
                </c:pt>
                <c:pt idx="39">
                  <c:v>91.671563423953884</c:v>
                </c:pt>
                <c:pt idx="40">
                  <c:v>91.636036924586008</c:v>
                </c:pt>
                <c:pt idx="41">
                  <c:v>91.600979691704822</c:v>
                </c:pt>
                <c:pt idx="42">
                  <c:v>91.56639671152071</c:v>
                </c:pt>
                <c:pt idx="43">
                  <c:v>91.532291946500322</c:v>
                </c:pt>
                <c:pt idx="44">
                  <c:v>91.498668394066783</c:v>
                </c:pt>
                <c:pt idx="45">
                  <c:v>91.46552814358347</c:v>
                </c:pt>
                <c:pt idx="46">
                  <c:v>91.432872431523649</c:v>
                </c:pt>
                <c:pt idx="47">
                  <c:v>91.400701694745422</c:v>
                </c:pt>
                <c:pt idx="48">
                  <c:v>91.369015621814441</c:v>
                </c:pt>
                <c:pt idx="49">
                  <c:v>91.337813202334047</c:v>
                </c:pt>
                <c:pt idx="50">
                  <c:v>91.307092774258479</c:v>
                </c:pt>
                <c:pt idx="51">
                  <c:v>91.276852069177522</c:v>
                </c:pt>
                <c:pt idx="52">
                  <c:v>91.247088255577196</c:v>
                </c:pt>
                <c:pt idx="53">
                  <c:v>91.217797980087227</c:v>
                </c:pt>
                <c:pt idx="54">
                  <c:v>91.188977406740179</c:v>
                </c:pt>
                <c:pt idx="55">
                  <c:v>91.160622254271615</c:v>
                </c:pt>
                <c:pt idx="56">
                  <c:v>91.132727831500404</c:v>
                </c:pt>
                <c:pt idx="57">
                  <c:v>91.105289070832427</c:v>
                </c:pt>
                <c:pt idx="58">
                  <c:v>91.078300559935698</c:v>
                </c:pt>
                <c:pt idx="59">
                  <c:v>91.051756571641036</c:v>
                </c:pt>
                <c:pt idx="60">
                  <c:v>91.025651092122359</c:v>
                </c:pt>
                <c:pt idx="61">
                  <c:v>90.999977847415266</c:v>
                </c:pt>
                <c:pt idx="62">
                  <c:v>90.974730328333862</c:v>
                </c:pt>
                <c:pt idx="63">
                  <c:v>90.949901813846026</c:v>
                </c:pt>
                <c:pt idx="64">
                  <c:v>90.925485392969662</c:v>
                </c:pt>
                <c:pt idx="65">
                  <c:v>90.901473985249126</c:v>
                </c:pt>
                <c:pt idx="66">
                  <c:v>90.877860359876919</c:v>
                </c:pt>
                <c:pt idx="67">
                  <c:v>90.854637153517672</c:v>
                </c:pt>
                <c:pt idx="68">
                  <c:v>90.831796886897266</c:v>
                </c:pt>
                <c:pt idx="69">
                  <c:v>90.809331980213841</c:v>
                </c:pt>
                <c:pt idx="70">
                  <c:v>90.78723476743022</c:v>
                </c:pt>
                <c:pt idx="71">
                  <c:v>90.765497509502012</c:v>
                </c:pt>
                <c:pt idx="72">
                  <c:v>90.744112406597125</c:v>
                </c:pt>
                <c:pt idx="73">
                  <c:v>90.723071609359664</c:v>
                </c:pt>
                <c:pt idx="74">
                  <c:v>90.702367229268063</c:v>
                </c:pt>
                <c:pt idx="75">
                  <c:v>90.681991348137899</c:v>
                </c:pt>
                <c:pt idx="76">
                  <c:v>90.661936026816264</c:v>
                </c:pt>
                <c:pt idx="77">
                  <c:v>90.642193313113211</c:v>
                </c:pt>
                <c:pt idx="78">
                  <c:v>90.622755249013608</c:v>
                </c:pt>
                <c:pt idx="79">
                  <c:v>90.603613877211345</c:v>
                </c:pt>
                <c:pt idx="80">
                  <c:v>90.584761247005943</c:v>
                </c:pt>
                <c:pt idx="81">
                  <c:v>90.566189419598544</c:v>
                </c:pt>
                <c:pt idx="82">
                  <c:v>90.547890472824548</c:v>
                </c:pt>
                <c:pt idx="83">
                  <c:v>90.529856505356477</c:v>
                </c:pt>
                <c:pt idx="84">
                  <c:v>90.512079640409652</c:v>
                </c:pt>
                <c:pt idx="85">
                  <c:v>90.494552028982525</c:v>
                </c:pt>
                <c:pt idx="86">
                  <c:v>90.477265852659443</c:v>
                </c:pt>
                <c:pt idx="87">
                  <c:v>90.460213326004833</c:v>
                </c:pt>
                <c:pt idx="88">
                  <c:v>90.443386698574798</c:v>
                </c:pt>
                <c:pt idx="89">
                  <c:v>90.426778256569705</c:v>
                </c:pt>
                <c:pt idx="90">
                  <c:v>90.410380324153437</c:v>
                </c:pt>
                <c:pt idx="91">
                  <c:v>90.394185264458102</c:v>
                </c:pt>
                <c:pt idx="92">
                  <c:v>90.378185480298569</c:v>
                </c:pt>
                <c:pt idx="93">
                  <c:v>90.362373414612904</c:v>
                </c:pt>
                <c:pt idx="94">
                  <c:v>90.346741550649483</c:v>
                </c:pt>
                <c:pt idx="95">
                  <c:v>90.331282411916732</c:v>
                </c:pt>
                <c:pt idx="96">
                  <c:v>90.315988561912079</c:v>
                </c:pt>
                <c:pt idx="97">
                  <c:v>90.300852603645396</c:v>
                </c:pt>
                <c:pt idx="98">
                  <c:v>90.285867178970264</c:v>
                </c:pt>
                <c:pt idx="99">
                  <c:v>90.27102496773837</c:v>
                </c:pt>
                <c:pt idx="100">
                  <c:v>90.256318686786656</c:v>
                </c:pt>
                <c:pt idx="101">
                  <c:v>90.241741088771761</c:v>
                </c:pt>
                <c:pt idx="102">
                  <c:v>90.22728496086043</c:v>
                </c:pt>
                <c:pt idx="103">
                  <c:v>90.212943123287417</c:v>
                </c:pt>
                <c:pt idx="104">
                  <c:v>90.198708427790166</c:v>
                </c:pt>
                <c:pt idx="105">
                  <c:v>90.184573755928653</c:v>
                </c:pt>
                <c:pt idx="106">
                  <c:v>90.170532017299152</c:v>
                </c:pt>
                <c:pt idx="107">
                  <c:v>90.156576147649886</c:v>
                </c:pt>
                <c:pt idx="108">
                  <c:v>90.142699106905184</c:v>
                </c:pt>
                <c:pt idx="109">
                  <c:v>90.128893877105654</c:v>
                </c:pt>
                <c:pt idx="110">
                  <c:v>90.115153460270022</c:v>
                </c:pt>
                <c:pt idx="111">
                  <c:v>90.10147087618499</c:v>
                </c:pt>
                <c:pt idx="112">
                  <c:v>90.087839160128539</c:v>
                </c:pt>
                <c:pt idx="113">
                  <c:v>90.074251360531917</c:v>
                </c:pt>
                <c:pt idx="114">
                  <c:v>90.06070053658452</c:v>
                </c:pt>
                <c:pt idx="115">
                  <c:v>90.047179755787681</c:v>
                </c:pt>
                <c:pt idx="116">
                  <c:v>90.033682091459738</c:v>
                </c:pt>
                <c:pt idx="117">
                  <c:v>90.020200620197926</c:v>
                </c:pt>
                <c:pt idx="118">
                  <c:v>90.006728419300003</c:v>
                </c:pt>
                <c:pt idx="119">
                  <c:v>89.993258564149798</c:v>
                </c:pt>
                <c:pt idx="120">
                  <c:v>89.979784125569211</c:v>
                </c:pt>
                <c:pt idx="121">
                  <c:v>89.966298167141133</c:v>
                </c:pt>
                <c:pt idx="122">
                  <c:v>89.952793742505065</c:v>
                </c:pt>
                <c:pt idx="123">
                  <c:v>89.939263892629313</c:v>
                </c:pt>
                <c:pt idx="124">
                  <c:v>89.925701643062325</c:v>
                </c:pt>
                <c:pt idx="125">
                  <c:v>89.912100001165953</c:v>
                </c:pt>
                <c:pt idx="126">
                  <c:v>89.898451953333193</c:v>
                </c:pt>
                <c:pt idx="127">
                  <c:v>89.884750462193566</c:v>
                </c:pt>
                <c:pt idx="128">
                  <c:v>89.870988463808189</c:v>
                </c:pt>
                <c:pt idx="129">
                  <c:v>89.857158864857396</c:v>
                </c:pt>
                <c:pt idx="130">
                  <c:v>89.843254539824045</c:v>
                </c:pt>
                <c:pt idx="131">
                  <c:v>89.82926832817401</c:v>
                </c:pt>
                <c:pt idx="132">
                  <c:v>89.815193031537959</c:v>
                </c:pt>
                <c:pt idx="133">
                  <c:v>89.801021410895999</c:v>
                </c:pt>
                <c:pt idx="134">
                  <c:v>89.786746183768614</c:v>
                </c:pt>
                <c:pt idx="135">
                  <c:v>89.772360021416958</c:v>
                </c:pt>
                <c:pt idx="136">
                  <c:v>89.757855546054699</c:v>
                </c:pt>
                <c:pt idx="137">
                  <c:v>89.743225328075752</c:v>
                </c:pt>
                <c:pt idx="138">
                  <c:v>89.728461883300056</c:v>
                </c:pt>
                <c:pt idx="139">
                  <c:v>89.713557670241499</c:v>
                </c:pt>
                <c:pt idx="140">
                  <c:v>89.698505087401557</c:v>
                </c:pt>
                <c:pt idx="141">
                  <c:v>89.683296470592154</c:v>
                </c:pt>
                <c:pt idx="142">
                  <c:v>89.66792409029172</c:v>
                </c:pt>
                <c:pt idx="143">
                  <c:v>89.652380149039118</c:v>
                </c:pt>
                <c:pt idx="144">
                  <c:v>89.636656778869352</c:v>
                </c:pt>
                <c:pt idx="145">
                  <c:v>89.620746038796199</c:v>
                </c:pt>
                <c:pt idx="146">
                  <c:v>89.604639912346371</c:v>
                </c:pt>
                <c:pt idx="147">
                  <c:v>89.588330305150095</c:v>
                </c:pt>
                <c:pt idx="148">
                  <c:v>89.571809042594822</c:v>
                </c:pt>
                <c:pt idx="149">
                  <c:v>89.555067867546725</c:v>
                </c:pt>
                <c:pt idx="150">
                  <c:v>89.538098438146207</c:v>
                </c:pt>
                <c:pt idx="151">
                  <c:v>89.520892325684613</c:v>
                </c:pt>
                <c:pt idx="152">
                  <c:v>89.503441012568345</c:v>
                </c:pt>
                <c:pt idx="153">
                  <c:v>89.485735890376958</c:v>
                </c:pt>
                <c:pt idx="154">
                  <c:v>89.467768258024293</c:v>
                </c:pt>
                <c:pt idx="155">
                  <c:v>89.449529320028788</c:v>
                </c:pt>
                <c:pt idx="156">
                  <c:v>89.431010184901183</c:v>
                </c:pt>
                <c:pt idx="157">
                  <c:v>89.412201863660073</c:v>
                </c:pt>
                <c:pt idx="158">
                  <c:v>89.393095268481417</c:v>
                </c:pt>
                <c:pt idx="159">
                  <c:v>89.373681211492766</c:v>
                </c:pt>
                <c:pt idx="160">
                  <c:v>89.353950403720845</c:v>
                </c:pt>
                <c:pt idx="161">
                  <c:v>89.333893454203363</c:v>
                </c:pt>
                <c:pt idx="162">
                  <c:v>89.313500869273057</c:v>
                </c:pt>
                <c:pt idx="163">
                  <c:v>89.292763052026217</c:v>
                </c:pt>
                <c:pt idx="164">
                  <c:v>89.271670301984628</c:v>
                </c:pt>
                <c:pt idx="165">
                  <c:v>89.250212814961259</c:v>
                </c:pt>
                <c:pt idx="166">
                  <c:v>89.228380683142447</c:v>
                </c:pt>
                <c:pt idx="167">
                  <c:v>89.206163895393516</c:v>
                </c:pt>
                <c:pt idx="168">
                  <c:v>89.1835523378018</c:v>
                </c:pt>
                <c:pt idx="169">
                  <c:v>89.160535794465432</c:v>
                </c:pt>
                <c:pt idx="170">
                  <c:v>89.13710394853787</c:v>
                </c:pt>
                <c:pt idx="171">
                  <c:v>89.113246383538652</c:v>
                </c:pt>
                <c:pt idx="172">
                  <c:v>89.088952584939733</c:v>
                </c:pt>
                <c:pt idx="173">
                  <c:v>89.064211942033808</c:v>
                </c:pt>
                <c:pt idx="174">
                  <c:v>89.039013750094909</c:v>
                </c:pt>
                <c:pt idx="175">
                  <c:v>89.013347212835455</c:v>
                </c:pt>
                <c:pt idx="176">
                  <c:v>88.987201445166647</c:v>
                </c:pt>
                <c:pt idx="177">
                  <c:v>88.960565476265316</c:v>
                </c:pt>
                <c:pt idx="178">
                  <c:v>88.933428252949028</c:v>
                </c:pt>
                <c:pt idx="179">
                  <c:v>88.905778643360364</c:v>
                </c:pt>
                <c:pt idx="180">
                  <c:v>88.877605440956444</c:v>
                </c:pt>
                <c:pt idx="181">
                  <c:v>88.848897368801644</c:v>
                </c:pt>
                <c:pt idx="182">
                  <c:v>88.819643084152673</c:v>
                </c:pt>
                <c:pt idx="183">
                  <c:v>88.789831183326541</c:v>
                </c:pt>
                <c:pt idx="184">
                  <c:v>88.759450206835893</c:v>
                </c:pt>
                <c:pt idx="185">
                  <c:v>88.72848864477244</c:v>
                </c:pt>
                <c:pt idx="186">
                  <c:v>88.69693494241676</c:v>
                </c:pt>
                <c:pt idx="187">
                  <c:v>88.6647775060421</c:v>
                </c:pt>
                <c:pt idx="188">
                  <c:v>88.632004708880885</c:v>
                </c:pt>
                <c:pt idx="189">
                  <c:v>88.598604897213946</c:v>
                </c:pt>
                <c:pt idx="190">
                  <c:v>88.564566396532996</c:v>
                </c:pt>
                <c:pt idx="191">
                  <c:v>88.529877517727414</c:v>
                </c:pt>
                <c:pt idx="192">
                  <c:v>88.494526563228618</c:v>
                </c:pt>
                <c:pt idx="193">
                  <c:v>88.458501833049496</c:v>
                </c:pt>
                <c:pt idx="194">
                  <c:v>88.421791630637273</c:v>
                </c:pt>
                <c:pt idx="195">
                  <c:v>88.384384268456699</c:v>
                </c:pt>
                <c:pt idx="196">
                  <c:v>88.346268073207767</c:v>
                </c:pt>
                <c:pt idx="197">
                  <c:v>88.307431390575516</c:v>
                </c:pt>
                <c:pt idx="198">
                  <c:v>88.267862589397168</c:v>
                </c:pt>
                <c:pt idx="199">
                  <c:v>88.227550065125641</c:v>
                </c:pt>
                <c:pt idx="200">
                  <c:v>88.186482242455867</c:v>
                </c:pt>
                <c:pt idx="201">
                  <c:v>88.144647576974108</c:v>
                </c:pt>
                <c:pt idx="202">
                  <c:v>88.102034555677889</c:v>
                </c:pt>
                <c:pt idx="203">
                  <c:v>88.058631696210895</c:v>
                </c:pt>
                <c:pt idx="204">
                  <c:v>88.014427544642317</c:v>
                </c:pt>
                <c:pt idx="205">
                  <c:v>87.969410671620452</c:v>
                </c:pt>
                <c:pt idx="206">
                  <c:v>87.923569666719473</c:v>
                </c:pt>
                <c:pt idx="207">
                  <c:v>87.876893130797185</c:v>
                </c:pt>
                <c:pt idx="208">
                  <c:v>87.829369666174884</c:v>
                </c:pt>
                <c:pt idx="209">
                  <c:v>87.780987864454133</c:v>
                </c:pt>
                <c:pt idx="210">
                  <c:v>87.73173629178423</c:v>
                </c:pt>
                <c:pt idx="211">
                  <c:v>87.681603471395547</c:v>
                </c:pt>
                <c:pt idx="212">
                  <c:v>87.630577863225668</c:v>
                </c:pt>
                <c:pt idx="213">
                  <c:v>87.578647840469316</c:v>
                </c:pt>
                <c:pt idx="214">
                  <c:v>87.525801662898346</c:v>
                </c:pt>
                <c:pt idx="215">
                  <c:v>87.472027446814451</c:v>
                </c:pt>
                <c:pt idx="216">
                  <c:v>87.417313131512515</c:v>
                </c:pt>
                <c:pt idx="217">
                  <c:v>87.361646442162041</c:v>
                </c:pt>
                <c:pt idx="218">
                  <c:v>87.305014849033554</c:v>
                </c:pt>
                <c:pt idx="219">
                  <c:v>87.2474055230348</c:v>
                </c:pt>
                <c:pt idx="220">
                  <c:v>87.188805287547623</c:v>
                </c:pt>
                <c:pt idx="221">
                  <c:v>87.12920056659955</c:v>
                </c:pt>
                <c:pt idx="222">
                  <c:v>87.068577329443016</c:v>
                </c:pt>
                <c:pt idx="223">
                  <c:v>87.00692103165629</c:v>
                </c:pt>
                <c:pt idx="224">
                  <c:v>86.944216552927571</c:v>
                </c:pt>
                <c:pt idx="225">
                  <c:v>86.880448131730901</c:v>
                </c:pt>
                <c:pt idx="226">
                  <c:v>86.81559929714814</c:v>
                </c:pt>
                <c:pt idx="227">
                  <c:v>86.74965279814252</c:v>
                </c:pt>
                <c:pt idx="228">
                  <c:v>86.682590530633917</c:v>
                </c:pt>
                <c:pt idx="229">
                  <c:v>86.614393462775425</c:v>
                </c:pt>
                <c:pt idx="230">
                  <c:v>86.545041558870423</c:v>
                </c:pt>
                <c:pt idx="231">
                  <c:v>86.474513702410547</c:v>
                </c:pt>
                <c:pt idx="232">
                  <c:v>86.402787618754175</c:v>
                </c:pt>
                <c:pt idx="233">
                  <c:v>86.329839797987589</c:v>
                </c:pt>
                <c:pt idx="234">
                  <c:v>86.255645418543068</c:v>
                </c:pt>
                <c:pt idx="235">
                  <c:v>86.180178272155018</c:v>
                </c:pt>
                <c:pt idx="236">
                  <c:v>86.103410690753662</c:v>
                </c:pt>
                <c:pt idx="237">
                  <c:v>86.025313475889206</c:v>
                </c:pt>
                <c:pt idx="238">
                  <c:v>85.945855831267508</c:v>
                </c:pt>
                <c:pt idx="239">
                  <c:v>85.865005298973159</c:v>
                </c:pt>
                <c:pt idx="240">
                  <c:v>85.782727699911504</c:v>
                </c:pt>
                <c:pt idx="241">
                  <c:v>85.698987078977112</c:v>
                </c:pt>
                <c:pt idx="242">
                  <c:v>85.613745655407001</c:v>
                </c:pt>
                <c:pt idx="243">
                  <c:v>85.52696377872509</c:v>
                </c:pt>
                <c:pt idx="244">
                  <c:v>85.438599890620949</c:v>
                </c:pt>
                <c:pt idx="245">
                  <c:v>85.348610493046152</c:v>
                </c:pt>
                <c:pt idx="246">
                  <c:v>85.256950122741145</c:v>
                </c:pt>
                <c:pt idx="247">
                  <c:v>85.163571332316621</c:v>
                </c:pt>
                <c:pt idx="248">
                  <c:v>85.068424677968039</c:v>
                </c:pt>
                <c:pt idx="249">
                  <c:v>84.971458713788877</c:v>
                </c:pt>
                <c:pt idx="250">
                  <c:v>84.872619992603106</c:v>
                </c:pt>
                <c:pt idx="251">
                  <c:v>84.771853073145977</c:v>
                </c:pt>
                <c:pt idx="252">
                  <c:v>84.66910053336548</c:v>
                </c:pt>
                <c:pt idx="253">
                  <c:v>84.564302989540295</c:v>
                </c:pt>
                <c:pt idx="254">
                  <c:v>84.457399120869837</c:v>
                </c:pt>
                <c:pt idx="255">
                  <c:v>84.348325699125311</c:v>
                </c:pt>
                <c:pt idx="256">
                  <c:v>84.237017622919623</c:v>
                </c:pt>
                <c:pt idx="257">
                  <c:v>84.123407956125547</c:v>
                </c:pt>
                <c:pt idx="258">
                  <c:v>84.007427969934497</c:v>
                </c:pt>
                <c:pt idx="259">
                  <c:v>83.889007188044943</c:v>
                </c:pt>
                <c:pt idx="260">
                  <c:v>83.768073434472001</c:v>
                </c:pt>
                <c:pt idx="261">
                  <c:v>83.644552883454963</c:v>
                </c:pt>
                <c:pt idx="262">
                  <c:v>83.518370110973919</c:v>
                </c:pt>
                <c:pt idx="263">
                  <c:v>83.389448147401225</c:v>
                </c:pt>
                <c:pt idx="264">
                  <c:v>83.257708530835998</c:v>
                </c:pt>
                <c:pt idx="265">
                  <c:v>83.123071360718669</c:v>
                </c:pt>
                <c:pt idx="266">
                  <c:v>82.985455351362617</c:v>
                </c:pt>
                <c:pt idx="267">
                  <c:v>82.844777885070741</c:v>
                </c:pt>
                <c:pt idx="268">
                  <c:v>82.700955064584662</c:v>
                </c:pt>
                <c:pt idx="269">
                  <c:v>82.55390176463699</c:v>
                </c:pt>
                <c:pt idx="270">
                  <c:v>82.403531682452922</c:v>
                </c:pt>
                <c:pt idx="271">
                  <c:v>82.249757387097802</c:v>
                </c:pt>
                <c:pt idx="272">
                  <c:v>82.09249036761787</c:v>
                </c:pt>
                <c:pt idx="273">
                  <c:v>81.931641079982612</c:v>
                </c:pt>
                <c:pt idx="274">
                  <c:v>81.767118992892563</c:v>
                </c:pt>
                <c:pt idx="275">
                  <c:v>81.59883263255945</c:v>
                </c:pt>
                <c:pt idx="276">
                  <c:v>81.426689626627393</c:v>
                </c:pt>
                <c:pt idx="277">
                  <c:v>81.250596747440753</c:v>
                </c:pt>
                <c:pt idx="278">
                  <c:v>81.070459954908699</c:v>
                </c:pt>
                <c:pt idx="279">
                  <c:v>80.886184439266941</c:v>
                </c:pt>
                <c:pt idx="280">
                  <c:v>80.697674664057189</c:v>
                </c:pt>
                <c:pt idx="281">
                  <c:v>80.504834409697622</c:v>
                </c:pt>
                <c:pt idx="282">
                  <c:v>80.307566818026785</c:v>
                </c:pt>
                <c:pt idx="283">
                  <c:v>80.105774438249966</c:v>
                </c:pt>
                <c:pt idx="284">
                  <c:v>79.899359274727416</c:v>
                </c:pt>
                <c:pt idx="285">
                  <c:v>79.688222837063634</c:v>
                </c:pt>
                <c:pt idx="286">
                  <c:v>79.472266192987263</c:v>
                </c:pt>
                <c:pt idx="287">
                  <c:v>79.25139002450608</c:v>
                </c:pt>
                <c:pt idx="288">
                  <c:v>79.025494687849658</c:v>
                </c:pt>
                <c:pt idx="289">
                  <c:v>78.794480277711244</c:v>
                </c:pt>
                <c:pt idx="290">
                  <c:v>78.558246696311969</c:v>
                </c:pt>
                <c:pt idx="291">
                  <c:v>78.316693727810332</c:v>
                </c:pt>
                <c:pt idx="292">
                  <c:v>78.069721118587168</c:v>
                </c:pt>
                <c:pt idx="293">
                  <c:v>77.817228663930038</c:v>
                </c:pt>
                <c:pt idx="294">
                  <c:v>77.559116301642561</c:v>
                </c:pt>
                <c:pt idx="295">
                  <c:v>77.295284213097801</c:v>
                </c:pt>
                <c:pt idx="296">
                  <c:v>77.025632932248755</c:v>
                </c:pt>
                <c:pt idx="297">
                  <c:v>76.750063463096566</c:v>
                </c:pt>
                <c:pt idx="298">
                  <c:v>76.468477406105961</c:v>
                </c:pt>
                <c:pt idx="299">
                  <c:v>76.180777094050882</c:v>
                </c:pt>
                <c:pt idx="300">
                  <c:v>75.886865737736414</c:v>
                </c:pt>
                <c:pt idx="301">
                  <c:v>75.586647582042801</c:v>
                </c:pt>
                <c:pt idx="302">
                  <c:v>75.280028072699679</c:v>
                </c:pt>
                <c:pt idx="303">
                  <c:v>74.966914034172305</c:v>
                </c:pt>
                <c:pt idx="304">
                  <c:v>74.647213859014585</c:v>
                </c:pt>
                <c:pt idx="305">
                  <c:v>74.320837708996251</c:v>
                </c:pt>
                <c:pt idx="306">
                  <c:v>73.987697728278434</c:v>
                </c:pt>
                <c:pt idx="307">
                  <c:v>73.647708268859489</c:v>
                </c:pt>
                <c:pt idx="308">
                  <c:v>73.30078612845621</c:v>
                </c:pt>
                <c:pt idx="309">
                  <c:v>72.946850800932381</c:v>
                </c:pt>
                <c:pt idx="310">
                  <c:v>72.585824739314575</c:v>
                </c:pt>
                <c:pt idx="311">
                  <c:v>72.217633631359689</c:v>
                </c:pt>
                <c:pt idx="312">
                  <c:v>71.842206687563404</c:v>
                </c:pt>
                <c:pt idx="313">
                  <c:v>71.45947694140493</c:v>
                </c:pt>
                <c:pt idx="314">
                  <c:v>71.069381561523173</c:v>
                </c:pt>
                <c:pt idx="315">
                  <c:v>70.671862175423556</c:v>
                </c:pt>
                <c:pt idx="316">
                  <c:v>70.26686520419041</c:v>
                </c:pt>
                <c:pt idx="317">
                  <c:v>69.854342207564258</c:v>
                </c:pt>
                <c:pt idx="318">
                  <c:v>69.434250238611966</c:v>
                </c:pt>
                <c:pt idx="319">
                  <c:v>69.006552207077306</c:v>
                </c:pt>
                <c:pt idx="320">
                  <c:v>68.571217250358288</c:v>
                </c:pt>
                <c:pt idx="321">
                  <c:v>68.12822111090351</c:v>
                </c:pt>
                <c:pt idx="322">
                  <c:v>67.67754651866008</c:v>
                </c:pt>
                <c:pt idx="323">
                  <c:v>67.219183577047332</c:v>
                </c:pt>
                <c:pt idx="324">
                  <c:v>66.753130150761208</c:v>
                </c:pt>
                <c:pt idx="325">
                  <c:v>66.279392253546803</c:v>
                </c:pt>
                <c:pt idx="326">
                  <c:v>65.797984433908937</c:v>
                </c:pt>
                <c:pt idx="327">
                  <c:v>65.308930156561743</c:v>
                </c:pt>
                <c:pt idx="328">
                  <c:v>64.812262177258944</c:v>
                </c:pt>
                <c:pt idx="329">
                  <c:v>64.308022908482812</c:v>
                </c:pt>
                <c:pt idx="330">
                  <c:v>63.79626477333467</c:v>
                </c:pt>
                <c:pt idx="331">
                  <c:v>63.277050544819332</c:v>
                </c:pt>
                <c:pt idx="332">
                  <c:v>62.750453667609456</c:v>
                </c:pt>
                <c:pt idx="333">
                  <c:v>62.216558559261635</c:v>
                </c:pt>
                <c:pt idx="334">
                  <c:v>61.675460887788667</c:v>
                </c:pt>
                <c:pt idx="335">
                  <c:v>61.127267822421125</c:v>
                </c:pt>
                <c:pt idx="336">
                  <c:v>60.572098254382631</c:v>
                </c:pt>
                <c:pt idx="337">
                  <c:v>60.01008298448761</c:v>
                </c:pt>
                <c:pt idx="338">
                  <c:v>59.441364874425602</c:v>
                </c:pt>
                <c:pt idx="339">
                  <c:v>58.866098958661027</c:v>
                </c:pt>
                <c:pt idx="340">
                  <c:v>58.284452513998737</c:v>
                </c:pt>
                <c:pt idx="341">
                  <c:v>57.696605084015317</c:v>
                </c:pt>
                <c:pt idx="342">
                  <c:v>57.102748455762459</c:v>
                </c:pt>
                <c:pt idx="343">
                  <c:v>56.503086586385997</c:v>
                </c:pt>
                <c:pt idx="344">
                  <c:v>55.897835477590718</c:v>
                </c:pt>
                <c:pt idx="345">
                  <c:v>55.287222996210502</c:v>
                </c:pt>
                <c:pt idx="346">
                  <c:v>54.671488639510699</c:v>
                </c:pt>
                <c:pt idx="347">
                  <c:v>54.050883244259964</c:v>
                </c:pt>
                <c:pt idx="348">
                  <c:v>53.425668639043785</c:v>
                </c:pt>
                <c:pt idx="349">
                  <c:v>52.796117239771036</c:v>
                </c:pt>
                <c:pt idx="350">
                  <c:v>52.162511588826398</c:v>
                </c:pt>
                <c:pt idx="351">
                  <c:v>51.525143838818138</c:v>
                </c:pt>
                <c:pt idx="352">
                  <c:v>50.884315182431166</c:v>
                </c:pt>
                <c:pt idx="353">
                  <c:v>50.240335230396255</c:v>
                </c:pt>
                <c:pt idx="354">
                  <c:v>49.593521340142466</c:v>
                </c:pt>
                <c:pt idx="355">
                  <c:v>48.944197898208749</c:v>
                </c:pt>
                <c:pt idx="356">
                  <c:v>48.292695559985951</c:v>
                </c:pt>
                <c:pt idx="357">
                  <c:v>47.639350450844631</c:v>
                </c:pt>
                <c:pt idx="358">
                  <c:v>46.984503333128927</c:v>
                </c:pt>
                <c:pt idx="359">
                  <c:v>46.328498743892858</c:v>
                </c:pt>
                <c:pt idx="360">
                  <c:v>45.671684108596089</c:v>
                </c:pt>
                <c:pt idx="361">
                  <c:v>45.014408836257886</c:v>
                </c:pt>
                <c:pt idx="362">
                  <c:v>44.357023401787096</c:v>
                </c:pt>
                <c:pt idx="363">
                  <c:v>43.699878421365689</c:v>
                </c:pt>
                <c:pt idx="364">
                  <c:v>43.043323726838537</c:v>
                </c:pt>
                <c:pt idx="365">
                  <c:v>42.387707445079755</c:v>
                </c:pt>
                <c:pt idx="366">
                  <c:v>41.733375088250781</c:v>
                </c:pt>
                <c:pt idx="367">
                  <c:v>41.080668660722139</c:v>
                </c:pt>
                <c:pt idx="368">
                  <c:v>40.429925788251232</c:v>
                </c:pt>
                <c:pt idx="369">
                  <c:v>39.781478874728968</c:v>
                </c:pt>
                <c:pt idx="370">
                  <c:v>39.135654291505837</c:v>
                </c:pt>
                <c:pt idx="371">
                  <c:v>38.492771603910747</c:v>
                </c:pt>
                <c:pt idx="372">
                  <c:v>37.853142839178339</c:v>
                </c:pt>
                <c:pt idx="373">
                  <c:v>37.217071799523559</c:v>
                </c:pt>
                <c:pt idx="374">
                  <c:v>36.584853423619961</c:v>
                </c:pt>
                <c:pt idx="375">
                  <c:v>35.956773199222468</c:v>
                </c:pt>
                <c:pt idx="376">
                  <c:v>35.333106629146847</c:v>
                </c:pt>
                <c:pt idx="377">
                  <c:v>34.714118752287369</c:v>
                </c:pt>
                <c:pt idx="378">
                  <c:v>34.100063720817914</c:v>
                </c:pt>
                <c:pt idx="379">
                  <c:v>33.49118443421019</c:v>
                </c:pt>
                <c:pt idx="380">
                  <c:v>32.887712230182771</c:v>
                </c:pt>
                <c:pt idx="381">
                  <c:v>32.28986663223273</c:v>
                </c:pt>
                <c:pt idx="382">
                  <c:v>31.697855152929215</c:v>
                </c:pt>
                <c:pt idx="383">
                  <c:v>31.111873151746327</c:v>
                </c:pt>
                <c:pt idx="384">
                  <c:v>30.532103745820141</c:v>
                </c:pt>
                <c:pt idx="385">
                  <c:v>29.958717771673882</c:v>
                </c:pt>
                <c:pt idx="386">
                  <c:v>29.391873795663589</c:v>
                </c:pt>
                <c:pt idx="387">
                  <c:v>28.83171817062658</c:v>
                </c:pt>
                <c:pt idx="388">
                  <c:v>28.278385136013664</c:v>
                </c:pt>
                <c:pt idx="389">
                  <c:v>27.731996958610726</c:v>
                </c:pt>
                <c:pt idx="390">
                  <c:v>27.192664110824118</c:v>
                </c:pt>
                <c:pt idx="391">
                  <c:v>26.66048548342139</c:v>
                </c:pt>
                <c:pt idx="392">
                  <c:v>26.135548629565886</c:v>
                </c:pt>
                <c:pt idx="393">
                  <c:v>25.617930036965703</c:v>
                </c:pt>
                <c:pt idx="394">
                  <c:v>25.10769542498133</c:v>
                </c:pt>
                <c:pt idx="395">
                  <c:v>24.604900063576533</c:v>
                </c:pt>
                <c:pt idx="396">
                  <c:v>24.109589111071891</c:v>
                </c:pt>
                <c:pt idx="397">
                  <c:v>23.621797967757892</c:v>
                </c:pt>
                <c:pt idx="398">
                  <c:v>23.141552642534386</c:v>
                </c:pt>
                <c:pt idx="399">
                  <c:v>22.668870129879139</c:v>
                </c:pt>
                <c:pt idx="400">
                  <c:v>22.20375879458614</c:v>
                </c:pt>
                <c:pt idx="401">
                  <c:v>21.746218761872928</c:v>
                </c:pt>
                <c:pt idx="402">
                  <c:v>21.296242310615689</c:v>
                </c:pt>
                <c:pt idx="403">
                  <c:v>20.853814267633592</c:v>
                </c:pt>
                <c:pt idx="404">
                  <c:v>20.418912401115044</c:v>
                </c:pt>
                <c:pt idx="405">
                  <c:v>19.991507811445853</c:v>
                </c:pt>
                <c:pt idx="406">
                  <c:v>19.571565317863609</c:v>
                </c:pt>
                <c:pt idx="407">
                  <c:v>19.15904383952746</c:v>
                </c:pt>
                <c:pt idx="408">
                  <c:v>18.753896769751925</c:v>
                </c:pt>
                <c:pt idx="409">
                  <c:v>18.356072342303172</c:v>
                </c:pt>
                <c:pt idx="410">
                  <c:v>17.965513988803526</c:v>
                </c:pt>
                <c:pt idx="411">
                  <c:v>17.58216068643074</c:v>
                </c:pt>
                <c:pt idx="412">
                  <c:v>17.205947295226348</c:v>
                </c:pt>
                <c:pt idx="413">
                  <c:v>16.836804884449826</c:v>
                </c:pt>
                <c:pt idx="414">
                  <c:v>16.474661047532013</c:v>
                </c:pt>
                <c:pt idx="415">
                  <c:v>16.119440205284416</c:v>
                </c:pt>
                <c:pt idx="416">
                  <c:v>15.771063897116303</c:v>
                </c:pt>
                <c:pt idx="417">
                  <c:v>15.429451060102267</c:v>
                </c:pt>
                <c:pt idx="418">
                  <c:v>15.094518295824416</c:v>
                </c:pt>
                <c:pt idx="419">
                  <c:v>14.766180124974909</c:v>
                </c:pt>
                <c:pt idx="420">
                  <c:v>14.444349229787118</c:v>
                </c:pt>
                <c:pt idx="421">
                  <c:v>14.128936684398502</c:v>
                </c:pt>
                <c:pt idx="422">
                  <c:v>13.819852173319218</c:v>
                </c:pt>
                <c:pt idx="423">
                  <c:v>13.517004198206536</c:v>
                </c:pt>
                <c:pt idx="424">
                  <c:v>13.220300273193686</c:v>
                </c:pt>
                <c:pt idx="425">
                  <c:v>12.929647109049238</c:v>
                </c:pt>
                <c:pt idx="426">
                  <c:v>12.644950786467973</c:v>
                </c:pt>
                <c:pt idx="427">
                  <c:v>12.36611691881982</c:v>
                </c:pt>
                <c:pt idx="428">
                  <c:v>12.093050804697477</c:v>
                </c:pt>
                <c:pt idx="429">
                  <c:v>11.825657570615906</c:v>
                </c:pt>
                <c:pt idx="430">
                  <c:v>11.563842304232168</c:v>
                </c:pt>
                <c:pt idx="431">
                  <c:v>11.307510178452604</c:v>
                </c:pt>
                <c:pt idx="432">
                  <c:v>11.056566566803925</c:v>
                </c:pt>
                <c:pt idx="433">
                  <c:v>10.810917150442897</c:v>
                </c:pt>
                <c:pt idx="434">
                  <c:v>10.57046801718028</c:v>
                </c:pt>
                <c:pt idx="435">
                  <c:v>10.335125752888853</c:v>
                </c:pt>
                <c:pt idx="436">
                  <c:v>10.104797525662033</c:v>
                </c:pt>
                <c:pt idx="437">
                  <c:v>9.8793911630841471</c:v>
                </c:pt>
                <c:pt idx="438">
                  <c:v>9.6588152229644209</c:v>
                </c:pt>
                <c:pt idx="439">
                  <c:v>9.4429790578782757</c:v>
                </c:pt>
                <c:pt idx="440">
                  <c:v>9.2317928738518482</c:v>
                </c:pt>
                <c:pt idx="441">
                  <c:v>9.0251677835129573</c:v>
                </c:pt>
                <c:pt idx="442">
                  <c:v>8.8230158540240886</c:v>
                </c:pt>
                <c:pt idx="443">
                  <c:v>8.6252501500994665</c:v>
                </c:pt>
                <c:pt idx="444">
                  <c:v>8.4317847723988013</c:v>
                </c:pt>
                <c:pt idx="445">
                  <c:v>8.242534891577689</c:v>
                </c:pt>
                <c:pt idx="446">
                  <c:v>8.0574167782647805</c:v>
                </c:pt>
                <c:pt idx="447">
                  <c:v>7.8763478292213192</c:v>
                </c:pt>
                <c:pt idx="448">
                  <c:v>7.6992465899316045</c:v>
                </c:pt>
                <c:pt idx="449">
                  <c:v>7.5260327738568309</c:v>
                </c:pt>
                <c:pt idx="450">
                  <c:v>7.3566272785778279</c:v>
                </c:pt>
                <c:pt idx="451">
                  <c:v>7.1909521990382164</c:v>
                </c:pt>
                <c:pt idx="452">
                  <c:v>7.0289308380906741</c:v>
                </c:pt>
                <c:pt idx="453">
                  <c:v>6.8704877145378234</c:v>
                </c:pt>
                <c:pt idx="454">
                  <c:v>6.7155485688496581</c:v>
                </c:pt>
                <c:pt idx="455">
                  <c:v>6.5640403667281175</c:v>
                </c:pt>
                <c:pt idx="456">
                  <c:v>6.4158913006839162</c:v>
                </c:pt>
                <c:pt idx="457">
                  <c:v>6.2710307897755753</c:v>
                </c:pt>
                <c:pt idx="458">
                  <c:v>6.1293894776579885</c:v>
                </c:pt>
                <c:pt idx="459">
                  <c:v>5.9908992290754224</c:v>
                </c:pt>
                <c:pt idx="460">
                  <c:v>5.8554931249274187</c:v>
                </c:pt>
                <c:pt idx="461">
                  <c:v>5.7231054560283487</c:v>
                </c:pt>
                <c:pt idx="462">
                  <c:v>5.5936717156736471</c:v>
                </c:pt>
                <c:pt idx="463">
                  <c:v>5.4671285911186454</c:v>
                </c:pt>
                <c:pt idx="464">
                  <c:v>5.3434139540705701</c:v>
                </c:pt>
                <c:pt idx="465">
                  <c:v>5.2224668502854064</c:v>
                </c:pt>
                <c:pt idx="466">
                  <c:v>5.1042274883585872</c:v>
                </c:pt>
                <c:pt idx="467">
                  <c:v>4.9886372277895106</c:v>
                </c:pt>
                <c:pt idx="468">
                  <c:v>4.8756385663972441</c:v>
                </c:pt>
                <c:pt idx="469">
                  <c:v>4.7651751271576073</c:v>
                </c:pt>
                <c:pt idx="470">
                  <c:v>4.6571916445285018</c:v>
                </c:pt>
                <c:pt idx="471">
                  <c:v>4.5516339503244945</c:v>
                </c:pt>
                <c:pt idx="472">
                  <c:v>4.4484489591988243</c:v>
                </c:pt>
                <c:pt idx="473">
                  <c:v>4.3475846537853187</c:v>
                </c:pt>
                <c:pt idx="474">
                  <c:v>4.2489900695502385</c:v>
                </c:pt>
                <c:pt idx="475">
                  <c:v>4.1526152793996571</c:v>
                </c:pt>
                <c:pt idx="476">
                  <c:v>4.0584113780852888</c:v>
                </c:pt>
                <c:pt idx="477">
                  <c:v>3.9663304664473045</c:v>
                </c:pt>
                <c:pt idx="478">
                  <c:v>3.8763256355312241</c:v>
                </c:pt>
                <c:pt idx="479">
                  <c:v>3.7883509506123989</c:v>
                </c:pt>
                <c:pt idx="480">
                  <c:v>3.7023614351579672</c:v>
                </c:pt>
                <c:pt idx="481">
                  <c:v>3.6183130547564777</c:v>
                </c:pt>
                <c:pt idx="482">
                  <c:v>3.5361627010393359</c:v>
                </c:pt>
                <c:pt idx="483">
                  <c:v>3.4558681756199059</c:v>
                </c:pt>
                <c:pt idx="484">
                  <c:v>3.3773881740706502</c:v>
                </c:pt>
                <c:pt idx="485">
                  <c:v>3.3006822699594647</c:v>
                </c:pt>
                <c:pt idx="486">
                  <c:v>3.2257108989631393</c:v>
                </c:pt>
                <c:pt idx="487">
                  <c:v>3.15243534307423</c:v>
                </c:pt>
                <c:pt idx="488">
                  <c:v>3.0808177149173726</c:v>
                </c:pt>
                <c:pt idx="489">
                  <c:v>3.0108209421876659</c:v>
                </c:pt>
                <c:pt idx="490">
                  <c:v>2.9424087522243636</c:v>
                </c:pt>
                <c:pt idx="491">
                  <c:v>2.8755456567305204</c:v>
                </c:pt>
                <c:pt idx="492">
                  <c:v>2.8101969366486261</c:v>
                </c:pt>
                <c:pt idx="493">
                  <c:v>2.7463286272013101</c:v>
                </c:pt>
                <c:pt idx="494">
                  <c:v>2.6839075031049155</c:v>
                </c:pt>
                <c:pt idx="495">
                  <c:v>2.6229010639627108</c:v>
                </c:pt>
                <c:pt idx="496">
                  <c:v>2.5632775198442506</c:v>
                </c:pt>
                <c:pt idx="497">
                  <c:v>2.5050057770559397</c:v>
                </c:pt>
                <c:pt idx="498">
                  <c:v>2.4480554241074235</c:v>
                </c:pt>
                <c:pt idx="499">
                  <c:v>2.3923967178778169</c:v>
                </c:pt>
                <c:pt idx="500">
                  <c:v>2.3380005699850077</c:v>
                </c:pt>
                <c:pt idx="501">
                  <c:v>2.2848385333605958</c:v>
                </c:pt>
                <c:pt idx="502">
                  <c:v>2.2328827890328951</c:v>
                </c:pt>
                <c:pt idx="503">
                  <c:v>2.1821061331195666</c:v>
                </c:pt>
                <c:pt idx="504">
                  <c:v>2.1324819640308492</c:v>
                </c:pt>
                <c:pt idx="505">
                  <c:v>2.0839842698846072</c:v>
                </c:pt>
                <c:pt idx="506">
                  <c:v>2.0365876161334913</c:v>
                </c:pt>
                <c:pt idx="507">
                  <c:v>1.9902671334039292</c:v>
                </c:pt>
                <c:pt idx="508">
                  <c:v>1.9449985055472774</c:v>
                </c:pt>
                <c:pt idx="509">
                  <c:v>1.9007579579020926</c:v>
                </c:pt>
                <c:pt idx="510">
                  <c:v>1.8575222457670033</c:v>
                </c:pt>
                <c:pt idx="511">
                  <c:v>1.8152686430830562</c:v>
                </c:pt>
                <c:pt idx="512">
                  <c:v>1.7739749313241189</c:v>
                </c:pt>
                <c:pt idx="513">
                  <c:v>1.7336193885942057</c:v>
                </c:pt>
                <c:pt idx="514">
                  <c:v>1.6941807789295906</c:v>
                </c:pt>
                <c:pt idx="515">
                  <c:v>1.6556383418043645</c:v>
                </c:pt>
                <c:pt idx="516">
                  <c:v>1.6179717818371702</c:v>
                </c:pt>
                <c:pt idx="517">
                  <c:v>1.5811612586971515</c:v>
                </c:pt>
                <c:pt idx="518">
                  <c:v>1.5451873772068214</c:v>
                </c:pt>
                <c:pt idx="519">
                  <c:v>1.510031177639594</c:v>
                </c:pt>
                <c:pt idx="520">
                  <c:v>1.475674126209674</c:v>
                </c:pt>
                <c:pt idx="521">
                  <c:v>1.4420981057515014</c:v>
                </c:pt>
                <c:pt idx="522">
                  <c:v>1.4092854065867226</c:v>
                </c:pt>
                <c:pt idx="523">
                  <c:v>1.3772187175754547</c:v>
                </c:pt>
                <c:pt idx="524">
                  <c:v>1.3458811173497403</c:v>
                </c:pt>
                <c:pt idx="525">
                  <c:v>1.3152560657260872</c:v>
                </c:pt>
                <c:pt idx="526">
                  <c:v>1.2853273952947217</c:v>
                </c:pt>
                <c:pt idx="527">
                  <c:v>1.2560793031824253</c:v>
                </c:pt>
                <c:pt idx="528">
                  <c:v>1.2274963429864387</c:v>
                </c:pt>
                <c:pt idx="529">
                  <c:v>1.1995634168765268</c:v>
                </c:pt>
                <c:pt idx="530">
                  <c:v>1.1722657678624206</c:v>
                </c:pt>
                <c:pt idx="531">
                  <c:v>1.1455889722238821</c:v>
                </c:pt>
                <c:pt idx="532">
                  <c:v>1.1195189321004744</c:v>
                </c:pt>
                <c:pt idx="533">
                  <c:v>1.0940418682383042</c:v>
                </c:pt>
                <c:pt idx="534">
                  <c:v>1.0691443128909668</c:v>
                </c:pt>
                <c:pt idx="535">
                  <c:v>1.0448131028718362</c:v>
                </c:pt>
                <c:pt idx="536">
                  <c:v>1.0210353727550276</c:v>
                </c:pt>
                <c:pt idx="537">
                  <c:v>0.99779854822216496</c:v>
                </c:pt>
                <c:pt idx="538">
                  <c:v>0.9750903395523326</c:v>
                </c:pt>
                <c:pt idx="539">
                  <c:v>0.95289873525243729</c:v>
                </c:pt>
                <c:pt idx="540">
                  <c:v>0.93121199582538083</c:v>
                </c:pt>
                <c:pt idx="541">
                  <c:v>0.91001864767324658</c:v>
                </c:pt>
              </c:numCache>
            </c:numRef>
          </c:yVal>
          <c:smooth val="1"/>
          <c:extLst>
            <c:ext xmlns:c16="http://schemas.microsoft.com/office/drawing/2014/chart" uri="{C3380CC4-5D6E-409C-BE32-E72D297353CC}">
              <c16:uniqueId val="{00000001-79CC-43C6-9415-C1FDEEB8D57B}"/>
            </c:ext>
          </c:extLst>
        </c:ser>
        <c:dLbls>
          <c:showLegendKey val="0"/>
          <c:showVal val="0"/>
          <c:showCatName val="0"/>
          <c:showSerName val="0"/>
          <c:showPercent val="0"/>
          <c:showBubbleSize val="0"/>
        </c:dLbls>
        <c:axId val="555497728"/>
        <c:axId val="555496192"/>
      </c:scatterChart>
      <c:valAx>
        <c:axId val="555344640"/>
        <c:scaling>
          <c:logBase val="10"/>
          <c:orientation val="minMax"/>
          <c:max val="2200000"/>
          <c:min val="10"/>
        </c:scaling>
        <c:delete val="0"/>
        <c:axPos val="b"/>
        <c:minorGridlines/>
        <c:title>
          <c:tx>
            <c:rich>
              <a:bodyPr/>
              <a:lstStyle/>
              <a:p>
                <a:pPr>
                  <a:defRPr/>
                </a:pPr>
                <a:r>
                  <a:rPr lang="en-US"/>
                  <a:t>Frequency</a:t>
                </a:r>
                <a:r>
                  <a:rPr lang="en-US" baseline="0"/>
                  <a:t> (Hz)</a:t>
                </a:r>
                <a:endParaRPr lang="en-US"/>
              </a:p>
            </c:rich>
          </c:tx>
          <c:overlay val="0"/>
        </c:title>
        <c:numFmt formatCode="0" sourceLinked="0"/>
        <c:majorTickMark val="out"/>
        <c:minorTickMark val="none"/>
        <c:tickLblPos val="low"/>
        <c:crossAx val="555346560"/>
        <c:crosses val="autoZero"/>
        <c:crossBetween val="midCat"/>
      </c:valAx>
      <c:valAx>
        <c:axId val="555346560"/>
        <c:scaling>
          <c:orientation val="minMax"/>
          <c:max val="240"/>
          <c:min val="-40"/>
        </c:scaling>
        <c:delete val="0"/>
        <c:axPos val="l"/>
        <c:majorGridlines/>
        <c:minorGridlines/>
        <c:title>
          <c:tx>
            <c:rich>
              <a:bodyPr rot="-5400000" vert="horz"/>
              <a:lstStyle/>
              <a:p>
                <a:pPr>
                  <a:defRPr/>
                </a:pPr>
                <a:r>
                  <a:rPr lang="en-US">
                    <a:solidFill>
                      <a:srgbClr val="FF0000"/>
                    </a:solidFill>
                  </a:rPr>
                  <a:t>Gain</a:t>
                </a:r>
                <a:r>
                  <a:rPr lang="en-US" baseline="0">
                    <a:solidFill>
                      <a:srgbClr val="FF0000"/>
                    </a:solidFill>
                  </a:rPr>
                  <a:t> (dB)</a:t>
                </a:r>
                <a:endParaRPr lang="en-US">
                  <a:solidFill>
                    <a:srgbClr val="FF0000"/>
                  </a:solidFill>
                </a:endParaRPr>
              </a:p>
            </c:rich>
          </c:tx>
          <c:overlay val="0"/>
        </c:title>
        <c:numFmt formatCode="General" sourceLinked="0"/>
        <c:majorTickMark val="out"/>
        <c:minorTickMark val="none"/>
        <c:tickLblPos val="nextTo"/>
        <c:txPr>
          <a:bodyPr/>
          <a:lstStyle/>
          <a:p>
            <a:pPr>
              <a:defRPr>
                <a:solidFill>
                  <a:srgbClr val="FF0000"/>
                </a:solidFill>
              </a:defRPr>
            </a:pPr>
            <a:endParaRPr lang="en-US"/>
          </a:p>
        </c:txPr>
        <c:crossAx val="555344640"/>
        <c:crosses val="autoZero"/>
        <c:crossBetween val="midCat"/>
        <c:majorUnit val="20"/>
        <c:minorUnit val="10"/>
      </c:valAx>
      <c:valAx>
        <c:axId val="555496192"/>
        <c:scaling>
          <c:orientation val="minMax"/>
          <c:max val="180"/>
          <c:min val="-180"/>
        </c:scaling>
        <c:delete val="0"/>
        <c:axPos val="r"/>
        <c:numFmt formatCode="General" sourceLinked="1"/>
        <c:majorTickMark val="out"/>
        <c:minorTickMark val="none"/>
        <c:tickLblPos val="nextTo"/>
        <c:txPr>
          <a:bodyPr/>
          <a:lstStyle/>
          <a:p>
            <a:pPr>
              <a:defRPr>
                <a:solidFill>
                  <a:schemeClr val="tx1">
                    <a:lumMod val="95000"/>
                    <a:lumOff val="5000"/>
                  </a:schemeClr>
                </a:solidFill>
              </a:defRPr>
            </a:pPr>
            <a:endParaRPr lang="en-US"/>
          </a:p>
        </c:txPr>
        <c:crossAx val="555497728"/>
        <c:crosses val="max"/>
        <c:crossBetween val="midCat"/>
        <c:majorUnit val="90"/>
        <c:minorUnit val="45"/>
      </c:valAx>
      <c:valAx>
        <c:axId val="555497728"/>
        <c:scaling>
          <c:logBase val="10"/>
          <c:orientation val="minMax"/>
        </c:scaling>
        <c:delete val="1"/>
        <c:axPos val="b"/>
        <c:numFmt formatCode="0.00" sourceLinked="1"/>
        <c:majorTickMark val="out"/>
        <c:minorTickMark val="none"/>
        <c:tickLblPos val="nextTo"/>
        <c:crossAx val="555496192"/>
        <c:crosses val="autoZero"/>
        <c:crossBetween val="midCat"/>
      </c:valAx>
    </c:plotArea>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aseline="0"/>
              <a:t>Total Control Loop Transfer Function</a:t>
            </a:r>
          </a:p>
        </c:rich>
      </c:tx>
      <c:overlay val="0"/>
    </c:title>
    <c:autoTitleDeleted val="0"/>
    <c:plotArea>
      <c:layout/>
      <c:scatterChart>
        <c:scatterStyle val="smoothMarker"/>
        <c:varyColors val="0"/>
        <c:ser>
          <c:idx val="0"/>
          <c:order val="0"/>
          <c:spPr>
            <a:ln w="38100">
              <a:solidFill>
                <a:srgbClr val="FF0000"/>
              </a:solidFill>
            </a:ln>
          </c:spPr>
          <c:marker>
            <c:symbol val="none"/>
          </c:marker>
          <c:xVal>
            <c:numRef>
              <c:f>Control_Loop_Tables!$N$19:$N$560</c:f>
              <c:numCache>
                <c:formatCode>0.00</c:formatCode>
                <c:ptCount val="542"/>
                <c:pt idx="0">
                  <c:v>10.232929922807543</c:v>
                </c:pt>
                <c:pt idx="1">
                  <c:v>10.471285480509</c:v>
                </c:pt>
                <c:pt idx="2">
                  <c:v>10.715193052376069</c:v>
                </c:pt>
                <c:pt idx="3">
                  <c:v>10.964781961431854</c:v>
                </c:pt>
                <c:pt idx="4">
                  <c:v>11.220184543019636</c:v>
                </c:pt>
                <c:pt idx="5">
                  <c:v>11.481536214968834</c:v>
                </c:pt>
                <c:pt idx="6">
                  <c:v>11.748975549395301</c:v>
                </c:pt>
                <c:pt idx="7">
                  <c:v>12.022644346174133</c:v>
                </c:pt>
                <c:pt idx="8">
                  <c:v>12.302687708123818</c:v>
                </c:pt>
                <c:pt idx="9">
                  <c:v>12.58925411794168</c:v>
                </c:pt>
                <c:pt idx="10">
                  <c:v>12.882495516931346</c:v>
                </c:pt>
                <c:pt idx="11">
                  <c:v>13.182567385564075</c:v>
                </c:pt>
                <c:pt idx="12">
                  <c:v>13.489628825916535</c:v>
                </c:pt>
                <c:pt idx="13">
                  <c:v>13.803842646028857</c:v>
                </c:pt>
                <c:pt idx="14">
                  <c:v>14.125375446227544</c:v>
                </c:pt>
                <c:pt idx="15">
                  <c:v>14.454397707459275</c:v>
                </c:pt>
                <c:pt idx="16">
                  <c:v>14.791083881682074</c:v>
                </c:pt>
                <c:pt idx="17">
                  <c:v>15.135612484362087</c:v>
                </c:pt>
                <c:pt idx="18">
                  <c:v>15.488166189124817</c:v>
                </c:pt>
                <c:pt idx="19">
                  <c:v>15.848931924611136</c:v>
                </c:pt>
                <c:pt idx="20">
                  <c:v>16.218100973589298</c:v>
                </c:pt>
                <c:pt idx="21">
                  <c:v>16.595869074375614</c:v>
                </c:pt>
                <c:pt idx="22">
                  <c:v>16.982436524617448</c:v>
                </c:pt>
                <c:pt idx="23">
                  <c:v>17.378008287493756</c:v>
                </c:pt>
                <c:pt idx="24">
                  <c:v>17.782794100389236</c:v>
                </c:pt>
                <c:pt idx="25">
                  <c:v>18.197008586099841</c:v>
                </c:pt>
                <c:pt idx="26">
                  <c:v>18.62087136662868</c:v>
                </c:pt>
                <c:pt idx="27">
                  <c:v>19.054607179632477</c:v>
                </c:pt>
                <c:pt idx="28">
                  <c:v>19.498445997580465</c:v>
                </c:pt>
                <c:pt idx="29">
                  <c:v>19.952623149688804</c:v>
                </c:pt>
                <c:pt idx="30">
                  <c:v>20.4173794466953</c:v>
                </c:pt>
                <c:pt idx="31">
                  <c:v>20.8929613085404</c:v>
                </c:pt>
                <c:pt idx="32">
                  <c:v>21.379620895022335</c:v>
                </c:pt>
                <c:pt idx="33">
                  <c:v>21.877616239495538</c:v>
                </c:pt>
                <c:pt idx="34">
                  <c:v>22.387211385683404</c:v>
                </c:pt>
                <c:pt idx="35">
                  <c:v>22.908676527677727</c:v>
                </c:pt>
                <c:pt idx="36">
                  <c:v>23.442288153199236</c:v>
                </c:pt>
                <c:pt idx="37">
                  <c:v>23.988329190194907</c:v>
                </c:pt>
                <c:pt idx="38">
                  <c:v>24.547089156850316</c:v>
                </c:pt>
                <c:pt idx="39">
                  <c:v>25.118864315095799</c:v>
                </c:pt>
                <c:pt idx="40">
                  <c:v>25.703957827688647</c:v>
                </c:pt>
                <c:pt idx="41">
                  <c:v>26.302679918953825</c:v>
                </c:pt>
                <c:pt idx="42">
                  <c:v>26.915348039269158</c:v>
                </c:pt>
                <c:pt idx="43">
                  <c:v>27.542287033381665</c:v>
                </c:pt>
                <c:pt idx="44">
                  <c:v>28.183829312644548</c:v>
                </c:pt>
                <c:pt idx="45">
                  <c:v>28.840315031266066</c:v>
                </c:pt>
                <c:pt idx="46">
                  <c:v>29.512092266663863</c:v>
                </c:pt>
                <c:pt idx="47">
                  <c:v>30.199517204020164</c:v>
                </c:pt>
                <c:pt idx="48">
                  <c:v>30.902954325135919</c:v>
                </c:pt>
                <c:pt idx="49">
                  <c:v>31.622776601683803</c:v>
                </c:pt>
                <c:pt idx="50">
                  <c:v>32.359365692962832</c:v>
                </c:pt>
                <c:pt idx="51">
                  <c:v>33.113112148259127</c:v>
                </c:pt>
                <c:pt idx="52">
                  <c:v>33.884415613920268</c:v>
                </c:pt>
                <c:pt idx="53">
                  <c:v>34.67368504525318</c:v>
                </c:pt>
                <c:pt idx="54">
                  <c:v>35.481338923357555</c:v>
                </c:pt>
                <c:pt idx="55">
                  <c:v>36.307805477010156</c:v>
                </c:pt>
                <c:pt idx="56">
                  <c:v>37.15352290971726</c:v>
                </c:pt>
                <c:pt idx="57">
                  <c:v>38.018939632056139</c:v>
                </c:pt>
                <c:pt idx="58">
                  <c:v>38.904514499428053</c:v>
                </c:pt>
                <c:pt idx="59">
                  <c:v>39.810717055349755</c:v>
                </c:pt>
                <c:pt idx="60">
                  <c:v>40.738027780411279</c:v>
                </c:pt>
                <c:pt idx="61">
                  <c:v>41.686938347033561</c:v>
                </c:pt>
                <c:pt idx="62">
                  <c:v>42.657951880159267</c:v>
                </c:pt>
                <c:pt idx="63">
                  <c:v>43.651583224016633</c:v>
                </c:pt>
                <c:pt idx="64">
                  <c:v>44.668359215096324</c:v>
                </c:pt>
                <c:pt idx="65">
                  <c:v>45.70881896148753</c:v>
                </c:pt>
                <c:pt idx="66">
                  <c:v>46.773514128719818</c:v>
                </c:pt>
                <c:pt idx="67">
                  <c:v>47.863009232263877</c:v>
                </c:pt>
                <c:pt idx="68">
                  <c:v>48.977881936844632</c:v>
                </c:pt>
                <c:pt idx="69">
                  <c:v>50.118723362727238</c:v>
                </c:pt>
                <c:pt idx="70">
                  <c:v>51.28613839913649</c:v>
                </c:pt>
                <c:pt idx="71">
                  <c:v>52.480746024977286</c:v>
                </c:pt>
                <c:pt idx="72">
                  <c:v>53.703179637025293</c:v>
                </c:pt>
                <c:pt idx="73">
                  <c:v>54.95408738576247</c:v>
                </c:pt>
                <c:pt idx="74">
                  <c:v>56.234132519034915</c:v>
                </c:pt>
                <c:pt idx="75">
                  <c:v>57.543993733715695</c:v>
                </c:pt>
                <c:pt idx="76">
                  <c:v>58.884365535558949</c:v>
                </c:pt>
                <c:pt idx="77">
                  <c:v>60.255958607435822</c:v>
                </c:pt>
                <c:pt idx="78">
                  <c:v>61.659500186148257</c:v>
                </c:pt>
                <c:pt idx="79">
                  <c:v>63.095734448019364</c:v>
                </c:pt>
                <c:pt idx="80">
                  <c:v>64.565422903465588</c:v>
                </c:pt>
                <c:pt idx="81">
                  <c:v>66.069344800759623</c:v>
                </c:pt>
                <c:pt idx="82">
                  <c:v>67.60829753919819</c:v>
                </c:pt>
                <c:pt idx="83">
                  <c:v>69.183097091893657</c:v>
                </c:pt>
                <c:pt idx="84">
                  <c:v>70.794578438413865</c:v>
                </c:pt>
                <c:pt idx="85">
                  <c:v>72.443596007499011</c:v>
                </c:pt>
                <c:pt idx="86">
                  <c:v>74.131024130091816</c:v>
                </c:pt>
                <c:pt idx="87">
                  <c:v>75.857757502918361</c:v>
                </c:pt>
                <c:pt idx="88">
                  <c:v>77.624711662869217</c:v>
                </c:pt>
                <c:pt idx="89">
                  <c:v>79.432823472428197</c:v>
                </c:pt>
                <c:pt idx="90">
                  <c:v>81.283051616409963</c:v>
                </c:pt>
                <c:pt idx="91">
                  <c:v>83.176377110267126</c:v>
                </c:pt>
                <c:pt idx="92">
                  <c:v>85.113803820237734</c:v>
                </c:pt>
                <c:pt idx="93">
                  <c:v>87.096358995608071</c:v>
                </c:pt>
                <c:pt idx="94">
                  <c:v>89.125093813374562</c:v>
                </c:pt>
                <c:pt idx="95">
                  <c:v>91.201083935590972</c:v>
                </c:pt>
                <c:pt idx="96">
                  <c:v>93.325430079699174</c:v>
                </c:pt>
                <c:pt idx="97">
                  <c:v>95.499258602143655</c:v>
                </c:pt>
                <c:pt idx="98">
                  <c:v>97.723722095581124</c:v>
                </c:pt>
                <c:pt idx="99">
                  <c:v>100</c:v>
                </c:pt>
                <c:pt idx="100">
                  <c:v>102.32929922807544</c:v>
                </c:pt>
                <c:pt idx="101">
                  <c:v>104.71285480508998</c:v>
                </c:pt>
                <c:pt idx="102">
                  <c:v>107.15193052376065</c:v>
                </c:pt>
                <c:pt idx="103">
                  <c:v>109.64781961431861</c:v>
                </c:pt>
                <c:pt idx="104">
                  <c:v>112.20184543019634</c:v>
                </c:pt>
                <c:pt idx="105">
                  <c:v>114.81536214968835</c:v>
                </c:pt>
                <c:pt idx="106">
                  <c:v>117.48975549395293</c:v>
                </c:pt>
                <c:pt idx="107">
                  <c:v>120.22644346174135</c:v>
                </c:pt>
                <c:pt idx="108">
                  <c:v>123.02687708123821</c:v>
                </c:pt>
                <c:pt idx="109">
                  <c:v>125.89254117941677</c:v>
                </c:pt>
                <c:pt idx="110">
                  <c:v>128.82495516931343</c:v>
                </c:pt>
                <c:pt idx="111">
                  <c:v>131.82567385564084</c:v>
                </c:pt>
                <c:pt idx="112">
                  <c:v>134.89628825916537</c:v>
                </c:pt>
                <c:pt idx="113">
                  <c:v>138.0384264602886</c:v>
                </c:pt>
                <c:pt idx="114">
                  <c:v>141.25375446227542</c:v>
                </c:pt>
                <c:pt idx="115">
                  <c:v>144.54397707459285</c:v>
                </c:pt>
                <c:pt idx="116">
                  <c:v>147.91083881682084</c:v>
                </c:pt>
                <c:pt idx="117">
                  <c:v>151.3561248436209</c:v>
                </c:pt>
                <c:pt idx="118">
                  <c:v>154.8816618912482</c:v>
                </c:pt>
                <c:pt idx="119">
                  <c:v>158.48931924611153</c:v>
                </c:pt>
                <c:pt idx="120">
                  <c:v>162.18100973589304</c:v>
                </c:pt>
                <c:pt idx="121">
                  <c:v>165.95869074375622</c:v>
                </c:pt>
                <c:pt idx="122">
                  <c:v>169.82436524617444</c:v>
                </c:pt>
                <c:pt idx="123">
                  <c:v>173.78008287493768</c:v>
                </c:pt>
                <c:pt idx="124">
                  <c:v>177.82794100389242</c:v>
                </c:pt>
                <c:pt idx="125">
                  <c:v>181.9700858609983</c:v>
                </c:pt>
                <c:pt idx="126">
                  <c:v>186.20871366628685</c:v>
                </c:pt>
                <c:pt idx="127">
                  <c:v>190.54607179632498</c:v>
                </c:pt>
                <c:pt idx="128">
                  <c:v>194.98445997580458</c:v>
                </c:pt>
                <c:pt idx="129">
                  <c:v>199.52623149688802</c:v>
                </c:pt>
                <c:pt idx="130">
                  <c:v>204.17379446695315</c:v>
                </c:pt>
                <c:pt idx="131">
                  <c:v>208.92961308540396</c:v>
                </c:pt>
                <c:pt idx="132">
                  <c:v>213.79620895022339</c:v>
                </c:pt>
                <c:pt idx="133">
                  <c:v>218.77616239495524</c:v>
                </c:pt>
                <c:pt idx="134">
                  <c:v>223.87211385683412</c:v>
                </c:pt>
                <c:pt idx="135">
                  <c:v>229.08676527677744</c:v>
                </c:pt>
                <c:pt idx="136">
                  <c:v>234.42288153199232</c:v>
                </c:pt>
                <c:pt idx="137">
                  <c:v>239.88329190194912</c:v>
                </c:pt>
                <c:pt idx="138">
                  <c:v>245.4708915685033</c:v>
                </c:pt>
                <c:pt idx="139">
                  <c:v>251.18864315095806</c:v>
                </c:pt>
                <c:pt idx="140">
                  <c:v>257.03957827688663</c:v>
                </c:pt>
                <c:pt idx="141">
                  <c:v>263.02679918953817</c:v>
                </c:pt>
                <c:pt idx="142">
                  <c:v>269.15348039269179</c:v>
                </c:pt>
                <c:pt idx="143">
                  <c:v>275.42287033381683</c:v>
                </c:pt>
                <c:pt idx="144">
                  <c:v>281.83829312644554</c:v>
                </c:pt>
                <c:pt idx="145">
                  <c:v>288.40315031266073</c:v>
                </c:pt>
                <c:pt idx="146">
                  <c:v>295.12092266663871</c:v>
                </c:pt>
                <c:pt idx="147">
                  <c:v>301.99517204020168</c:v>
                </c:pt>
                <c:pt idx="148">
                  <c:v>309.02954325135937</c:v>
                </c:pt>
                <c:pt idx="149">
                  <c:v>316.22776601683825</c:v>
                </c:pt>
                <c:pt idx="150">
                  <c:v>323.59365692962825</c:v>
                </c:pt>
                <c:pt idx="151">
                  <c:v>331.13112148259137</c:v>
                </c:pt>
                <c:pt idx="152">
                  <c:v>338.84415613920277</c:v>
                </c:pt>
                <c:pt idx="153">
                  <c:v>346.73685045253183</c:v>
                </c:pt>
                <c:pt idx="154">
                  <c:v>354.81338923357566</c:v>
                </c:pt>
                <c:pt idx="155">
                  <c:v>363.07805477010152</c:v>
                </c:pt>
                <c:pt idx="156">
                  <c:v>371.53522909717265</c:v>
                </c:pt>
                <c:pt idx="157">
                  <c:v>380.18939632056163</c:v>
                </c:pt>
                <c:pt idx="158">
                  <c:v>389.04514499428063</c:v>
                </c:pt>
                <c:pt idx="159">
                  <c:v>398.10717055349761</c:v>
                </c:pt>
                <c:pt idx="160">
                  <c:v>407.38027780411272</c:v>
                </c:pt>
                <c:pt idx="161">
                  <c:v>416.86938347033572</c:v>
                </c:pt>
                <c:pt idx="162">
                  <c:v>426.57951880159294</c:v>
                </c:pt>
                <c:pt idx="163">
                  <c:v>436.51583224016622</c:v>
                </c:pt>
                <c:pt idx="164">
                  <c:v>446.68359215096331</c:v>
                </c:pt>
                <c:pt idx="165">
                  <c:v>457.0881896148756</c:v>
                </c:pt>
                <c:pt idx="166">
                  <c:v>467.7351412871983</c:v>
                </c:pt>
                <c:pt idx="167">
                  <c:v>478.63009232263886</c:v>
                </c:pt>
                <c:pt idx="168">
                  <c:v>489.77881936844625</c:v>
                </c:pt>
                <c:pt idx="169">
                  <c:v>501.18723362727269</c:v>
                </c:pt>
                <c:pt idx="170">
                  <c:v>512.86138399136519</c:v>
                </c:pt>
                <c:pt idx="171">
                  <c:v>524.80746024977248</c:v>
                </c:pt>
                <c:pt idx="172">
                  <c:v>537.03179637025301</c:v>
                </c:pt>
                <c:pt idx="173">
                  <c:v>549.54087385762534</c:v>
                </c:pt>
                <c:pt idx="174">
                  <c:v>562.34132519034927</c:v>
                </c:pt>
                <c:pt idx="175">
                  <c:v>575.43993733715706</c:v>
                </c:pt>
                <c:pt idx="176">
                  <c:v>588.84365535558959</c:v>
                </c:pt>
                <c:pt idx="177">
                  <c:v>602.55958607435832</c:v>
                </c:pt>
                <c:pt idx="178">
                  <c:v>616.59500186148273</c:v>
                </c:pt>
                <c:pt idx="179">
                  <c:v>630.95734448019323</c:v>
                </c:pt>
                <c:pt idx="180">
                  <c:v>645.65422903465594</c:v>
                </c:pt>
                <c:pt idx="181">
                  <c:v>660.69344800759643</c:v>
                </c:pt>
                <c:pt idx="182">
                  <c:v>676.08297539198213</c:v>
                </c:pt>
                <c:pt idx="183">
                  <c:v>691.83097091893671</c:v>
                </c:pt>
                <c:pt idx="184">
                  <c:v>707.94578438413873</c:v>
                </c:pt>
                <c:pt idx="185">
                  <c:v>724.43596007499025</c:v>
                </c:pt>
                <c:pt idx="186">
                  <c:v>741.31024130091828</c:v>
                </c:pt>
                <c:pt idx="187">
                  <c:v>758.57757502918378</c:v>
                </c:pt>
                <c:pt idx="188">
                  <c:v>776.24711662869231</c:v>
                </c:pt>
                <c:pt idx="189">
                  <c:v>794.32823472428208</c:v>
                </c:pt>
                <c:pt idx="190">
                  <c:v>812.83051616409978</c:v>
                </c:pt>
                <c:pt idx="191">
                  <c:v>831.7637711026714</c:v>
                </c:pt>
                <c:pt idx="192">
                  <c:v>851.13803820237763</c:v>
                </c:pt>
                <c:pt idx="193">
                  <c:v>870.96358995608091</c:v>
                </c:pt>
                <c:pt idx="194">
                  <c:v>891.25093813374656</c:v>
                </c:pt>
                <c:pt idx="195">
                  <c:v>912.01083935590987</c:v>
                </c:pt>
                <c:pt idx="196">
                  <c:v>933.25430079699106</c:v>
                </c:pt>
                <c:pt idx="197">
                  <c:v>954.99258602143675</c:v>
                </c:pt>
                <c:pt idx="198">
                  <c:v>977.23722095581138</c:v>
                </c:pt>
                <c:pt idx="199">
                  <c:v>1000</c:v>
                </c:pt>
                <c:pt idx="200">
                  <c:v>1023.2929922807547</c:v>
                </c:pt>
                <c:pt idx="201">
                  <c:v>1047.1285480509</c:v>
                </c:pt>
                <c:pt idx="202">
                  <c:v>1071.5193052376069</c:v>
                </c:pt>
                <c:pt idx="203">
                  <c:v>1096.4781961431863</c:v>
                </c:pt>
                <c:pt idx="204">
                  <c:v>1122.0184543019636</c:v>
                </c:pt>
                <c:pt idx="205">
                  <c:v>1148.1536214968839</c:v>
                </c:pt>
                <c:pt idx="206">
                  <c:v>1174.8975549395295</c:v>
                </c:pt>
                <c:pt idx="207">
                  <c:v>1202.2644346174138</c:v>
                </c:pt>
                <c:pt idx="208">
                  <c:v>1230.2687708123824</c:v>
                </c:pt>
                <c:pt idx="209">
                  <c:v>1258.925411794168</c:v>
                </c:pt>
                <c:pt idx="210">
                  <c:v>1288.2495516931347</c:v>
                </c:pt>
                <c:pt idx="211">
                  <c:v>1318.2567385564089</c:v>
                </c:pt>
                <c:pt idx="212">
                  <c:v>1348.9628825916541</c:v>
                </c:pt>
                <c:pt idx="213">
                  <c:v>1380.3842646028863</c:v>
                </c:pt>
                <c:pt idx="214">
                  <c:v>1412.5375446227545</c:v>
                </c:pt>
                <c:pt idx="215">
                  <c:v>1445.4397707459289</c:v>
                </c:pt>
                <c:pt idx="216">
                  <c:v>1479.1083881682086</c:v>
                </c:pt>
                <c:pt idx="217">
                  <c:v>1513.5612484362093</c:v>
                </c:pt>
                <c:pt idx="218">
                  <c:v>1548.8166189124822</c:v>
                </c:pt>
                <c:pt idx="219">
                  <c:v>1584.8931924611156</c:v>
                </c:pt>
                <c:pt idx="220">
                  <c:v>1621.8100973589308</c:v>
                </c:pt>
                <c:pt idx="221">
                  <c:v>1659.5869074375626</c:v>
                </c:pt>
                <c:pt idx="222">
                  <c:v>1698.2436524617447</c:v>
                </c:pt>
                <c:pt idx="223">
                  <c:v>1737.8008287493772</c:v>
                </c:pt>
                <c:pt idx="224">
                  <c:v>1778.2794100389244</c:v>
                </c:pt>
                <c:pt idx="225">
                  <c:v>1819.7008586099832</c:v>
                </c:pt>
                <c:pt idx="226">
                  <c:v>1862.0871366628687</c:v>
                </c:pt>
                <c:pt idx="227">
                  <c:v>1905.4607179632501</c:v>
                </c:pt>
                <c:pt idx="228">
                  <c:v>1949.8445997580463</c:v>
                </c:pt>
                <c:pt idx="229">
                  <c:v>1995.2623149688804</c:v>
                </c:pt>
                <c:pt idx="230">
                  <c:v>2041.7379446695318</c:v>
                </c:pt>
                <c:pt idx="231">
                  <c:v>2089.2961308540398</c:v>
                </c:pt>
                <c:pt idx="232">
                  <c:v>2137.9620895022344</c:v>
                </c:pt>
                <c:pt idx="233">
                  <c:v>2187.7616239495528</c:v>
                </c:pt>
                <c:pt idx="234">
                  <c:v>2238.7211385683418</c:v>
                </c:pt>
                <c:pt idx="235">
                  <c:v>2290.8676527677749</c:v>
                </c:pt>
                <c:pt idx="236">
                  <c:v>2344.2288153199238</c:v>
                </c:pt>
                <c:pt idx="237">
                  <c:v>2398.8329190194918</c:v>
                </c:pt>
                <c:pt idx="238">
                  <c:v>2454.7089156850338</c:v>
                </c:pt>
                <c:pt idx="239">
                  <c:v>2511.8864315095811</c:v>
                </c:pt>
                <c:pt idx="240">
                  <c:v>2570.3957827688669</c:v>
                </c:pt>
                <c:pt idx="241">
                  <c:v>2630.2679918953822</c:v>
                </c:pt>
                <c:pt idx="242">
                  <c:v>2691.5348039269184</c:v>
                </c:pt>
                <c:pt idx="243">
                  <c:v>2754.228703338169</c:v>
                </c:pt>
                <c:pt idx="244">
                  <c:v>2818.3829312644561</c:v>
                </c:pt>
                <c:pt idx="245">
                  <c:v>2884.0315031266077</c:v>
                </c:pt>
                <c:pt idx="246">
                  <c:v>2951.2092266663876</c:v>
                </c:pt>
                <c:pt idx="247">
                  <c:v>3019.9517204020176</c:v>
                </c:pt>
                <c:pt idx="248">
                  <c:v>3090.295432513592</c:v>
                </c:pt>
                <c:pt idx="249">
                  <c:v>3162.2776601683804</c:v>
                </c:pt>
                <c:pt idx="250">
                  <c:v>3235.9365692962833</c:v>
                </c:pt>
                <c:pt idx="251">
                  <c:v>3311.3112148259115</c:v>
                </c:pt>
                <c:pt idx="252">
                  <c:v>3388.4415613920314</c:v>
                </c:pt>
                <c:pt idx="253">
                  <c:v>3467.3685045253224</c:v>
                </c:pt>
                <c:pt idx="254">
                  <c:v>3548.1338923357539</c:v>
                </c:pt>
                <c:pt idx="255">
                  <c:v>3630.7805477010188</c:v>
                </c:pt>
                <c:pt idx="256">
                  <c:v>3715.352290971724</c:v>
                </c:pt>
                <c:pt idx="257">
                  <c:v>3801.8939632056172</c:v>
                </c:pt>
                <c:pt idx="258">
                  <c:v>3890.451449942811</c:v>
                </c:pt>
                <c:pt idx="259">
                  <c:v>3981.0717055349769</c:v>
                </c:pt>
                <c:pt idx="260">
                  <c:v>4073.8027780411317</c:v>
                </c:pt>
                <c:pt idx="261">
                  <c:v>4168.6938347033583</c:v>
                </c:pt>
                <c:pt idx="262">
                  <c:v>4265.7951880159299</c:v>
                </c:pt>
                <c:pt idx="263">
                  <c:v>4365.1583224016631</c:v>
                </c:pt>
                <c:pt idx="264">
                  <c:v>4466.8359215096343</c:v>
                </c:pt>
                <c:pt idx="265">
                  <c:v>4570.8818961487532</c:v>
                </c:pt>
                <c:pt idx="266">
                  <c:v>4677.3514128719844</c:v>
                </c:pt>
                <c:pt idx="267">
                  <c:v>4786.3009232263848</c:v>
                </c:pt>
                <c:pt idx="268">
                  <c:v>4897.7881936844633</c:v>
                </c:pt>
                <c:pt idx="269">
                  <c:v>5011.8723362727324</c:v>
                </c:pt>
                <c:pt idx="270">
                  <c:v>5128.6138399136489</c:v>
                </c:pt>
                <c:pt idx="271">
                  <c:v>5248.0746024977261</c:v>
                </c:pt>
                <c:pt idx="272">
                  <c:v>5370.3179637025269</c:v>
                </c:pt>
                <c:pt idx="273">
                  <c:v>5495.4087385762541</c:v>
                </c:pt>
                <c:pt idx="274">
                  <c:v>5623.4132519034993</c:v>
                </c:pt>
                <c:pt idx="275">
                  <c:v>5754.399373371567</c:v>
                </c:pt>
                <c:pt idx="276">
                  <c:v>5888.4365535558973</c:v>
                </c:pt>
                <c:pt idx="277">
                  <c:v>6025.595860743585</c:v>
                </c:pt>
                <c:pt idx="278">
                  <c:v>6165.9500186148289</c:v>
                </c:pt>
                <c:pt idx="279">
                  <c:v>6309.5734448019384</c:v>
                </c:pt>
                <c:pt idx="280">
                  <c:v>6456.5422903465615</c:v>
                </c:pt>
                <c:pt idx="281">
                  <c:v>6606.9344800759654</c:v>
                </c:pt>
                <c:pt idx="282">
                  <c:v>6760.8297539198229</c:v>
                </c:pt>
                <c:pt idx="283">
                  <c:v>6918.3097091893687</c:v>
                </c:pt>
                <c:pt idx="284">
                  <c:v>7079.4578438413828</c:v>
                </c:pt>
                <c:pt idx="285">
                  <c:v>7244.3596007499036</c:v>
                </c:pt>
                <c:pt idx="286">
                  <c:v>7413.1024130091773</c:v>
                </c:pt>
                <c:pt idx="287">
                  <c:v>7585.7757502918394</c:v>
                </c:pt>
                <c:pt idx="288">
                  <c:v>7762.4711662869322</c:v>
                </c:pt>
                <c:pt idx="289">
                  <c:v>7943.2823472428154</c:v>
                </c:pt>
                <c:pt idx="290">
                  <c:v>8128.3051616410066</c:v>
                </c:pt>
                <c:pt idx="291">
                  <c:v>8317.6377110267094</c:v>
                </c:pt>
                <c:pt idx="292">
                  <c:v>8511.3803820237772</c:v>
                </c:pt>
                <c:pt idx="293">
                  <c:v>8709.6358995608189</c:v>
                </c:pt>
                <c:pt idx="294">
                  <c:v>8912.5093813374679</c:v>
                </c:pt>
                <c:pt idx="295">
                  <c:v>9120.1083935591087</c:v>
                </c:pt>
                <c:pt idx="296">
                  <c:v>9332.5430079699217</c:v>
                </c:pt>
                <c:pt idx="297">
                  <c:v>9549.9258602143691</c:v>
                </c:pt>
                <c:pt idx="298">
                  <c:v>9772.3722095581161</c:v>
                </c:pt>
                <c:pt idx="299">
                  <c:v>10000</c:v>
                </c:pt>
                <c:pt idx="300">
                  <c:v>10232.929922807549</c:v>
                </c:pt>
                <c:pt idx="301">
                  <c:v>10471.285480509003</c:v>
                </c:pt>
                <c:pt idx="302">
                  <c:v>10715.193052376071</c:v>
                </c:pt>
                <c:pt idx="303">
                  <c:v>10964.781961431856</c:v>
                </c:pt>
                <c:pt idx="304">
                  <c:v>11220.184543019639</c:v>
                </c:pt>
                <c:pt idx="305">
                  <c:v>11481.536214968832</c:v>
                </c:pt>
                <c:pt idx="306">
                  <c:v>11748.975549395318</c:v>
                </c:pt>
                <c:pt idx="307">
                  <c:v>12022.644346174151</c:v>
                </c:pt>
                <c:pt idx="308">
                  <c:v>12302.687708123816</c:v>
                </c:pt>
                <c:pt idx="309">
                  <c:v>12589.254117941671</c:v>
                </c:pt>
                <c:pt idx="310">
                  <c:v>12882.49551693136</c:v>
                </c:pt>
                <c:pt idx="311">
                  <c:v>13182.567385564091</c:v>
                </c:pt>
                <c:pt idx="312">
                  <c:v>13489.628825916556</c:v>
                </c:pt>
                <c:pt idx="313">
                  <c:v>13803.842646028841</c:v>
                </c:pt>
                <c:pt idx="314">
                  <c:v>14125.375446227561</c:v>
                </c:pt>
                <c:pt idx="315">
                  <c:v>14454.397707459291</c:v>
                </c:pt>
                <c:pt idx="316">
                  <c:v>14791.083881682089</c:v>
                </c:pt>
                <c:pt idx="317">
                  <c:v>15135.612484362096</c:v>
                </c:pt>
                <c:pt idx="318">
                  <c:v>15488.166189124853</c:v>
                </c:pt>
                <c:pt idx="319">
                  <c:v>15848.931924611146</c:v>
                </c:pt>
                <c:pt idx="320">
                  <c:v>16218.100973589309</c:v>
                </c:pt>
                <c:pt idx="321">
                  <c:v>16595.869074375616</c:v>
                </c:pt>
                <c:pt idx="322">
                  <c:v>16982.436524617482</c:v>
                </c:pt>
                <c:pt idx="323">
                  <c:v>17378.008287493791</c:v>
                </c:pt>
                <c:pt idx="324">
                  <c:v>17782.794100389234</c:v>
                </c:pt>
                <c:pt idx="325">
                  <c:v>18197.008586099837</c:v>
                </c:pt>
                <c:pt idx="326">
                  <c:v>18620.871366628675</c:v>
                </c:pt>
                <c:pt idx="327">
                  <c:v>19054.607179632505</c:v>
                </c:pt>
                <c:pt idx="328">
                  <c:v>19498.445997580486</c:v>
                </c:pt>
                <c:pt idx="329">
                  <c:v>19952.623149688792</c:v>
                </c:pt>
                <c:pt idx="330">
                  <c:v>20417.379446695286</c:v>
                </c:pt>
                <c:pt idx="331">
                  <c:v>20892.961308540423</c:v>
                </c:pt>
                <c:pt idx="332">
                  <c:v>21379.620895022348</c:v>
                </c:pt>
                <c:pt idx="333">
                  <c:v>21877.61623949555</c:v>
                </c:pt>
                <c:pt idx="334">
                  <c:v>22387.211385683382</c:v>
                </c:pt>
                <c:pt idx="335">
                  <c:v>22908.676527677751</c:v>
                </c:pt>
                <c:pt idx="336">
                  <c:v>23442.288153199243</c:v>
                </c:pt>
                <c:pt idx="337">
                  <c:v>23988.329190194923</c:v>
                </c:pt>
                <c:pt idx="338">
                  <c:v>24547.089156850321</c:v>
                </c:pt>
                <c:pt idx="339">
                  <c:v>25118.86431509586</c:v>
                </c:pt>
                <c:pt idx="340">
                  <c:v>25703.95782768865</c:v>
                </c:pt>
                <c:pt idx="341">
                  <c:v>26302.679918953829</c:v>
                </c:pt>
                <c:pt idx="342">
                  <c:v>26915.348039269167</c:v>
                </c:pt>
                <c:pt idx="343">
                  <c:v>27542.287033381719</c:v>
                </c:pt>
                <c:pt idx="344">
                  <c:v>28183.829312644593</c:v>
                </c:pt>
                <c:pt idx="345">
                  <c:v>28840.315031266062</c:v>
                </c:pt>
                <c:pt idx="346">
                  <c:v>29512.092266663854</c:v>
                </c:pt>
                <c:pt idx="347">
                  <c:v>30199.517204020212</c:v>
                </c:pt>
                <c:pt idx="348">
                  <c:v>30902.954325135954</c:v>
                </c:pt>
                <c:pt idx="349">
                  <c:v>31622.77660168384</c:v>
                </c:pt>
                <c:pt idx="350">
                  <c:v>32359.365692962871</c:v>
                </c:pt>
                <c:pt idx="351">
                  <c:v>33113.11214825909</c:v>
                </c:pt>
                <c:pt idx="352">
                  <c:v>33884.41561392029</c:v>
                </c:pt>
                <c:pt idx="353">
                  <c:v>34673.685045253202</c:v>
                </c:pt>
                <c:pt idx="354">
                  <c:v>35481.33892335758</c:v>
                </c:pt>
                <c:pt idx="355">
                  <c:v>36307.805477010232</c:v>
                </c:pt>
                <c:pt idx="356">
                  <c:v>37153.522909717351</c:v>
                </c:pt>
                <c:pt idx="357">
                  <c:v>38018.939632056143</c:v>
                </c:pt>
                <c:pt idx="358">
                  <c:v>38904.514499428085</c:v>
                </c:pt>
                <c:pt idx="359">
                  <c:v>39810.717055349742</c:v>
                </c:pt>
                <c:pt idx="360">
                  <c:v>40738.027780411358</c:v>
                </c:pt>
                <c:pt idx="361">
                  <c:v>41686.938347033625</c:v>
                </c:pt>
                <c:pt idx="362">
                  <c:v>42657.951880159271</c:v>
                </c:pt>
                <c:pt idx="363">
                  <c:v>43651.583224016598</c:v>
                </c:pt>
                <c:pt idx="364">
                  <c:v>44668.359215096389</c:v>
                </c:pt>
                <c:pt idx="365">
                  <c:v>45708.818961487581</c:v>
                </c:pt>
                <c:pt idx="366">
                  <c:v>46773.514128719893</c:v>
                </c:pt>
                <c:pt idx="367">
                  <c:v>47863.009232263823</c:v>
                </c:pt>
                <c:pt idx="368">
                  <c:v>48977.881936844598</c:v>
                </c:pt>
                <c:pt idx="369">
                  <c:v>50118.723362727294</c:v>
                </c:pt>
                <c:pt idx="370">
                  <c:v>51286.138399136544</c:v>
                </c:pt>
                <c:pt idx="371">
                  <c:v>52480.746024977314</c:v>
                </c:pt>
                <c:pt idx="372">
                  <c:v>53703.179637025423</c:v>
                </c:pt>
                <c:pt idx="373">
                  <c:v>54954.087385762505</c:v>
                </c:pt>
                <c:pt idx="374">
                  <c:v>56234.132519034953</c:v>
                </c:pt>
                <c:pt idx="375">
                  <c:v>57543.993733715732</c:v>
                </c:pt>
                <c:pt idx="376">
                  <c:v>58884.365535558936</c:v>
                </c:pt>
                <c:pt idx="377">
                  <c:v>60255.95860743591</c:v>
                </c:pt>
                <c:pt idx="378">
                  <c:v>61659.500186148245</c:v>
                </c:pt>
                <c:pt idx="379">
                  <c:v>63095.734448019342</c:v>
                </c:pt>
                <c:pt idx="380">
                  <c:v>64565.422903465682</c:v>
                </c:pt>
                <c:pt idx="381">
                  <c:v>66069.344800759733</c:v>
                </c:pt>
                <c:pt idx="382">
                  <c:v>67608.297539198305</c:v>
                </c:pt>
                <c:pt idx="383">
                  <c:v>69183.097091893651</c:v>
                </c:pt>
                <c:pt idx="384">
                  <c:v>70794.578438413781</c:v>
                </c:pt>
                <c:pt idx="385">
                  <c:v>72443.596007499116</c:v>
                </c:pt>
                <c:pt idx="386">
                  <c:v>74131.024130091857</c:v>
                </c:pt>
                <c:pt idx="387">
                  <c:v>75857.757502918481</c:v>
                </c:pt>
                <c:pt idx="388">
                  <c:v>77624.711662869129</c:v>
                </c:pt>
                <c:pt idx="389">
                  <c:v>79432.823472428237</c:v>
                </c:pt>
                <c:pt idx="390">
                  <c:v>81283.051616410012</c:v>
                </c:pt>
                <c:pt idx="391">
                  <c:v>83176.377110267174</c:v>
                </c:pt>
                <c:pt idx="392">
                  <c:v>85113.803820237721</c:v>
                </c:pt>
                <c:pt idx="393">
                  <c:v>87096.358995608127</c:v>
                </c:pt>
                <c:pt idx="394">
                  <c:v>89125.093813374609</c:v>
                </c:pt>
                <c:pt idx="395">
                  <c:v>91201.083935591028</c:v>
                </c:pt>
                <c:pt idx="396">
                  <c:v>93325.430079699145</c:v>
                </c:pt>
                <c:pt idx="397">
                  <c:v>95499.258602143804</c:v>
                </c:pt>
                <c:pt idx="398">
                  <c:v>97723.722095581266</c:v>
                </c:pt>
                <c:pt idx="399">
                  <c:v>100000</c:v>
                </c:pt>
                <c:pt idx="400">
                  <c:v>102329.29922807543</c:v>
                </c:pt>
                <c:pt idx="401">
                  <c:v>104712.85480508996</c:v>
                </c:pt>
                <c:pt idx="402">
                  <c:v>107151.93052376082</c:v>
                </c:pt>
                <c:pt idx="403">
                  <c:v>109647.81961431868</c:v>
                </c:pt>
                <c:pt idx="404">
                  <c:v>112201.84543019651</c:v>
                </c:pt>
                <c:pt idx="405">
                  <c:v>114815.36214968823</c:v>
                </c:pt>
                <c:pt idx="406">
                  <c:v>117489.75549395311</c:v>
                </c:pt>
                <c:pt idx="407">
                  <c:v>120226.44346174144</c:v>
                </c:pt>
                <c:pt idx="408">
                  <c:v>123026.87708123829</c:v>
                </c:pt>
                <c:pt idx="409">
                  <c:v>125892.54117941685</c:v>
                </c:pt>
                <c:pt idx="410">
                  <c:v>128824.95516931375</c:v>
                </c:pt>
                <c:pt idx="411">
                  <c:v>131825.67385564081</c:v>
                </c:pt>
                <c:pt idx="412">
                  <c:v>134896.28825916545</c:v>
                </c:pt>
                <c:pt idx="413">
                  <c:v>138038.42646028858</c:v>
                </c:pt>
                <c:pt idx="414">
                  <c:v>141253.75446227577</c:v>
                </c:pt>
                <c:pt idx="415">
                  <c:v>144543.97707459307</c:v>
                </c:pt>
                <c:pt idx="416">
                  <c:v>147910.83881682079</c:v>
                </c:pt>
                <c:pt idx="417">
                  <c:v>151356.12484362084</c:v>
                </c:pt>
                <c:pt idx="418">
                  <c:v>154881.66189124843</c:v>
                </c:pt>
                <c:pt idx="419">
                  <c:v>158489.31924611164</c:v>
                </c:pt>
                <c:pt idx="420">
                  <c:v>162181.00973589328</c:v>
                </c:pt>
                <c:pt idx="421">
                  <c:v>165958.69074375604</c:v>
                </c:pt>
                <c:pt idx="422">
                  <c:v>169824.36524617471</c:v>
                </c:pt>
                <c:pt idx="423">
                  <c:v>173780.0828749378</c:v>
                </c:pt>
                <c:pt idx="424">
                  <c:v>177827.94100389251</c:v>
                </c:pt>
                <c:pt idx="425">
                  <c:v>181970.08586099857</c:v>
                </c:pt>
                <c:pt idx="426">
                  <c:v>186208.71366628664</c:v>
                </c:pt>
                <c:pt idx="427">
                  <c:v>190546.07179632492</c:v>
                </c:pt>
                <c:pt idx="428">
                  <c:v>194984.45997580473</c:v>
                </c:pt>
                <c:pt idx="429">
                  <c:v>199526.23149688813</c:v>
                </c:pt>
                <c:pt idx="430">
                  <c:v>204173.79446695308</c:v>
                </c:pt>
                <c:pt idx="431">
                  <c:v>208929.61308540447</c:v>
                </c:pt>
                <c:pt idx="432">
                  <c:v>213796.20895022334</c:v>
                </c:pt>
                <c:pt idx="433">
                  <c:v>218776.16239495538</c:v>
                </c:pt>
                <c:pt idx="434">
                  <c:v>223872.11385683404</c:v>
                </c:pt>
                <c:pt idx="435">
                  <c:v>229086.76527677779</c:v>
                </c:pt>
                <c:pt idx="436">
                  <c:v>234422.88153199267</c:v>
                </c:pt>
                <c:pt idx="437">
                  <c:v>239883.29190194907</c:v>
                </c:pt>
                <c:pt idx="438">
                  <c:v>245470.89156850305</c:v>
                </c:pt>
                <c:pt idx="439">
                  <c:v>251188.64315095844</c:v>
                </c:pt>
                <c:pt idx="440">
                  <c:v>257039.57827688678</c:v>
                </c:pt>
                <c:pt idx="441">
                  <c:v>263026.79918953858</c:v>
                </c:pt>
                <c:pt idx="442">
                  <c:v>269153.48039269145</c:v>
                </c:pt>
                <c:pt idx="443">
                  <c:v>275422.87033381703</c:v>
                </c:pt>
                <c:pt idx="444">
                  <c:v>281838.29312644573</c:v>
                </c:pt>
                <c:pt idx="445">
                  <c:v>288403.1503126609</c:v>
                </c:pt>
                <c:pt idx="446">
                  <c:v>295120.92266663886</c:v>
                </c:pt>
                <c:pt idx="447">
                  <c:v>301995.17204020242</c:v>
                </c:pt>
                <c:pt idx="448">
                  <c:v>309029.54325135931</c:v>
                </c:pt>
                <c:pt idx="449">
                  <c:v>316227.7660168382</c:v>
                </c:pt>
                <c:pt idx="450">
                  <c:v>323593.65692962846</c:v>
                </c:pt>
                <c:pt idx="451">
                  <c:v>331131.12148259126</c:v>
                </c:pt>
                <c:pt idx="452">
                  <c:v>338844.15613920329</c:v>
                </c:pt>
                <c:pt idx="453">
                  <c:v>346736.85045253241</c:v>
                </c:pt>
                <c:pt idx="454">
                  <c:v>354813.38923357555</c:v>
                </c:pt>
                <c:pt idx="455">
                  <c:v>363078.05477010203</c:v>
                </c:pt>
                <c:pt idx="456">
                  <c:v>371535.2290971732</c:v>
                </c:pt>
                <c:pt idx="457">
                  <c:v>380189.39632056188</c:v>
                </c:pt>
                <c:pt idx="458">
                  <c:v>389045.14499428123</c:v>
                </c:pt>
                <c:pt idx="459">
                  <c:v>398107.17055349716</c:v>
                </c:pt>
                <c:pt idx="460">
                  <c:v>407380.27780411334</c:v>
                </c:pt>
                <c:pt idx="461">
                  <c:v>416869.38347033598</c:v>
                </c:pt>
                <c:pt idx="462">
                  <c:v>426579.51880159322</c:v>
                </c:pt>
                <c:pt idx="463">
                  <c:v>436515.83224016649</c:v>
                </c:pt>
                <c:pt idx="464">
                  <c:v>446683.59215096442</c:v>
                </c:pt>
                <c:pt idx="465">
                  <c:v>457088.18961487547</c:v>
                </c:pt>
                <c:pt idx="466">
                  <c:v>467735.14128719864</c:v>
                </c:pt>
                <c:pt idx="467">
                  <c:v>478630.09232263872</c:v>
                </c:pt>
                <c:pt idx="468">
                  <c:v>489778.81936844654</c:v>
                </c:pt>
                <c:pt idx="469">
                  <c:v>501187.23362727347</c:v>
                </c:pt>
                <c:pt idx="470">
                  <c:v>512861.38399136515</c:v>
                </c:pt>
                <c:pt idx="471">
                  <c:v>524807.46024977288</c:v>
                </c:pt>
                <c:pt idx="472">
                  <c:v>537031.7963702539</c:v>
                </c:pt>
                <c:pt idx="473">
                  <c:v>549540.87385762564</c:v>
                </c:pt>
                <c:pt idx="474">
                  <c:v>562341.32519035018</c:v>
                </c:pt>
                <c:pt idx="475">
                  <c:v>575439.93733715697</c:v>
                </c:pt>
                <c:pt idx="476">
                  <c:v>588843.65535558888</c:v>
                </c:pt>
                <c:pt idx="477">
                  <c:v>602559.58607435878</c:v>
                </c:pt>
                <c:pt idx="478">
                  <c:v>616595.00186148309</c:v>
                </c:pt>
                <c:pt idx="479">
                  <c:v>630957.34448019415</c:v>
                </c:pt>
                <c:pt idx="480">
                  <c:v>645654.22903465747</c:v>
                </c:pt>
                <c:pt idx="481">
                  <c:v>660693.44800759677</c:v>
                </c:pt>
                <c:pt idx="482">
                  <c:v>676082.97539198259</c:v>
                </c:pt>
                <c:pt idx="483">
                  <c:v>691830.97091893724</c:v>
                </c:pt>
                <c:pt idx="484">
                  <c:v>707945.78438413853</c:v>
                </c:pt>
                <c:pt idx="485">
                  <c:v>724435.96007499192</c:v>
                </c:pt>
                <c:pt idx="486">
                  <c:v>741310.24130091805</c:v>
                </c:pt>
                <c:pt idx="487">
                  <c:v>758577.57502918423</c:v>
                </c:pt>
                <c:pt idx="488">
                  <c:v>776247.11662869214</c:v>
                </c:pt>
                <c:pt idx="489">
                  <c:v>794328.23472428333</c:v>
                </c:pt>
                <c:pt idx="490">
                  <c:v>812830.51616410096</c:v>
                </c:pt>
                <c:pt idx="491">
                  <c:v>831763.77110267128</c:v>
                </c:pt>
                <c:pt idx="492">
                  <c:v>851138.03820237669</c:v>
                </c:pt>
                <c:pt idx="493">
                  <c:v>870963.58995608077</c:v>
                </c:pt>
                <c:pt idx="494">
                  <c:v>891250.93813374708</c:v>
                </c:pt>
                <c:pt idx="495">
                  <c:v>912010.83935591124</c:v>
                </c:pt>
                <c:pt idx="496">
                  <c:v>933254.30079699249</c:v>
                </c:pt>
                <c:pt idx="497">
                  <c:v>954992.58602143743</c:v>
                </c:pt>
                <c:pt idx="498">
                  <c:v>977237.22095581202</c:v>
                </c:pt>
                <c:pt idx="499">
                  <c:v>1000000</c:v>
                </c:pt>
                <c:pt idx="500">
                  <c:v>1023292.9922807553</c:v>
                </c:pt>
                <c:pt idx="501">
                  <c:v>1047128.5480509007</c:v>
                </c:pt>
                <c:pt idx="502">
                  <c:v>1071519.3052376076</c:v>
                </c:pt>
                <c:pt idx="503">
                  <c:v>1096478.196143186</c:v>
                </c:pt>
                <c:pt idx="504">
                  <c:v>1122018.4543019643</c:v>
                </c:pt>
                <c:pt idx="505">
                  <c:v>1148153.6214968837</c:v>
                </c:pt>
                <c:pt idx="506">
                  <c:v>1174897.5549395324</c:v>
                </c:pt>
                <c:pt idx="507">
                  <c:v>1202264.4346174158</c:v>
                </c:pt>
                <c:pt idx="508">
                  <c:v>1230268.770812382</c:v>
                </c:pt>
                <c:pt idx="509">
                  <c:v>1258925.4117941677</c:v>
                </c:pt>
                <c:pt idx="510">
                  <c:v>1288249.5516931366</c:v>
                </c:pt>
                <c:pt idx="511">
                  <c:v>1318256.7385564097</c:v>
                </c:pt>
                <c:pt idx="512">
                  <c:v>1348962.8825916562</c:v>
                </c:pt>
                <c:pt idx="513">
                  <c:v>1380384.2646028849</c:v>
                </c:pt>
                <c:pt idx="514">
                  <c:v>1412537.5446227565</c:v>
                </c:pt>
                <c:pt idx="515">
                  <c:v>1445439.7707459298</c:v>
                </c:pt>
                <c:pt idx="516">
                  <c:v>1479108.3881682095</c:v>
                </c:pt>
                <c:pt idx="517">
                  <c:v>1513561.2484362102</c:v>
                </c:pt>
                <c:pt idx="518">
                  <c:v>1548816.6189124861</c:v>
                </c:pt>
                <c:pt idx="519">
                  <c:v>1584893.1924611153</c:v>
                </c:pt>
                <c:pt idx="520">
                  <c:v>1621810.0973589318</c:v>
                </c:pt>
                <c:pt idx="521">
                  <c:v>1659586.9074375622</c:v>
                </c:pt>
                <c:pt idx="522">
                  <c:v>1698243.6524617488</c:v>
                </c:pt>
                <c:pt idx="523">
                  <c:v>1737800.8287493798</c:v>
                </c:pt>
                <c:pt idx="524">
                  <c:v>1778279.4100389241</c:v>
                </c:pt>
                <c:pt idx="525">
                  <c:v>1819700.8586099846</c:v>
                </c:pt>
                <c:pt idx="526">
                  <c:v>1862087.1366628683</c:v>
                </c:pt>
                <c:pt idx="527">
                  <c:v>1905460.7179632513</c:v>
                </c:pt>
                <c:pt idx="528">
                  <c:v>1949844.5997580495</c:v>
                </c:pt>
                <c:pt idx="529">
                  <c:v>1995262.31496888</c:v>
                </c:pt>
                <c:pt idx="530">
                  <c:v>2041737.9446695296</c:v>
                </c:pt>
                <c:pt idx="531">
                  <c:v>2089296.1308540432</c:v>
                </c:pt>
                <c:pt idx="532">
                  <c:v>2137962.0895022359</c:v>
                </c:pt>
                <c:pt idx="533">
                  <c:v>2187761.6239495561</c:v>
                </c:pt>
                <c:pt idx="534">
                  <c:v>2238721.1385683389</c:v>
                </c:pt>
                <c:pt idx="535">
                  <c:v>2290867.6527677765</c:v>
                </c:pt>
                <c:pt idx="536">
                  <c:v>2344228.8153199251</c:v>
                </c:pt>
                <c:pt idx="537">
                  <c:v>2398832.9190194933</c:v>
                </c:pt>
                <c:pt idx="538">
                  <c:v>2454708.915685033</c:v>
                </c:pt>
                <c:pt idx="539">
                  <c:v>2511886.431509587</c:v>
                </c:pt>
                <c:pt idx="540">
                  <c:v>2570395.782768866</c:v>
                </c:pt>
                <c:pt idx="541">
                  <c:v>2630267.9918953842</c:v>
                </c:pt>
              </c:numCache>
            </c:numRef>
          </c:xVal>
          <c:yVal>
            <c:numRef>
              <c:f>Control_Loop_Tables!$BK$19:$BK$560</c:f>
              <c:numCache>
                <c:formatCode>General</c:formatCode>
                <c:ptCount val="542"/>
                <c:pt idx="0">
                  <c:v>40.5341394683998</c:v>
                </c:pt>
                <c:pt idx="1">
                  <c:v>40.327036842818899</c:v>
                </c:pt>
                <c:pt idx="2">
                  <c:v>40.120107012066427</c:v>
                </c:pt>
                <c:pt idx="3">
                  <c:v>39.913350815790494</c:v>
                </c:pt>
                <c:pt idx="4">
                  <c:v>39.706768694079898</c:v>
                </c:pt>
                <c:pt idx="5">
                  <c:v>39.500360705923761</c:v>
                </c:pt>
                <c:pt idx="6">
                  <c:v>39.294126548594058</c:v>
                </c:pt>
                <c:pt idx="7">
                  <c:v>39.088065577742995</c:v>
                </c:pt>
                <c:pt idx="8">
                  <c:v>38.882176828016732</c:v>
                </c:pt>
                <c:pt idx="9">
                  <c:v>38.676459034000089</c:v>
                </c:pt>
                <c:pt idx="10">
                  <c:v>38.470910651316707</c:v>
                </c:pt>
                <c:pt idx="11">
                  <c:v>38.265529877725378</c:v>
                </c:pt>
                <c:pt idx="12">
                  <c:v>38.060314674064344</c:v>
                </c:pt>
                <c:pt idx="13">
                  <c:v>37.855262784913251</c:v>
                </c:pt>
                <c:pt idx="14">
                  <c:v>37.650371758853225</c:v>
                </c:pt>
                <c:pt idx="15">
                  <c:v>37.445638968223442</c:v>
                </c:pt>
                <c:pt idx="16">
                  <c:v>37.241061628283575</c:v>
                </c:pt>
                <c:pt idx="17">
                  <c:v>37.036636815707269</c:v>
                </c:pt>
                <c:pt idx="18">
                  <c:v>36.832361486344183</c:v>
                </c:pt>
                <c:pt idx="19">
                  <c:v>36.628232492199324</c:v>
                </c:pt>
                <c:pt idx="20">
                  <c:v>36.42424659759201</c:v>
                </c:pt>
                <c:pt idx="21">
                  <c:v>36.220400494464712</c:v>
                </c:pt>
                <c:pt idx="22">
                  <c:v>36.016690816825445</c:v>
                </c:pt>
                <c:pt idx="23">
                  <c:v>35.813114154311414</c:v>
                </c:pt>
                <c:pt idx="24">
                  <c:v>35.609667064874692</c:v>
                </c:pt>
                <c:pt idx="25">
                  <c:v>35.406346086593445</c:v>
                </c:pt>
                <c:pt idx="26">
                  <c:v>35.203147748621817</c:v>
                </c:pt>
                <c:pt idx="27">
                  <c:v>35.000068581293803</c:v>
                </c:pt>
                <c:pt idx="28">
                  <c:v>34.79710512540391</c:v>
                </c:pt>
                <c:pt idx="29">
                  <c:v>34.594253940689342</c:v>
                </c:pt>
                <c:pt idx="30">
                  <c:v>34.391511613542363</c:v>
                </c:pt>
                <c:pt idx="31">
                  <c:v>34.188874763983293</c:v>
                </c:pt>
                <c:pt idx="32">
                  <c:v>33.986340051928053</c:v>
                </c:pt>
                <c:pt idx="33">
                  <c:v>33.783904182783509</c:v>
                </c:pt>
                <c:pt idx="34">
                  <c:v>33.581563912406395</c:v>
                </c:pt>
                <c:pt idx="35">
                  <c:v>33.379316051461558</c:v>
                </c:pt>
                <c:pt idx="36">
                  <c:v>33.177157469215324</c:v>
                </c:pt>
                <c:pt idx="37">
                  <c:v>32.975085096799013</c:v>
                </c:pt>
                <c:pt idx="38">
                  <c:v>32.773095929979206</c:v>
                </c:pt>
                <c:pt idx="39">
                  <c:v>32.571187031468035</c:v>
                </c:pt>
                <c:pt idx="40">
                  <c:v>32.369355532807923</c:v>
                </c:pt>
                <c:pt idx="41">
                  <c:v>32.167598635862447</c:v>
                </c:pt>
                <c:pt idx="42">
                  <c:v>31.965913613946011</c:v>
                </c:pt>
                <c:pt idx="43">
                  <c:v>31.76429781262161</c:v>
                </c:pt>
                <c:pt idx="44">
                  <c:v>31.562748650195513</c:v>
                </c:pt>
                <c:pt idx="45">
                  <c:v>31.361263617936231</c:v>
                </c:pt>
                <c:pt idx="46">
                  <c:v>31.159840280044392</c:v>
                </c:pt>
                <c:pt idx="47">
                  <c:v>30.958476273397181</c:v>
                </c:pt>
                <c:pt idx="48">
                  <c:v>30.757169307090763</c:v>
                </c:pt>
                <c:pt idx="49">
                  <c:v>30.555917161802398</c:v>
                </c:pt>
                <c:pt idx="50">
                  <c:v>30.354717688992231</c:v>
                </c:pt>
                <c:pt idx="51">
                  <c:v>30.153568809964032</c:v>
                </c:pt>
                <c:pt idx="52">
                  <c:v>29.952468514802039</c:v>
                </c:pt>
                <c:pt idx="53">
                  <c:v>29.751414861199589</c:v>
                </c:pt>
                <c:pt idx="54">
                  <c:v>29.550405973196355</c:v>
                </c:pt>
                <c:pt idx="55">
                  <c:v>29.349440039835635</c:v>
                </c:pt>
                <c:pt idx="56">
                  <c:v>29.148515313756384</c:v>
                </c:pt>
                <c:pt idx="57">
                  <c:v>28.94763010973023</c:v>
                </c:pt>
                <c:pt idx="58">
                  <c:v>28.746782803154872</c:v>
                </c:pt>
                <c:pt idx="59">
                  <c:v>28.545971828513078</c:v>
                </c:pt>
                <c:pt idx="60">
                  <c:v>28.345195677806537</c:v>
                </c:pt>
                <c:pt idx="61">
                  <c:v>28.144452898971618</c:v>
                </c:pt>
                <c:pt idx="62">
                  <c:v>27.943742094285287</c:v>
                </c:pt>
                <c:pt idx="63">
                  <c:v>27.743061918766418</c:v>
                </c:pt>
                <c:pt idx="64">
                  <c:v>27.542411078579129</c:v>
                </c:pt>
                <c:pt idx="65">
                  <c:v>27.341788329442785</c:v>
                </c:pt>
                <c:pt idx="66">
                  <c:v>27.141192475053352</c:v>
                </c:pt>
                <c:pt idx="67">
                  <c:v>26.940622365519754</c:v>
                </c:pt>
                <c:pt idx="68">
                  <c:v>26.740076895819161</c:v>
                </c:pt>
                <c:pt idx="69">
                  <c:v>26.539555004273737</c:v>
                </c:pt>
                <c:pt idx="70">
                  <c:v>26.339055671051774</c:v>
                </c:pt>
                <c:pt idx="71">
                  <c:v>26.138577916695837</c:v>
                </c:pt>
                <c:pt idx="72">
                  <c:v>25.938120800678117</c:v>
                </c:pt>
                <c:pt idx="73">
                  <c:v>25.737683419986737</c:v>
                </c:pt>
                <c:pt idx="74">
                  <c:v>25.537264907742628</c:v>
                </c:pt>
                <c:pt idx="75">
                  <c:v>25.336864431849317</c:v>
                </c:pt>
                <c:pt idx="76">
                  <c:v>25.136481193674665</c:v>
                </c:pt>
                <c:pt idx="77">
                  <c:v>24.936114426766132</c:v>
                </c:pt>
                <c:pt idx="78">
                  <c:v>24.735763395601055</c:v>
                </c:pt>
                <c:pt idx="79">
                  <c:v>24.535427394369727</c:v>
                </c:pt>
                <c:pt idx="80">
                  <c:v>24.335105745792536</c:v>
                </c:pt>
                <c:pt idx="81">
                  <c:v>24.134797799971803</c:v>
                </c:pt>
                <c:pt idx="82">
                  <c:v>23.93450293327685</c:v>
                </c:pt>
                <c:pt idx="83">
                  <c:v>23.734220547262158</c:v>
                </c:pt>
                <c:pt idx="84">
                  <c:v>23.533950067619269</c:v>
                </c:pt>
                <c:pt idx="85">
                  <c:v>23.333690943160121</c:v>
                </c:pt>
                <c:pt idx="86">
                  <c:v>23.133442644833156</c:v>
                </c:pt>
                <c:pt idx="87">
                  <c:v>22.93320466477001</c:v>
                </c:pt>
                <c:pt idx="88">
                  <c:v>22.732976515363184</c:v>
                </c:pt>
                <c:pt idx="89">
                  <c:v>22.532757728373397</c:v>
                </c:pt>
                <c:pt idx="90">
                  <c:v>22.332547854065407</c:v>
                </c:pt>
                <c:pt idx="91">
                  <c:v>22.132346460373256</c:v>
                </c:pt>
                <c:pt idx="92">
                  <c:v>21.932153132091567</c:v>
                </c:pt>
                <c:pt idx="93">
                  <c:v>21.731967470094599</c:v>
                </c:pt>
                <c:pt idx="94">
                  <c:v>21.531789090579927</c:v>
                </c:pt>
                <c:pt idx="95">
                  <c:v>21.331617624337788</c:v>
                </c:pt>
                <c:pt idx="96">
                  <c:v>21.131452716043796</c:v>
                </c:pt>
                <c:pt idx="97">
                  <c:v>20.931294023575454</c:v>
                </c:pt>
                <c:pt idx="98">
                  <c:v>20.731141217349396</c:v>
                </c:pt>
                <c:pt idx="99">
                  <c:v>20.530993979681575</c:v>
                </c:pt>
                <c:pt idx="100">
                  <c:v>20.330852004167173</c:v>
                </c:pt>
                <c:pt idx="101">
                  <c:v>20.130714995079341</c:v>
                </c:pt>
                <c:pt idx="102">
                  <c:v>19.9305826667877</c:v>
                </c:pt>
                <c:pt idx="103">
                  <c:v>19.730454743194027</c:v>
                </c:pt>
                <c:pt idx="104">
                  <c:v>19.530330957185175</c:v>
                </c:pt>
                <c:pt idx="105">
                  <c:v>19.330211050101564</c:v>
                </c:pt>
                <c:pt idx="106">
                  <c:v>19.130094771221479</c:v>
                </c:pt>
                <c:pt idx="107">
                  <c:v>18.929981877259468</c:v>
                </c:pt>
                <c:pt idx="108">
                  <c:v>18.729872131878686</c:v>
                </c:pt>
                <c:pt idx="109">
                  <c:v>18.52976530521563</c:v>
                </c:pt>
                <c:pt idx="110">
                  <c:v>18.32966117341703</c:v>
                </c:pt>
                <c:pt idx="111">
                  <c:v>18.129559518188266</c:v>
                </c:pt>
                <c:pt idx="112">
                  <c:v>17.92946012635193</c:v>
                </c:pt>
                <c:pt idx="113">
                  <c:v>17.729362789416228</c:v>
                </c:pt>
                <c:pt idx="114">
                  <c:v>17.529267303152224</c:v>
                </c:pt>
                <c:pt idx="115">
                  <c:v>17.329173467179615</c:v>
                </c:pt>
                <c:pt idx="116">
                  <c:v>17.129081084559811</c:v>
                </c:pt>
                <c:pt idx="117">
                  <c:v>16.928989961395843</c:v>
                </c:pt>
                <c:pt idx="118">
                  <c:v>16.728899906438187</c:v>
                </c:pt>
                <c:pt idx="119">
                  <c:v>16.528810730696584</c:v>
                </c:pt>
                <c:pt idx="120">
                  <c:v>16.328722247055964</c:v>
                </c:pt>
                <c:pt idx="121">
                  <c:v>16.128634269896484</c:v>
                </c:pt>
                <c:pt idx="122">
                  <c:v>15.928546614717751</c:v>
                </c:pt>
                <c:pt idx="123">
                  <c:v>15.728459097764311</c:v>
                </c:pt>
                <c:pt idx="124">
                  <c:v>15.528371535654738</c:v>
                </c:pt>
                <c:pt idx="125">
                  <c:v>15.328283745011531</c:v>
                </c:pt>
                <c:pt idx="126">
                  <c:v>15.128195542091067</c:v>
                </c:pt>
                <c:pt idx="127">
                  <c:v>14.92810674241537</c:v>
                </c:pt>
                <c:pt idx="128">
                  <c:v>14.72801716040239</c:v>
                </c:pt>
                <c:pt idx="129">
                  <c:v>14.527926608994907</c:v>
                </c:pt>
                <c:pt idx="130">
                  <c:v>14.327834899289194</c:v>
                </c:pt>
                <c:pt idx="131">
                  <c:v>14.127741840159908</c:v>
                </c:pt>
                <c:pt idx="132">
                  <c:v>13.927647237883676</c:v>
                </c:pt>
                <c:pt idx="133">
                  <c:v>13.727550895757732</c:v>
                </c:pt>
                <c:pt idx="134">
                  <c:v>13.527452613716207</c:v>
                </c:pt>
                <c:pt idx="135">
                  <c:v>13.3273521879408</c:v>
                </c:pt>
                <c:pt idx="136">
                  <c:v>13.127249410467122</c:v>
                </c:pt>
                <c:pt idx="137">
                  <c:v>12.927144068784738</c:v>
                </c:pt>
                <c:pt idx="138">
                  <c:v>12.727035945432096</c:v>
                </c:pt>
                <c:pt idx="139">
                  <c:v>12.526924817584044</c:v>
                </c:pt>
                <c:pt idx="140">
                  <c:v>12.326810456632948</c:v>
                </c:pt>
                <c:pt idx="141">
                  <c:v>12.126692627761637</c:v>
                </c:pt>
                <c:pt idx="142">
                  <c:v>11.92657108950884</c:v>
                </c:pt>
                <c:pt idx="143">
                  <c:v>11.726445593326162</c:v>
                </c:pt>
                <c:pt idx="144">
                  <c:v>11.526315883125992</c:v>
                </c:pt>
                <c:pt idx="145">
                  <c:v>11.326181694820397</c:v>
                </c:pt>
                <c:pt idx="146">
                  <c:v>11.126042755850523</c:v>
                </c:pt>
                <c:pt idx="147">
                  <c:v>10.925898784706018</c:v>
                </c:pt>
                <c:pt idx="148">
                  <c:v>10.725749490434147</c:v>
                </c:pt>
                <c:pt idx="149">
                  <c:v>10.525594572139113</c:v>
                </c:pt>
                <c:pt idx="150">
                  <c:v>10.325433718469988</c:v>
                </c:pt>
                <c:pt idx="151">
                  <c:v>10.125266607098576</c:v>
                </c:pt>
                <c:pt idx="152">
                  <c:v>9.925092904186231</c:v>
                </c:pt>
                <c:pt idx="153">
                  <c:v>9.7249122638397374</c:v>
                </c:pt>
                <c:pt idx="154">
                  <c:v>9.524724327556374</c:v>
                </c:pt>
                <c:pt idx="155">
                  <c:v>9.3245287236586698</c:v>
                </c:pt>
                <c:pt idx="156">
                  <c:v>9.1243250667184466</c:v>
                </c:pt>
                <c:pt idx="157">
                  <c:v>8.9241129569702178</c:v>
                </c:pt>
                <c:pt idx="158">
                  <c:v>8.7238919797156917</c:v>
                </c:pt>
                <c:pt idx="159">
                  <c:v>8.5236617047182186</c:v>
                </c:pt>
                <c:pt idx="160">
                  <c:v>8.3234216855886896</c:v>
                </c:pt>
                <c:pt idx="161">
                  <c:v>8.1231714591637214</c:v>
                </c:pt>
                <c:pt idx="162">
                  <c:v>7.9229105448766841</c:v>
                </c:pt>
                <c:pt idx="163">
                  <c:v>7.7226384441222589</c:v>
                </c:pt>
                <c:pt idx="164">
                  <c:v>7.5223546396166707</c:v>
                </c:pt>
                <c:pt idx="165">
                  <c:v>7.3220585947540187</c:v>
                </c:pt>
                <c:pt idx="166">
                  <c:v>7.1217497529609801</c:v>
                </c:pt>
                <c:pt idx="167">
                  <c:v>6.9214275370507572</c:v>
                </c:pt>
                <c:pt idx="168">
                  <c:v>6.7210913485794066</c:v>
                </c:pt>
                <c:pt idx="169">
                  <c:v>6.5207405672056549</c:v>
                </c:pt>
                <c:pt idx="170">
                  <c:v>6.3203745500571511</c:v>
                </c:pt>
                <c:pt idx="171">
                  <c:v>6.1199926311059354</c:v>
                </c:pt>
                <c:pt idx="172">
                  <c:v>5.9195941205558134</c:v>
                </c:pt>
                <c:pt idx="173">
                  <c:v>5.7191783042447408</c:v>
                </c:pt>
                <c:pt idx="174">
                  <c:v>5.5187444430663497</c:v>
                </c:pt>
                <c:pt idx="175">
                  <c:v>5.3182917724139687</c:v>
                </c:pt>
                <c:pt idx="176">
                  <c:v>5.1178195016516224</c:v>
                </c:pt>
                <c:pt idx="177">
                  <c:v>4.9173268136150874</c:v>
                </c:pt>
                <c:pt idx="178">
                  <c:v>4.7168128641512936</c:v>
                </c:pt>
                <c:pt idx="179">
                  <c:v>4.5162767816970426</c:v>
                </c:pt>
                <c:pt idx="180">
                  <c:v>4.3157176669050008</c:v>
                </c:pt>
                <c:pt idx="181">
                  <c:v>4.1151345923226943</c:v>
                </c:pt>
                <c:pt idx="182">
                  <c:v>3.9145266021301142</c:v>
                </c:pt>
                <c:pt idx="183">
                  <c:v>3.7138927119422571</c:v>
                </c:pt>
                <c:pt idx="184">
                  <c:v>3.5132319086848223</c:v>
                </c:pt>
                <c:pt idx="185">
                  <c:v>3.3125431505474943</c:v>
                </c:pt>
                <c:pt idx="186">
                  <c:v>3.1118253670257836</c:v>
                </c:pt>
                <c:pt idx="187">
                  <c:v>2.9110774590556456</c:v>
                </c:pt>
                <c:pt idx="188">
                  <c:v>2.7102982992512414</c:v>
                </c:pt>
                <c:pt idx="189">
                  <c:v>2.50948673225209</c:v>
                </c:pt>
                <c:pt idx="190">
                  <c:v>2.3086415751884126</c:v>
                </c:pt>
                <c:pt idx="191">
                  <c:v>2.1077616182732717</c:v>
                </c:pt>
                <c:pt idx="192">
                  <c:v>1.9068456255274489</c:v>
                </c:pt>
                <c:pt idx="193">
                  <c:v>1.7058923356472362</c:v>
                </c:pt>
                <c:pt idx="194">
                  <c:v>1.5049004630214802</c:v>
                </c:pt>
                <c:pt idx="195">
                  <c:v>1.3038686989042205</c:v>
                </c:pt>
                <c:pt idx="196">
                  <c:v>1.1027957127514254</c:v>
                </c:pt>
                <c:pt idx="197">
                  <c:v>0.90168015372500132</c:v>
                </c:pt>
                <c:pt idx="198">
                  <c:v>0.70052065237250183</c:v>
                </c:pt>
                <c:pt idx="199">
                  <c:v>0.49931582248190909</c:v>
                </c:pt>
                <c:pt idx="200">
                  <c:v>0.29806426311967521</c:v>
                </c:pt>
                <c:pt idx="201">
                  <c:v>9.6764560846854031E-2</c:v>
                </c:pt>
                <c:pt idx="202">
                  <c:v>-0.10458470788007859</c:v>
                </c:pt>
                <c:pt idx="203">
                  <c:v>-0.30598497413231512</c:v>
                </c:pt>
                <c:pt idx="204">
                  <c:v>-0.50743767375645132</c:v>
                </c:pt>
                <c:pt idx="205">
                  <c:v>-0.70894424445447524</c:v>
                </c:pt>
                <c:pt idx="206">
                  <c:v>-0.91050612270636955</c:v>
                </c:pt>
                <c:pt idx="207">
                  <c:v>-1.1121247405457706</c:v>
                </c:pt>
                <c:pt idx="208">
                  <c:v>-1.3138015222057773</c:v>
                </c:pt>
                <c:pt idx="209">
                  <c:v>-1.5155378806521189</c:v>
                </c:pt>
                <c:pt idx="210">
                  <c:v>-1.7173352140263429</c:v>
                </c:pt>
                <c:pt idx="211">
                  <c:v>-1.9191949020236201</c:v>
                </c:pt>
                <c:pt idx="212">
                  <c:v>-2.121118302235788</c:v>
                </c:pt>
                <c:pt idx="213">
                  <c:v>-2.3231067464913209</c:v>
                </c:pt>
                <c:pt idx="214">
                  <c:v>-2.5251615372298137</c:v>
                </c:pt>
                <c:pt idx="215">
                  <c:v>-2.7272839439514778</c:v>
                </c:pt>
                <c:pt idx="216">
                  <c:v>-2.9294751997857555</c:v>
                </c:pt>
                <c:pt idx="217">
                  <c:v>-3.1317364982272187</c:v>
                </c:pt>
                <c:pt idx="218">
                  <c:v>-3.3340689900900204</c:v>
                </c:pt>
                <c:pt idx="219">
                  <c:v>-3.5364737807342421</c:v>
                </c:pt>
                <c:pt idx="220">
                  <c:v>-3.7389519276223804</c:v>
                </c:pt>
                <c:pt idx="221">
                  <c:v>-3.941504438262728</c:v>
                </c:pt>
                <c:pt idx="222">
                  <c:v>-4.1441322686017381</c:v>
                </c:pt>
                <c:pt idx="223">
                  <c:v>-4.3468363219252826</c:v>
                </c:pt>
                <c:pt idx="224">
                  <c:v>-4.5496174483297063</c:v>
                </c:pt>
                <c:pt idx="225">
                  <c:v>-4.7524764448234373</c:v>
                </c:pt>
                <c:pt idx="226">
                  <c:v>-4.9554140561180322</c:v>
                </c:pt>
                <c:pt idx="227">
                  <c:v>-5.1584309761620792</c:v>
                </c:pt>
                <c:pt idx="228">
                  <c:v>-5.3615278504728234</c:v>
                </c:pt>
                <c:pt idx="229">
                  <c:v>-5.5647052793114042</c:v>
                </c:pt>
                <c:pt idx="230">
                  <c:v>-5.7679638217429066</c:v>
                </c:pt>
                <c:pt idx="231">
                  <c:v>-5.9713040006167919</c:v>
                </c:pt>
                <c:pt idx="232">
                  <c:v>-6.1747263084944262</c:v>
                </c:pt>
                <c:pt idx="233">
                  <c:v>-6.378231214543213</c:v>
                </c:pt>
                <c:pt idx="234">
                  <c:v>-6.5818191724041286</c:v>
                </c:pt>
                <c:pt idx="235">
                  <c:v>-6.7854906290354444</c:v>
                </c:pt>
                <c:pt idx="236">
                  <c:v>-6.9892460345179774</c:v>
                </c:pt>
                <c:pt idx="237">
                  <c:v>-7.1930858528019677</c:v>
                </c:pt>
                <c:pt idx="238">
                  <c:v>-7.3970105733619604</c:v>
                </c:pt>
                <c:pt idx="239">
                  <c:v>-7.6010207237143179</c:v>
                </c:pt>
                <c:pt idx="240">
                  <c:v>-7.8051168827442154</c:v>
                </c:pt>
                <c:pt idx="241">
                  <c:v>-8.0092996947762121</c:v>
                </c:pt>
                <c:pt idx="242">
                  <c:v>-8.2135698843125624</c:v>
                </c:pt>
                <c:pt idx="243">
                  <c:v>-8.4179282713564909</c:v>
                </c:pt>
                <c:pt idx="244">
                  <c:v>-8.6223757872280373</c:v>
                </c:pt>
                <c:pt idx="245">
                  <c:v>-8.8269134907743165</c:v>
                </c:pt>
                <c:pt idx="246">
                  <c:v>-9.0315425848691433</c:v>
                </c:pt>
                <c:pt idx="247">
                  <c:v>-9.2362644330945756</c:v>
                </c:pt>
                <c:pt idx="248">
                  <c:v>-9.4410805764928867</c:v>
                </c:pt>
                <c:pt idx="249">
                  <c:v>-9.6459927502768732</c:v>
                </c:pt>
                <c:pt idx="250">
                  <c:v>-9.8510029003855593</c:v>
                </c:pt>
                <c:pt idx="251">
                  <c:v>-10.056113199775842</c:v>
                </c:pt>
                <c:pt idx="252">
                  <c:v>-10.26132606434053</c:v>
                </c:pt>
                <c:pt idx="253">
                  <c:v>-10.466644168350532</c:v>
                </c:pt>
                <c:pt idx="254">
                  <c:v>-10.672070459321381</c:v>
                </c:pt>
                <c:pt idx="255">
                  <c:v>-10.877608172211543</c:v>
                </c:pt>
                <c:pt idx="256">
                  <c:v>-11.083260842866004</c:v>
                </c:pt>
                <c:pt idx="257">
                  <c:v>-11.28903232062685</c:v>
                </c:pt>
                <c:pt idx="258">
                  <c:v>-11.494926780037879</c:v>
                </c:pt>
                <c:pt idx="259">
                  <c:v>-11.700948731580649</c:v>
                </c:pt>
                <c:pt idx="260">
                  <c:v>-11.907103031383055</c:v>
                </c:pt>
                <c:pt idx="261">
                  <c:v>-12.11339488985211</c:v>
                </c:pt>
                <c:pt idx="262">
                  <c:v>-12.31982987918747</c:v>
                </c:pt>
                <c:pt idx="263">
                  <c:v>-12.526413939736651</c:v>
                </c:pt>
                <c:pt idx="264">
                  <c:v>-12.733153385160954</c:v>
                </c:pt>
                <c:pt idx="265">
                  <c:v>-12.94005490638266</c:v>
                </c:pt>
                <c:pt idx="266">
                  <c:v>-13.147125574288072</c:v>
                </c:pt>
                <c:pt idx="267">
                  <c:v>-13.354372841163613</c:v>
                </c:pt>
                <c:pt idx="268">
                  <c:v>-13.561804540841223</c:v>
                </c:pt>
                <c:pt idx="269">
                  <c:v>-13.769428887531653</c:v>
                </c:pt>
                <c:pt idx="270">
                  <c:v>-13.977254473320951</c:v>
                </c:pt>
                <c:pt idx="271">
                  <c:v>-14.185290264304227</c:v>
                </c:pt>
                <c:pt idx="272">
                  <c:v>-14.393545595327485</c:v>
                </c:pt>
                <c:pt idx="273">
                  <c:v>-14.602030163305049</c:v>
                </c:pt>
                <c:pt idx="274">
                  <c:v>-14.810754019074434</c:v>
                </c:pt>
                <c:pt idx="275">
                  <c:v>-15.019727557745288</c:v>
                </c:pt>
                <c:pt idx="276">
                  <c:v>-15.228961507496832</c:v>
                </c:pt>
                <c:pt idx="277">
                  <c:v>-15.438466916766886</c:v>
                </c:pt>
                <c:pt idx="278">
                  <c:v>-15.648255139776087</c:v>
                </c:pt>
                <c:pt idx="279">
                  <c:v>-15.858337820320511</c:v>
                </c:pt>
                <c:pt idx="280">
                  <c:v>-16.068726873764813</c:v>
                </c:pt>
                <c:pt idx="281">
                  <c:v>-16.279434467160577</c:v>
                </c:pt>
                <c:pt idx="282">
                  <c:v>-16.490472997413267</c:v>
                </c:pt>
                <c:pt idx="283">
                  <c:v>-16.701855067416879</c:v>
                </c:pt>
                <c:pt idx="284">
                  <c:v>-16.913593460075816</c:v>
                </c:pt>
                <c:pt idx="285">
                  <c:v>-17.12570111013337</c:v>
                </c:pt>
                <c:pt idx="286">
                  <c:v>-17.338191073725845</c:v>
                </c:pt>
                <c:pt idx="287">
                  <c:v>-17.551076495589452</c:v>
                </c:pt>
                <c:pt idx="288">
                  <c:v>-17.764370573849106</c:v>
                </c:pt>
                <c:pt idx="289">
                  <c:v>-17.978086522328816</c:v>
                </c:pt>
                <c:pt idx="290">
                  <c:v>-18.192237530333184</c:v>
                </c:pt>
                <c:pt idx="291">
                  <c:v>-18.406836719862071</c:v>
                </c:pt>
                <c:pt idx="292">
                  <c:v>-18.621897100239305</c:v>
                </c:pt>
                <c:pt idx="293">
                  <c:v>-18.837431520150744</c:v>
                </c:pt>
                <c:pt idx="294">
                  <c:v>-19.053452617114424</c:v>
                </c:pt>
                <c:pt idx="295">
                  <c:v>-19.269972764424626</c:v>
                </c:pt>
                <c:pt idx="296">
                  <c:v>-19.487004015644334</c:v>
                </c:pt>
                <c:pt idx="297">
                  <c:v>-19.704558046747859</c:v>
                </c:pt>
                <c:pt idx="298">
                  <c:v>-19.922646096052073</c:v>
                </c:pt>
                <c:pt idx="299">
                  <c:v>-20.141278902107622</c:v>
                </c:pt>
                <c:pt idx="300">
                  <c:v>-20.360466639763239</c:v>
                </c:pt>
                <c:pt idx="301">
                  <c:v>-20.580218854655449</c:v>
                </c:pt>
                <c:pt idx="302">
                  <c:v>-20.80054439641782</c:v>
                </c:pt>
                <c:pt idx="303">
                  <c:v>-21.021451350951214</c:v>
                </c:pt>
                <c:pt idx="304">
                  <c:v>-21.242946972135339</c:v>
                </c:pt>
                <c:pt idx="305">
                  <c:v>-21.465037613413127</c:v>
                </c:pt>
                <c:pt idx="306">
                  <c:v>-21.687728659718132</c:v>
                </c:pt>
                <c:pt idx="307">
                  <c:v>-21.911024460260357</c:v>
                </c:pt>
                <c:pt idx="308">
                  <c:v>-22.134928262727101</c:v>
                </c:pt>
                <c:pt idx="309">
                  <c:v>-22.35944214949064</c:v>
                </c:pt>
                <c:pt idx="310">
                  <c:v>-22.584566976449306</c:v>
                </c:pt>
                <c:pt idx="311">
                  <c:v>-22.810302315156626</c:v>
                </c:pt>
                <c:pt idx="312">
                  <c:v>-23.036646398914826</c:v>
                </c:pt>
                <c:pt idx="313">
                  <c:v>-23.263596073525171</c:v>
                </c:pt>
                <c:pt idx="314">
                  <c:v>-23.491146753394286</c:v>
                </c:pt>
                <c:pt idx="315">
                  <c:v>-23.719292383693762</c:v>
                </c:pt>
                <c:pt idx="316">
                  <c:v>-23.94802540926079</c:v>
                </c:pt>
                <c:pt idx="317">
                  <c:v>-24.177336750904903</c:v>
                </c:pt>
                <c:pt idx="318">
                  <c:v>-24.407215789755096</c:v>
                </c:pt>
                <c:pt idx="319">
                  <c:v>-24.637650360237821</c:v>
                </c:pt>
                <c:pt idx="320">
                  <c:v>-24.868626752223463</c:v>
                </c:pt>
                <c:pt idx="321">
                  <c:v>-25.100129722812383</c:v>
                </c:pt>
                <c:pt idx="322">
                  <c:v>-25.332142518157852</c:v>
                </c:pt>
                <c:pt idx="323">
                  <c:v>-25.564646905634852</c:v>
                </c:pt>
                <c:pt idx="324">
                  <c:v>-25.797623216571708</c:v>
                </c:pt>
                <c:pt idx="325">
                  <c:v>-26.031050399655697</c:v>
                </c:pt>
                <c:pt idx="326">
                  <c:v>-26.264906085014253</c:v>
                </c:pt>
                <c:pt idx="327">
                  <c:v>-26.499166658860446</c:v>
                </c:pt>
                <c:pt idx="328">
                  <c:v>-26.73380734846905</c:v>
                </c:pt>
                <c:pt idx="329">
                  <c:v>-26.968802317132802</c:v>
                </c:pt>
                <c:pt idx="330">
                  <c:v>-27.204124768625071</c:v>
                </c:pt>
                <c:pt idx="331">
                  <c:v>-27.439747060582775</c:v>
                </c:pt>
                <c:pt idx="332">
                  <c:v>-27.675640826105443</c:v>
                </c:pt>
                <c:pt idx="333">
                  <c:v>-27.911777102767243</c:v>
                </c:pt>
                <c:pt idx="334">
                  <c:v>-28.148126468136965</c:v>
                </c:pt>
                <c:pt idx="335">
                  <c:v>-28.384659180820119</c:v>
                </c:pt>
                <c:pt idx="336">
                  <c:v>-28.621345325961116</c:v>
                </c:pt>
                <c:pt idx="337">
                  <c:v>-28.858154964088754</c:v>
                </c:pt>
                <c:pt idx="338">
                  <c:v>-29.095058282142507</c:v>
                </c:pt>
                <c:pt idx="339">
                  <c:v>-29.332025745491176</c:v>
                </c:pt>
                <c:pt idx="340">
                  <c:v>-29.569028249746321</c:v>
                </c:pt>
                <c:pt idx="341">
                  <c:v>-29.806037271180891</c:v>
                </c:pt>
                <c:pt idx="342">
                  <c:v>-30.043025014584693</c:v>
                </c:pt>
                <c:pt idx="343">
                  <c:v>-30.279964557432052</c:v>
                </c:pt>
                <c:pt idx="344">
                  <c:v>-30.516829989292688</c:v>
                </c:pt>
                <c:pt idx="345">
                  <c:v>-30.753596545484726</c:v>
                </c:pt>
                <c:pt idx="346">
                  <c:v>-30.990240734054648</c:v>
                </c:pt>
                <c:pt idx="347">
                  <c:v>-31.226740455262771</c:v>
                </c:pt>
                <c:pt idx="348">
                  <c:v>-31.463075112855069</c:v>
                </c:pt>
                <c:pt idx="349">
                  <c:v>-31.699225716514153</c:v>
                </c:pt>
                <c:pt idx="350">
                  <c:v>-31.935174974997057</c:v>
                </c:pt>
                <c:pt idx="351">
                  <c:v>-32.170907379586644</c:v>
                </c:pt>
                <c:pt idx="352">
                  <c:v>-32.406409277600218</c:v>
                </c:pt>
                <c:pt idx="353">
                  <c:v>-32.641668935820306</c:v>
                </c:pt>
                <c:pt idx="354">
                  <c:v>-32.876676593824214</c:v>
                </c:pt>
                <c:pt idx="355">
                  <c:v>-33.111424507295212</c:v>
                </c:pt>
                <c:pt idx="356">
                  <c:v>-33.345906981508541</c:v>
                </c:pt>
                <c:pt idx="357">
                  <c:v>-33.580120395268764</c:v>
                </c:pt>
                <c:pt idx="358">
                  <c:v>-33.814063215668071</c:v>
                </c:pt>
                <c:pt idx="359">
                  <c:v>-34.047736004105637</c:v>
                </c:pt>
                <c:pt idx="360">
                  <c:v>-34.281141414069829</c:v>
                </c:pt>
                <c:pt idx="361">
                  <c:v>-34.514284181241635</c:v>
                </c:pt>
                <c:pt idx="362">
                  <c:v>-34.747171106515168</c:v>
                </c:pt>
                <c:pt idx="363">
                  <c:v>-34.979811032559056</c:v>
                </c:pt>
                <c:pt idx="364">
                  <c:v>-35.212214814567048</c:v>
                </c:pt>
                <c:pt idx="365">
                  <c:v>-35.444395285844969</c:v>
                </c:pt>
                <c:pt idx="366">
                  <c:v>-35.676367218886618</c:v>
                </c:pt>
                <c:pt idx="367">
                  <c:v>-35.908147282574696</c:v>
                </c:pt>
                <c:pt idx="368">
                  <c:v>-36.139753996125961</c:v>
                </c:pt>
                <c:pt idx="369">
                  <c:v>-36.371207680370595</c:v>
                </c:pt>
                <c:pt idx="370">
                  <c:v>-36.602530406921552</c:v>
                </c:pt>
                <c:pt idx="371">
                  <c:v>-36.833745945753094</c:v>
                </c:pt>
                <c:pt idx="372">
                  <c:v>-37.064879711660076</c:v>
                </c:pt>
                <c:pt idx="373">
                  <c:v>-37.295958710024372</c:v>
                </c:pt>
                <c:pt idx="374">
                  <c:v>-37.527011482265145</c:v>
                </c:pt>
                <c:pt idx="375">
                  <c:v>-37.75806805129384</c:v>
                </c:pt>
                <c:pt idx="376">
                  <c:v>-37.989159867248517</c:v>
                </c:pt>
                <c:pt idx="377">
                  <c:v>-38.220319753722642</c:v>
                </c:pt>
                <c:pt idx="378">
                  <c:v>-38.451581854653625</c:v>
                </c:pt>
                <c:pt idx="379">
                  <c:v>-38.682981581986155</c:v>
                </c:pt>
                <c:pt idx="380">
                  <c:v>-38.914555564174272</c:v>
                </c:pt>
                <c:pt idx="381">
                  <c:v>-39.146341595535858</c:v>
                </c:pt>
                <c:pt idx="382">
                  <c:v>-39.37837858643411</c:v>
                </c:pt>
                <c:pt idx="383">
                  <c:v>-39.610706514211422</c:v>
                </c:pt>
                <c:pt idx="384">
                  <c:v>-39.843366374768166</c:v>
                </c:pt>
                <c:pt idx="385">
                  <c:v>-40.076400134638234</c:v>
                </c:pt>
                <c:pt idx="386">
                  <c:v>-40.309850683383708</c:v>
                </c:pt>
                <c:pt idx="387">
                  <c:v>-40.543761786102749</c:v>
                </c:pt>
                <c:pt idx="388">
                  <c:v>-40.778178035820218</c:v>
                </c:pt>
                <c:pt idx="389">
                  <c:v>-41.013144805509434</c:v>
                </c:pt>
                <c:pt idx="390">
                  <c:v>-41.248708199477555</c:v>
                </c:pt>
                <c:pt idx="391">
                  <c:v>-41.484915003838651</c:v>
                </c:pt>
                <c:pt idx="392">
                  <c:v>-41.721812635785334</c:v>
                </c:pt>
                <c:pt idx="393">
                  <c:v>-41.959449091371042</c:v>
                </c:pt>
                <c:pt idx="394">
                  <c:v>-42.197872891515615</c:v>
                </c:pt>
                <c:pt idx="395">
                  <c:v>-42.437133025951077</c:v>
                </c:pt>
                <c:pt idx="396">
                  <c:v>-42.677278894837407</c:v>
                </c:pt>
                <c:pt idx="397">
                  <c:v>-42.918360247789224</c:v>
                </c:pt>
                <c:pt idx="398">
                  <c:v>-43.160427120079241</c:v>
                </c:pt>
                <c:pt idx="399">
                  <c:v>-43.40352976580143</c:v>
                </c:pt>
                <c:pt idx="400">
                  <c:v>-43.647718587810687</c:v>
                </c:pt>
                <c:pt idx="401">
                  <c:v>-43.893044064284872</c:v>
                </c:pt>
                <c:pt idx="402">
                  <c:v>-44.139556671792917</c:v>
                </c:pt>
                <c:pt idx="403">
                  <c:v>-44.387306804793042</c:v>
                </c:pt>
                <c:pt idx="404">
                  <c:v>-44.636344691530638</c:v>
                </c:pt>
                <c:pt idx="405">
                  <c:v>-44.886720306348209</c:v>
                </c:pt>
                <c:pt idx="406">
                  <c:v>-45.138483278478468</c:v>
                </c:pt>
                <c:pt idx="407">
                  <c:v>-45.3916827974368</c:v>
                </c:pt>
                <c:pt idx="408">
                  <c:v>-45.646367515190256</c:v>
                </c:pt>
                <c:pt idx="409">
                  <c:v>-45.90258544533291</c:v>
                </c:pt>
                <c:pt idx="410">
                  <c:v>-46.16038385955973</c:v>
                </c:pt>
                <c:pt idx="411">
                  <c:v>-46.419809181783087</c:v>
                </c:pt>
                <c:pt idx="412">
                  <c:v>-46.680906880298323</c:v>
                </c:pt>
                <c:pt idx="413">
                  <c:v>-46.943721358456934</c:v>
                </c:pt>
                <c:pt idx="414">
                  <c:v>-47.208295844359583</c:v>
                </c:pt>
                <c:pt idx="415">
                  <c:v>-47.474672280133383</c:v>
                </c:pt>
                <c:pt idx="416">
                  <c:v>-47.742891211399254</c:v>
                </c:pt>
                <c:pt idx="417">
                  <c:v>-48.012991677579315</c:v>
                </c:pt>
                <c:pt idx="418">
                  <c:v>-48.285011103726163</c:v>
                </c:pt>
                <c:pt idx="419">
                  <c:v>-48.558985194584743</c:v>
                </c:pt>
                <c:pt idx="420">
                  <c:v>-48.834947831617313</c:v>
                </c:pt>
                <c:pt idx="421">
                  <c:v>-49.11293097373111</c:v>
                </c:pt>
                <c:pt idx="422">
                  <c:v>-49.392964562454694</c:v>
                </c:pt>
                <c:pt idx="423">
                  <c:v>-49.67507643229883</c:v>
                </c:pt>
                <c:pt idx="424">
                  <c:v>-49.959292227021905</c:v>
                </c:pt>
                <c:pt idx="425">
                  <c:v>-50.245635322495261</c:v>
                </c:pt>
                <c:pt idx="426">
                  <c:v>-50.534126756825806</c:v>
                </c:pt>
                <c:pt idx="427">
                  <c:v>-50.82478516834783</c:v>
                </c:pt>
                <c:pt idx="428">
                  <c:v>-51.117626742042688</c:v>
                </c:pt>
                <c:pt idx="429">
                  <c:v>-51.412665164882398</c:v>
                </c:pt>
                <c:pt idx="430">
                  <c:v>-51.709911590519262</c:v>
                </c:pt>
                <c:pt idx="431">
                  <c:v>-52.009374613671078</c:v>
                </c:pt>
                <c:pt idx="432">
                  <c:v>-52.311060254464721</c:v>
                </c:pt>
                <c:pt idx="433">
                  <c:v>-52.614971952917678</c:v>
                </c:pt>
                <c:pt idx="434">
                  <c:v>-52.921110573642736</c:v>
                </c:pt>
                <c:pt idx="435">
                  <c:v>-53.229474420773798</c:v>
                </c:pt>
                <c:pt idx="436">
                  <c:v>-53.540059263015998</c:v>
                </c:pt>
                <c:pt idx="437">
                  <c:v>-53.852858368634529</c:v>
                </c:pt>
                <c:pt idx="438">
                  <c:v>-54.167862550108836</c:v>
                </c:pt>
                <c:pt idx="439">
                  <c:v>-54.485060218093444</c:v>
                </c:pt>
                <c:pt idx="440">
                  <c:v>-54.804437444251491</c:v>
                </c:pt>
                <c:pt idx="441">
                  <c:v>-55.125978032452288</c:v>
                </c:pt>
                <c:pt idx="442">
                  <c:v>-55.449663597760157</c:v>
                </c:pt>
                <c:pt idx="443">
                  <c:v>-55.775473652586896</c:v>
                </c:pt>
                <c:pt idx="444">
                  <c:v>-56.103385699330872</c:v>
                </c:pt>
                <c:pt idx="445">
                  <c:v>-56.433375328787662</c:v>
                </c:pt>
                <c:pt idx="446">
                  <c:v>-56.765416323588951</c:v>
                </c:pt>
                <c:pt idx="447">
                  <c:v>-57.099480765906669</c:v>
                </c:pt>
                <c:pt idx="448">
                  <c:v>-57.43553914864809</c:v>
                </c:pt>
                <c:pt idx="449">
                  <c:v>-57.773560489370382</c:v>
                </c:pt>
                <c:pt idx="450">
                  <c:v>-58.11351244614643</c:v>
                </c:pt>
                <c:pt idx="451">
                  <c:v>-58.455361434634</c:v>
                </c:pt>
                <c:pt idx="452">
                  <c:v>-58.799072745620265</c:v>
                </c:pt>
                <c:pt idx="453">
                  <c:v>-59.144610662348768</c:v>
                </c:pt>
                <c:pt idx="454">
                  <c:v>-59.491938576966859</c:v>
                </c:pt>
                <c:pt idx="455">
                  <c:v>-59.841019105476818</c:v>
                </c:pt>
                <c:pt idx="456">
                  <c:v>-60.191814200617145</c:v>
                </c:pt>
                <c:pt idx="457">
                  <c:v>-60.544285262150851</c:v>
                </c:pt>
                <c:pt idx="458">
                  <c:v>-60.898393244085945</c:v>
                </c:pt>
                <c:pt idx="459">
                  <c:v>-61.254098758408958</c:v>
                </c:pt>
                <c:pt idx="460">
                  <c:v>-61.611362174961847</c:v>
                </c:pt>
                <c:pt idx="461">
                  <c:v>-61.970143717148218</c:v>
                </c:pt>
                <c:pt idx="462">
                  <c:v>-62.330403553206295</c:v>
                </c:pt>
                <c:pt idx="463">
                  <c:v>-62.692101882835409</c:v>
                </c:pt>
                <c:pt idx="464">
                  <c:v>-63.05519901901414</c:v>
                </c:pt>
                <c:pt idx="465">
                  <c:v>-63.419655464892116</c:v>
                </c:pt>
                <c:pt idx="466">
                  <c:v>-63.785431985684262</c:v>
                </c:pt>
                <c:pt idx="467">
                  <c:v>-64.152489675533232</c:v>
                </c:pt>
                <c:pt idx="468">
                  <c:v>-64.520790019348567</c:v>
                </c:pt>
                <c:pt idx="469">
                  <c:v>-64.890294949660046</c:v>
                </c:pt>
                <c:pt idx="470">
                  <c:v>-65.260966898557029</c:v>
                </c:pt>
                <c:pt idx="471">
                  <c:v>-65.632768844813754</c:v>
                </c:pt>
                <c:pt idx="472">
                  <c:v>-66.005664356318348</c:v>
                </c:pt>
                <c:pt idx="473">
                  <c:v>-66.379617627955454</c:v>
                </c:pt>
                <c:pt idx="474">
                  <c:v>-66.754593515096815</c:v>
                </c:pt>
                <c:pt idx="475">
                  <c:v>-67.130557562878749</c:v>
                </c:pt>
                <c:pt idx="476">
                  <c:v>-67.507476031451745</c:v>
                </c:pt>
                <c:pt idx="477">
                  <c:v>-67.885315917399453</c:v>
                </c:pt>
                <c:pt idx="478">
                  <c:v>-68.264044971525692</c:v>
                </c:pt>
                <c:pt idx="479">
                  <c:v>-68.643631713220131</c:v>
                </c:pt>
                <c:pt idx="480">
                  <c:v>-69.024045441608195</c:v>
                </c:pt>
                <c:pt idx="481">
                  <c:v>-69.405256243692534</c:v>
                </c:pt>
                <c:pt idx="482">
                  <c:v>-69.787234999697347</c:v>
                </c:pt>
                <c:pt idx="483">
                  <c:v>-70.169953385814324</c:v>
                </c:pt>
                <c:pt idx="484">
                  <c:v>-70.553383874554271</c:v>
                </c:pt>
                <c:pt idx="485">
                  <c:v>-70.937499732897351</c:v>
                </c:pt>
                <c:pt idx="486">
                  <c:v>-71.322275018430446</c:v>
                </c:pt>
                <c:pt idx="487">
                  <c:v>-71.707684573655044</c:v>
                </c:pt>
                <c:pt idx="488">
                  <c:v>-72.0937040186366</c:v>
                </c:pt>
                <c:pt idx="489">
                  <c:v>-72.480309742167492</c:v>
                </c:pt>
                <c:pt idx="490">
                  <c:v>-72.867478891596505</c:v>
                </c:pt>
                <c:pt idx="491">
                  <c:v>-73.255189361478244</c:v>
                </c:pt>
                <c:pt idx="492">
                  <c:v>-73.643419781183312</c:v>
                </c:pt>
                <c:pt idx="493">
                  <c:v>-74.032149501601879</c:v>
                </c:pt>
                <c:pt idx="494">
                  <c:v>-74.421358581066585</c:v>
                </c:pt>
                <c:pt idx="495">
                  <c:v>-74.811027770609414</c:v>
                </c:pt>
                <c:pt idx="496">
                  <c:v>-75.201138498662786</c:v>
                </c:pt>
                <c:pt idx="497">
                  <c:v>-75.5916728553035</c:v>
                </c:pt>
                <c:pt idx="498">
                  <c:v>-75.982613576133105</c:v>
                </c:pt>
                <c:pt idx="499">
                  <c:v>-76.373944025879922</c:v>
                </c:pt>
                <c:pt idx="500">
                  <c:v>-76.765648181800103</c:v>
                </c:pt>
                <c:pt idx="501">
                  <c:v>-77.157710616950069</c:v>
                </c:pt>
                <c:pt idx="502">
                  <c:v>-77.550116483394561</c:v>
                </c:pt>
                <c:pt idx="503">
                  <c:v>-77.942851495409073</c:v>
                </c:pt>
                <c:pt idx="504">
                  <c:v>-78.335901912730549</c:v>
                </c:pt>
                <c:pt idx="505">
                  <c:v>-78.729254523902824</c:v>
                </c:pt>
                <c:pt idx="506">
                  <c:v>-79.122896629759808</c:v>
                </c:pt>
                <c:pt idx="507">
                  <c:v>-79.516816027084715</c:v>
                </c:pt>
                <c:pt idx="508">
                  <c:v>-79.911000992477938</c:v>
                </c:pt>
                <c:pt idx="509">
                  <c:v>-80.305440266462668</c:v>
                </c:pt>
                <c:pt idx="510">
                  <c:v>-80.700123037854951</c:v>
                </c:pt>
                <c:pt idx="511">
                  <c:v>-81.095038928418305</c:v>
                </c:pt>
                <c:pt idx="512">
                  <c:v>-81.490177977822697</c:v>
                </c:pt>
                <c:pt idx="513">
                  <c:v>-81.885530628923831</c:v>
                </c:pt>
                <c:pt idx="514">
                  <c:v>-82.281087713373864</c:v>
                </c:pt>
                <c:pt idx="515">
                  <c:v>-82.676840437576089</c:v>
                </c:pt>
                <c:pt idx="516">
                  <c:v>-83.072780368991033</c:v>
                </c:pt>
                <c:pt idx="517">
                  <c:v>-83.468899422798955</c:v>
                </c:pt>
                <c:pt idx="518">
                  <c:v>-83.865189848924871</c:v>
                </c:pt>
                <c:pt idx="519">
                  <c:v>-84.261644219426856</c:v>
                </c:pt>
                <c:pt idx="520">
                  <c:v>-84.658255416250483</c:v>
                </c:pt>
                <c:pt idx="521">
                  <c:v>-85.055016619347469</c:v>
                </c:pt>
                <c:pt idx="522">
                  <c:v>-85.451921295157376</c:v>
                </c:pt>
                <c:pt idx="523">
                  <c:v>-85.848963185450927</c:v>
                </c:pt>
                <c:pt idx="524">
                  <c:v>-86.246136296530707</c:v>
                </c:pt>
                <c:pt idx="525">
                  <c:v>-86.643434888783531</c:v>
                </c:pt>
                <c:pt idx="526">
                  <c:v>-87.040853466582234</c:v>
                </c:pt>
                <c:pt idx="527">
                  <c:v>-87.438386768528758</c:v>
                </c:pt>
                <c:pt idx="528">
                  <c:v>-87.836029758033348</c:v>
                </c:pt>
                <c:pt idx="529">
                  <c:v>-88.233777614224408</c:v>
                </c:pt>
                <c:pt idx="530">
                  <c:v>-88.631625723178587</c:v>
                </c:pt>
                <c:pt idx="531">
                  <c:v>-89.029569669468032</c:v>
                </c:pt>
                <c:pt idx="532">
                  <c:v>-89.427605228013235</c:v>
                </c:pt>
                <c:pt idx="533">
                  <c:v>-89.82572835623786</c:v>
                </c:pt>
                <c:pt idx="534">
                  <c:v>-90.22393518651306</c:v>
                </c:pt>
                <c:pt idx="535">
                  <c:v>-90.622222018887157</c:v>
                </c:pt>
                <c:pt idx="536">
                  <c:v>-91.020585314090511</c:v>
                </c:pt>
                <c:pt idx="537">
                  <c:v>-91.419021686808236</c:v>
                </c:pt>
                <c:pt idx="538">
                  <c:v>-91.817527899212791</c:v>
                </c:pt>
                <c:pt idx="539">
                  <c:v>-92.216100854747097</c:v>
                </c:pt>
                <c:pt idx="540">
                  <c:v>-92.614737592152437</c:v>
                </c:pt>
                <c:pt idx="541">
                  <c:v>-93.013435279731794</c:v>
                </c:pt>
              </c:numCache>
            </c:numRef>
          </c:yVal>
          <c:smooth val="1"/>
          <c:extLst>
            <c:ext xmlns:c16="http://schemas.microsoft.com/office/drawing/2014/chart" uri="{C3380CC4-5D6E-409C-BE32-E72D297353CC}">
              <c16:uniqueId val="{00000000-08A4-45AE-BD5A-C2D048D75805}"/>
            </c:ext>
          </c:extLst>
        </c:ser>
        <c:dLbls>
          <c:showLegendKey val="0"/>
          <c:showVal val="0"/>
          <c:showCatName val="0"/>
          <c:showSerName val="0"/>
          <c:showPercent val="0"/>
          <c:showBubbleSize val="0"/>
        </c:dLbls>
        <c:axId val="555528192"/>
        <c:axId val="555530112"/>
      </c:scatterChart>
      <c:scatterChart>
        <c:scatterStyle val="smoothMarker"/>
        <c:varyColors val="0"/>
        <c:ser>
          <c:idx val="1"/>
          <c:order val="1"/>
          <c:spPr>
            <a:ln w="38100">
              <a:solidFill>
                <a:schemeClr val="tx1">
                  <a:lumMod val="95000"/>
                  <a:lumOff val="5000"/>
                </a:schemeClr>
              </a:solidFill>
              <a:prstDash val="sysDash"/>
            </a:ln>
          </c:spPr>
          <c:marker>
            <c:symbol val="none"/>
          </c:marker>
          <c:xVal>
            <c:numRef>
              <c:f>Control_Loop_Tables!$N$19:$N$560</c:f>
              <c:numCache>
                <c:formatCode>0.00</c:formatCode>
                <c:ptCount val="542"/>
                <c:pt idx="0">
                  <c:v>10.232929922807543</c:v>
                </c:pt>
                <c:pt idx="1">
                  <c:v>10.471285480509</c:v>
                </c:pt>
                <c:pt idx="2">
                  <c:v>10.715193052376069</c:v>
                </c:pt>
                <c:pt idx="3">
                  <c:v>10.964781961431854</c:v>
                </c:pt>
                <c:pt idx="4">
                  <c:v>11.220184543019636</c:v>
                </c:pt>
                <c:pt idx="5">
                  <c:v>11.481536214968834</c:v>
                </c:pt>
                <c:pt idx="6">
                  <c:v>11.748975549395301</c:v>
                </c:pt>
                <c:pt idx="7">
                  <c:v>12.022644346174133</c:v>
                </c:pt>
                <c:pt idx="8">
                  <c:v>12.302687708123818</c:v>
                </c:pt>
                <c:pt idx="9">
                  <c:v>12.58925411794168</c:v>
                </c:pt>
                <c:pt idx="10">
                  <c:v>12.882495516931346</c:v>
                </c:pt>
                <c:pt idx="11">
                  <c:v>13.182567385564075</c:v>
                </c:pt>
                <c:pt idx="12">
                  <c:v>13.489628825916535</c:v>
                </c:pt>
                <c:pt idx="13">
                  <c:v>13.803842646028857</c:v>
                </c:pt>
                <c:pt idx="14">
                  <c:v>14.125375446227544</c:v>
                </c:pt>
                <c:pt idx="15">
                  <c:v>14.454397707459275</c:v>
                </c:pt>
                <c:pt idx="16">
                  <c:v>14.791083881682074</c:v>
                </c:pt>
                <c:pt idx="17">
                  <c:v>15.135612484362087</c:v>
                </c:pt>
                <c:pt idx="18">
                  <c:v>15.488166189124817</c:v>
                </c:pt>
                <c:pt idx="19">
                  <c:v>15.848931924611136</c:v>
                </c:pt>
                <c:pt idx="20">
                  <c:v>16.218100973589298</c:v>
                </c:pt>
                <c:pt idx="21">
                  <c:v>16.595869074375614</c:v>
                </c:pt>
                <c:pt idx="22">
                  <c:v>16.982436524617448</c:v>
                </c:pt>
                <c:pt idx="23">
                  <c:v>17.378008287493756</c:v>
                </c:pt>
                <c:pt idx="24">
                  <c:v>17.782794100389236</c:v>
                </c:pt>
                <c:pt idx="25">
                  <c:v>18.197008586099841</c:v>
                </c:pt>
                <c:pt idx="26">
                  <c:v>18.62087136662868</c:v>
                </c:pt>
                <c:pt idx="27">
                  <c:v>19.054607179632477</c:v>
                </c:pt>
                <c:pt idx="28">
                  <c:v>19.498445997580465</c:v>
                </c:pt>
                <c:pt idx="29">
                  <c:v>19.952623149688804</c:v>
                </c:pt>
                <c:pt idx="30">
                  <c:v>20.4173794466953</c:v>
                </c:pt>
                <c:pt idx="31">
                  <c:v>20.8929613085404</c:v>
                </c:pt>
                <c:pt idx="32">
                  <c:v>21.379620895022335</c:v>
                </c:pt>
                <c:pt idx="33">
                  <c:v>21.877616239495538</c:v>
                </c:pt>
                <c:pt idx="34">
                  <c:v>22.387211385683404</c:v>
                </c:pt>
                <c:pt idx="35">
                  <c:v>22.908676527677727</c:v>
                </c:pt>
                <c:pt idx="36">
                  <c:v>23.442288153199236</c:v>
                </c:pt>
                <c:pt idx="37">
                  <c:v>23.988329190194907</c:v>
                </c:pt>
                <c:pt idx="38">
                  <c:v>24.547089156850316</c:v>
                </c:pt>
                <c:pt idx="39">
                  <c:v>25.118864315095799</c:v>
                </c:pt>
                <c:pt idx="40">
                  <c:v>25.703957827688647</c:v>
                </c:pt>
                <c:pt idx="41">
                  <c:v>26.302679918953825</c:v>
                </c:pt>
                <c:pt idx="42">
                  <c:v>26.915348039269158</c:v>
                </c:pt>
                <c:pt idx="43">
                  <c:v>27.542287033381665</c:v>
                </c:pt>
                <c:pt idx="44">
                  <c:v>28.183829312644548</c:v>
                </c:pt>
                <c:pt idx="45">
                  <c:v>28.840315031266066</c:v>
                </c:pt>
                <c:pt idx="46">
                  <c:v>29.512092266663863</c:v>
                </c:pt>
                <c:pt idx="47">
                  <c:v>30.199517204020164</c:v>
                </c:pt>
                <c:pt idx="48">
                  <c:v>30.902954325135919</c:v>
                </c:pt>
                <c:pt idx="49">
                  <c:v>31.622776601683803</c:v>
                </c:pt>
                <c:pt idx="50">
                  <c:v>32.359365692962832</c:v>
                </c:pt>
                <c:pt idx="51">
                  <c:v>33.113112148259127</c:v>
                </c:pt>
                <c:pt idx="52">
                  <c:v>33.884415613920268</c:v>
                </c:pt>
                <c:pt idx="53">
                  <c:v>34.67368504525318</c:v>
                </c:pt>
                <c:pt idx="54">
                  <c:v>35.481338923357555</c:v>
                </c:pt>
                <c:pt idx="55">
                  <c:v>36.307805477010156</c:v>
                </c:pt>
                <c:pt idx="56">
                  <c:v>37.15352290971726</c:v>
                </c:pt>
                <c:pt idx="57">
                  <c:v>38.018939632056139</c:v>
                </c:pt>
                <c:pt idx="58">
                  <c:v>38.904514499428053</c:v>
                </c:pt>
                <c:pt idx="59">
                  <c:v>39.810717055349755</c:v>
                </c:pt>
                <c:pt idx="60">
                  <c:v>40.738027780411279</c:v>
                </c:pt>
                <c:pt idx="61">
                  <c:v>41.686938347033561</c:v>
                </c:pt>
                <c:pt idx="62">
                  <c:v>42.657951880159267</c:v>
                </c:pt>
                <c:pt idx="63">
                  <c:v>43.651583224016633</c:v>
                </c:pt>
                <c:pt idx="64">
                  <c:v>44.668359215096324</c:v>
                </c:pt>
                <c:pt idx="65">
                  <c:v>45.70881896148753</c:v>
                </c:pt>
                <c:pt idx="66">
                  <c:v>46.773514128719818</c:v>
                </c:pt>
                <c:pt idx="67">
                  <c:v>47.863009232263877</c:v>
                </c:pt>
                <c:pt idx="68">
                  <c:v>48.977881936844632</c:v>
                </c:pt>
                <c:pt idx="69">
                  <c:v>50.118723362727238</c:v>
                </c:pt>
                <c:pt idx="70">
                  <c:v>51.28613839913649</c:v>
                </c:pt>
                <c:pt idx="71">
                  <c:v>52.480746024977286</c:v>
                </c:pt>
                <c:pt idx="72">
                  <c:v>53.703179637025293</c:v>
                </c:pt>
                <c:pt idx="73">
                  <c:v>54.95408738576247</c:v>
                </c:pt>
                <c:pt idx="74">
                  <c:v>56.234132519034915</c:v>
                </c:pt>
                <c:pt idx="75">
                  <c:v>57.543993733715695</c:v>
                </c:pt>
                <c:pt idx="76">
                  <c:v>58.884365535558949</c:v>
                </c:pt>
                <c:pt idx="77">
                  <c:v>60.255958607435822</c:v>
                </c:pt>
                <c:pt idx="78">
                  <c:v>61.659500186148257</c:v>
                </c:pt>
                <c:pt idx="79">
                  <c:v>63.095734448019364</c:v>
                </c:pt>
                <c:pt idx="80">
                  <c:v>64.565422903465588</c:v>
                </c:pt>
                <c:pt idx="81">
                  <c:v>66.069344800759623</c:v>
                </c:pt>
                <c:pt idx="82">
                  <c:v>67.60829753919819</c:v>
                </c:pt>
                <c:pt idx="83">
                  <c:v>69.183097091893657</c:v>
                </c:pt>
                <c:pt idx="84">
                  <c:v>70.794578438413865</c:v>
                </c:pt>
                <c:pt idx="85">
                  <c:v>72.443596007499011</c:v>
                </c:pt>
                <c:pt idx="86">
                  <c:v>74.131024130091816</c:v>
                </c:pt>
                <c:pt idx="87">
                  <c:v>75.857757502918361</c:v>
                </c:pt>
                <c:pt idx="88">
                  <c:v>77.624711662869217</c:v>
                </c:pt>
                <c:pt idx="89">
                  <c:v>79.432823472428197</c:v>
                </c:pt>
                <c:pt idx="90">
                  <c:v>81.283051616409963</c:v>
                </c:pt>
                <c:pt idx="91">
                  <c:v>83.176377110267126</c:v>
                </c:pt>
                <c:pt idx="92">
                  <c:v>85.113803820237734</c:v>
                </c:pt>
                <c:pt idx="93">
                  <c:v>87.096358995608071</c:v>
                </c:pt>
                <c:pt idx="94">
                  <c:v>89.125093813374562</c:v>
                </c:pt>
                <c:pt idx="95">
                  <c:v>91.201083935590972</c:v>
                </c:pt>
                <c:pt idx="96">
                  <c:v>93.325430079699174</c:v>
                </c:pt>
                <c:pt idx="97">
                  <c:v>95.499258602143655</c:v>
                </c:pt>
                <c:pt idx="98">
                  <c:v>97.723722095581124</c:v>
                </c:pt>
                <c:pt idx="99">
                  <c:v>100</c:v>
                </c:pt>
                <c:pt idx="100">
                  <c:v>102.32929922807544</c:v>
                </c:pt>
                <c:pt idx="101">
                  <c:v>104.71285480508998</c:v>
                </c:pt>
                <c:pt idx="102">
                  <c:v>107.15193052376065</c:v>
                </c:pt>
                <c:pt idx="103">
                  <c:v>109.64781961431861</c:v>
                </c:pt>
                <c:pt idx="104">
                  <c:v>112.20184543019634</c:v>
                </c:pt>
                <c:pt idx="105">
                  <c:v>114.81536214968835</c:v>
                </c:pt>
                <c:pt idx="106">
                  <c:v>117.48975549395293</c:v>
                </c:pt>
                <c:pt idx="107">
                  <c:v>120.22644346174135</c:v>
                </c:pt>
                <c:pt idx="108">
                  <c:v>123.02687708123821</c:v>
                </c:pt>
                <c:pt idx="109">
                  <c:v>125.89254117941677</c:v>
                </c:pt>
                <c:pt idx="110">
                  <c:v>128.82495516931343</c:v>
                </c:pt>
                <c:pt idx="111">
                  <c:v>131.82567385564084</c:v>
                </c:pt>
                <c:pt idx="112">
                  <c:v>134.89628825916537</c:v>
                </c:pt>
                <c:pt idx="113">
                  <c:v>138.0384264602886</c:v>
                </c:pt>
                <c:pt idx="114">
                  <c:v>141.25375446227542</c:v>
                </c:pt>
                <c:pt idx="115">
                  <c:v>144.54397707459285</c:v>
                </c:pt>
                <c:pt idx="116">
                  <c:v>147.91083881682084</c:v>
                </c:pt>
                <c:pt idx="117">
                  <c:v>151.3561248436209</c:v>
                </c:pt>
                <c:pt idx="118">
                  <c:v>154.8816618912482</c:v>
                </c:pt>
                <c:pt idx="119">
                  <c:v>158.48931924611153</c:v>
                </c:pt>
                <c:pt idx="120">
                  <c:v>162.18100973589304</c:v>
                </c:pt>
                <c:pt idx="121">
                  <c:v>165.95869074375622</c:v>
                </c:pt>
                <c:pt idx="122">
                  <c:v>169.82436524617444</c:v>
                </c:pt>
                <c:pt idx="123">
                  <c:v>173.78008287493768</c:v>
                </c:pt>
                <c:pt idx="124">
                  <c:v>177.82794100389242</c:v>
                </c:pt>
                <c:pt idx="125">
                  <c:v>181.9700858609983</c:v>
                </c:pt>
                <c:pt idx="126">
                  <c:v>186.20871366628685</c:v>
                </c:pt>
                <c:pt idx="127">
                  <c:v>190.54607179632498</c:v>
                </c:pt>
                <c:pt idx="128">
                  <c:v>194.98445997580458</c:v>
                </c:pt>
                <c:pt idx="129">
                  <c:v>199.52623149688802</c:v>
                </c:pt>
                <c:pt idx="130">
                  <c:v>204.17379446695315</c:v>
                </c:pt>
                <c:pt idx="131">
                  <c:v>208.92961308540396</c:v>
                </c:pt>
                <c:pt idx="132">
                  <c:v>213.79620895022339</c:v>
                </c:pt>
                <c:pt idx="133">
                  <c:v>218.77616239495524</c:v>
                </c:pt>
                <c:pt idx="134">
                  <c:v>223.87211385683412</c:v>
                </c:pt>
                <c:pt idx="135">
                  <c:v>229.08676527677744</c:v>
                </c:pt>
                <c:pt idx="136">
                  <c:v>234.42288153199232</c:v>
                </c:pt>
                <c:pt idx="137">
                  <c:v>239.88329190194912</c:v>
                </c:pt>
                <c:pt idx="138">
                  <c:v>245.4708915685033</c:v>
                </c:pt>
                <c:pt idx="139">
                  <c:v>251.18864315095806</c:v>
                </c:pt>
                <c:pt idx="140">
                  <c:v>257.03957827688663</c:v>
                </c:pt>
                <c:pt idx="141">
                  <c:v>263.02679918953817</c:v>
                </c:pt>
                <c:pt idx="142">
                  <c:v>269.15348039269179</c:v>
                </c:pt>
                <c:pt idx="143">
                  <c:v>275.42287033381683</c:v>
                </c:pt>
                <c:pt idx="144">
                  <c:v>281.83829312644554</c:v>
                </c:pt>
                <c:pt idx="145">
                  <c:v>288.40315031266073</c:v>
                </c:pt>
                <c:pt idx="146">
                  <c:v>295.12092266663871</c:v>
                </c:pt>
                <c:pt idx="147">
                  <c:v>301.99517204020168</c:v>
                </c:pt>
                <c:pt idx="148">
                  <c:v>309.02954325135937</c:v>
                </c:pt>
                <c:pt idx="149">
                  <c:v>316.22776601683825</c:v>
                </c:pt>
                <c:pt idx="150">
                  <c:v>323.59365692962825</c:v>
                </c:pt>
                <c:pt idx="151">
                  <c:v>331.13112148259137</c:v>
                </c:pt>
                <c:pt idx="152">
                  <c:v>338.84415613920277</c:v>
                </c:pt>
                <c:pt idx="153">
                  <c:v>346.73685045253183</c:v>
                </c:pt>
                <c:pt idx="154">
                  <c:v>354.81338923357566</c:v>
                </c:pt>
                <c:pt idx="155">
                  <c:v>363.07805477010152</c:v>
                </c:pt>
                <c:pt idx="156">
                  <c:v>371.53522909717265</c:v>
                </c:pt>
                <c:pt idx="157">
                  <c:v>380.18939632056163</c:v>
                </c:pt>
                <c:pt idx="158">
                  <c:v>389.04514499428063</c:v>
                </c:pt>
                <c:pt idx="159">
                  <c:v>398.10717055349761</c:v>
                </c:pt>
                <c:pt idx="160">
                  <c:v>407.38027780411272</c:v>
                </c:pt>
                <c:pt idx="161">
                  <c:v>416.86938347033572</c:v>
                </c:pt>
                <c:pt idx="162">
                  <c:v>426.57951880159294</c:v>
                </c:pt>
                <c:pt idx="163">
                  <c:v>436.51583224016622</c:v>
                </c:pt>
                <c:pt idx="164">
                  <c:v>446.68359215096331</c:v>
                </c:pt>
                <c:pt idx="165">
                  <c:v>457.0881896148756</c:v>
                </c:pt>
                <c:pt idx="166">
                  <c:v>467.7351412871983</c:v>
                </c:pt>
                <c:pt idx="167">
                  <c:v>478.63009232263886</c:v>
                </c:pt>
                <c:pt idx="168">
                  <c:v>489.77881936844625</c:v>
                </c:pt>
                <c:pt idx="169">
                  <c:v>501.18723362727269</c:v>
                </c:pt>
                <c:pt idx="170">
                  <c:v>512.86138399136519</c:v>
                </c:pt>
                <c:pt idx="171">
                  <c:v>524.80746024977248</c:v>
                </c:pt>
                <c:pt idx="172">
                  <c:v>537.03179637025301</c:v>
                </c:pt>
                <c:pt idx="173">
                  <c:v>549.54087385762534</c:v>
                </c:pt>
                <c:pt idx="174">
                  <c:v>562.34132519034927</c:v>
                </c:pt>
                <c:pt idx="175">
                  <c:v>575.43993733715706</c:v>
                </c:pt>
                <c:pt idx="176">
                  <c:v>588.84365535558959</c:v>
                </c:pt>
                <c:pt idx="177">
                  <c:v>602.55958607435832</c:v>
                </c:pt>
                <c:pt idx="178">
                  <c:v>616.59500186148273</c:v>
                </c:pt>
                <c:pt idx="179">
                  <c:v>630.95734448019323</c:v>
                </c:pt>
                <c:pt idx="180">
                  <c:v>645.65422903465594</c:v>
                </c:pt>
                <c:pt idx="181">
                  <c:v>660.69344800759643</c:v>
                </c:pt>
                <c:pt idx="182">
                  <c:v>676.08297539198213</c:v>
                </c:pt>
                <c:pt idx="183">
                  <c:v>691.83097091893671</c:v>
                </c:pt>
                <c:pt idx="184">
                  <c:v>707.94578438413873</c:v>
                </c:pt>
                <c:pt idx="185">
                  <c:v>724.43596007499025</c:v>
                </c:pt>
                <c:pt idx="186">
                  <c:v>741.31024130091828</c:v>
                </c:pt>
                <c:pt idx="187">
                  <c:v>758.57757502918378</c:v>
                </c:pt>
                <c:pt idx="188">
                  <c:v>776.24711662869231</c:v>
                </c:pt>
                <c:pt idx="189">
                  <c:v>794.32823472428208</c:v>
                </c:pt>
                <c:pt idx="190">
                  <c:v>812.83051616409978</c:v>
                </c:pt>
                <c:pt idx="191">
                  <c:v>831.7637711026714</c:v>
                </c:pt>
                <c:pt idx="192">
                  <c:v>851.13803820237763</c:v>
                </c:pt>
                <c:pt idx="193">
                  <c:v>870.96358995608091</c:v>
                </c:pt>
                <c:pt idx="194">
                  <c:v>891.25093813374656</c:v>
                </c:pt>
                <c:pt idx="195">
                  <c:v>912.01083935590987</c:v>
                </c:pt>
                <c:pt idx="196">
                  <c:v>933.25430079699106</c:v>
                </c:pt>
                <c:pt idx="197">
                  <c:v>954.99258602143675</c:v>
                </c:pt>
                <c:pt idx="198">
                  <c:v>977.23722095581138</c:v>
                </c:pt>
                <c:pt idx="199">
                  <c:v>1000</c:v>
                </c:pt>
                <c:pt idx="200">
                  <c:v>1023.2929922807547</c:v>
                </c:pt>
                <c:pt idx="201">
                  <c:v>1047.1285480509</c:v>
                </c:pt>
                <c:pt idx="202">
                  <c:v>1071.5193052376069</c:v>
                </c:pt>
                <c:pt idx="203">
                  <c:v>1096.4781961431863</c:v>
                </c:pt>
                <c:pt idx="204">
                  <c:v>1122.0184543019636</c:v>
                </c:pt>
                <c:pt idx="205">
                  <c:v>1148.1536214968839</c:v>
                </c:pt>
                <c:pt idx="206">
                  <c:v>1174.8975549395295</c:v>
                </c:pt>
                <c:pt idx="207">
                  <c:v>1202.2644346174138</c:v>
                </c:pt>
                <c:pt idx="208">
                  <c:v>1230.2687708123824</c:v>
                </c:pt>
                <c:pt idx="209">
                  <c:v>1258.925411794168</c:v>
                </c:pt>
                <c:pt idx="210">
                  <c:v>1288.2495516931347</c:v>
                </c:pt>
                <c:pt idx="211">
                  <c:v>1318.2567385564089</c:v>
                </c:pt>
                <c:pt idx="212">
                  <c:v>1348.9628825916541</c:v>
                </c:pt>
                <c:pt idx="213">
                  <c:v>1380.3842646028863</c:v>
                </c:pt>
                <c:pt idx="214">
                  <c:v>1412.5375446227545</c:v>
                </c:pt>
                <c:pt idx="215">
                  <c:v>1445.4397707459289</c:v>
                </c:pt>
                <c:pt idx="216">
                  <c:v>1479.1083881682086</c:v>
                </c:pt>
                <c:pt idx="217">
                  <c:v>1513.5612484362093</c:v>
                </c:pt>
                <c:pt idx="218">
                  <c:v>1548.8166189124822</c:v>
                </c:pt>
                <c:pt idx="219">
                  <c:v>1584.8931924611156</c:v>
                </c:pt>
                <c:pt idx="220">
                  <c:v>1621.8100973589308</c:v>
                </c:pt>
                <c:pt idx="221">
                  <c:v>1659.5869074375626</c:v>
                </c:pt>
                <c:pt idx="222">
                  <c:v>1698.2436524617447</c:v>
                </c:pt>
                <c:pt idx="223">
                  <c:v>1737.8008287493772</c:v>
                </c:pt>
                <c:pt idx="224">
                  <c:v>1778.2794100389244</c:v>
                </c:pt>
                <c:pt idx="225">
                  <c:v>1819.7008586099832</c:v>
                </c:pt>
                <c:pt idx="226">
                  <c:v>1862.0871366628687</c:v>
                </c:pt>
                <c:pt idx="227">
                  <c:v>1905.4607179632501</c:v>
                </c:pt>
                <c:pt idx="228">
                  <c:v>1949.8445997580463</c:v>
                </c:pt>
                <c:pt idx="229">
                  <c:v>1995.2623149688804</c:v>
                </c:pt>
                <c:pt idx="230">
                  <c:v>2041.7379446695318</c:v>
                </c:pt>
                <c:pt idx="231">
                  <c:v>2089.2961308540398</c:v>
                </c:pt>
                <c:pt idx="232">
                  <c:v>2137.9620895022344</c:v>
                </c:pt>
                <c:pt idx="233">
                  <c:v>2187.7616239495528</c:v>
                </c:pt>
                <c:pt idx="234">
                  <c:v>2238.7211385683418</c:v>
                </c:pt>
                <c:pt idx="235">
                  <c:v>2290.8676527677749</c:v>
                </c:pt>
                <c:pt idx="236">
                  <c:v>2344.2288153199238</c:v>
                </c:pt>
                <c:pt idx="237">
                  <c:v>2398.8329190194918</c:v>
                </c:pt>
                <c:pt idx="238">
                  <c:v>2454.7089156850338</c:v>
                </c:pt>
                <c:pt idx="239">
                  <c:v>2511.8864315095811</c:v>
                </c:pt>
                <c:pt idx="240">
                  <c:v>2570.3957827688669</c:v>
                </c:pt>
                <c:pt idx="241">
                  <c:v>2630.2679918953822</c:v>
                </c:pt>
                <c:pt idx="242">
                  <c:v>2691.5348039269184</c:v>
                </c:pt>
                <c:pt idx="243">
                  <c:v>2754.228703338169</c:v>
                </c:pt>
                <c:pt idx="244">
                  <c:v>2818.3829312644561</c:v>
                </c:pt>
                <c:pt idx="245">
                  <c:v>2884.0315031266077</c:v>
                </c:pt>
                <c:pt idx="246">
                  <c:v>2951.2092266663876</c:v>
                </c:pt>
                <c:pt idx="247">
                  <c:v>3019.9517204020176</c:v>
                </c:pt>
                <c:pt idx="248">
                  <c:v>3090.295432513592</c:v>
                </c:pt>
                <c:pt idx="249">
                  <c:v>3162.2776601683804</c:v>
                </c:pt>
                <c:pt idx="250">
                  <c:v>3235.9365692962833</c:v>
                </c:pt>
                <c:pt idx="251">
                  <c:v>3311.3112148259115</c:v>
                </c:pt>
                <c:pt idx="252">
                  <c:v>3388.4415613920314</c:v>
                </c:pt>
                <c:pt idx="253">
                  <c:v>3467.3685045253224</c:v>
                </c:pt>
                <c:pt idx="254">
                  <c:v>3548.1338923357539</c:v>
                </c:pt>
                <c:pt idx="255">
                  <c:v>3630.7805477010188</c:v>
                </c:pt>
                <c:pt idx="256">
                  <c:v>3715.352290971724</c:v>
                </c:pt>
                <c:pt idx="257">
                  <c:v>3801.8939632056172</c:v>
                </c:pt>
                <c:pt idx="258">
                  <c:v>3890.451449942811</c:v>
                </c:pt>
                <c:pt idx="259">
                  <c:v>3981.0717055349769</c:v>
                </c:pt>
                <c:pt idx="260">
                  <c:v>4073.8027780411317</c:v>
                </c:pt>
                <c:pt idx="261">
                  <c:v>4168.6938347033583</c:v>
                </c:pt>
                <c:pt idx="262">
                  <c:v>4265.7951880159299</c:v>
                </c:pt>
                <c:pt idx="263">
                  <c:v>4365.1583224016631</c:v>
                </c:pt>
                <c:pt idx="264">
                  <c:v>4466.8359215096343</c:v>
                </c:pt>
                <c:pt idx="265">
                  <c:v>4570.8818961487532</c:v>
                </c:pt>
                <c:pt idx="266">
                  <c:v>4677.3514128719844</c:v>
                </c:pt>
                <c:pt idx="267">
                  <c:v>4786.3009232263848</c:v>
                </c:pt>
                <c:pt idx="268">
                  <c:v>4897.7881936844633</c:v>
                </c:pt>
                <c:pt idx="269">
                  <c:v>5011.8723362727324</c:v>
                </c:pt>
                <c:pt idx="270">
                  <c:v>5128.6138399136489</c:v>
                </c:pt>
                <c:pt idx="271">
                  <c:v>5248.0746024977261</c:v>
                </c:pt>
                <c:pt idx="272">
                  <c:v>5370.3179637025269</c:v>
                </c:pt>
                <c:pt idx="273">
                  <c:v>5495.4087385762541</c:v>
                </c:pt>
                <c:pt idx="274">
                  <c:v>5623.4132519034993</c:v>
                </c:pt>
                <c:pt idx="275">
                  <c:v>5754.399373371567</c:v>
                </c:pt>
                <c:pt idx="276">
                  <c:v>5888.4365535558973</c:v>
                </c:pt>
                <c:pt idx="277">
                  <c:v>6025.595860743585</c:v>
                </c:pt>
                <c:pt idx="278">
                  <c:v>6165.9500186148289</c:v>
                </c:pt>
                <c:pt idx="279">
                  <c:v>6309.5734448019384</c:v>
                </c:pt>
                <c:pt idx="280">
                  <c:v>6456.5422903465615</c:v>
                </c:pt>
                <c:pt idx="281">
                  <c:v>6606.9344800759654</c:v>
                </c:pt>
                <c:pt idx="282">
                  <c:v>6760.8297539198229</c:v>
                </c:pt>
                <c:pt idx="283">
                  <c:v>6918.3097091893687</c:v>
                </c:pt>
                <c:pt idx="284">
                  <c:v>7079.4578438413828</c:v>
                </c:pt>
                <c:pt idx="285">
                  <c:v>7244.3596007499036</c:v>
                </c:pt>
                <c:pt idx="286">
                  <c:v>7413.1024130091773</c:v>
                </c:pt>
                <c:pt idx="287">
                  <c:v>7585.7757502918394</c:v>
                </c:pt>
                <c:pt idx="288">
                  <c:v>7762.4711662869322</c:v>
                </c:pt>
                <c:pt idx="289">
                  <c:v>7943.2823472428154</c:v>
                </c:pt>
                <c:pt idx="290">
                  <c:v>8128.3051616410066</c:v>
                </c:pt>
                <c:pt idx="291">
                  <c:v>8317.6377110267094</c:v>
                </c:pt>
                <c:pt idx="292">
                  <c:v>8511.3803820237772</c:v>
                </c:pt>
                <c:pt idx="293">
                  <c:v>8709.6358995608189</c:v>
                </c:pt>
                <c:pt idx="294">
                  <c:v>8912.5093813374679</c:v>
                </c:pt>
                <c:pt idx="295">
                  <c:v>9120.1083935591087</c:v>
                </c:pt>
                <c:pt idx="296">
                  <c:v>9332.5430079699217</c:v>
                </c:pt>
                <c:pt idx="297">
                  <c:v>9549.9258602143691</c:v>
                </c:pt>
                <c:pt idx="298">
                  <c:v>9772.3722095581161</c:v>
                </c:pt>
                <c:pt idx="299">
                  <c:v>10000</c:v>
                </c:pt>
                <c:pt idx="300">
                  <c:v>10232.929922807549</c:v>
                </c:pt>
                <c:pt idx="301">
                  <c:v>10471.285480509003</c:v>
                </c:pt>
                <c:pt idx="302">
                  <c:v>10715.193052376071</c:v>
                </c:pt>
                <c:pt idx="303">
                  <c:v>10964.781961431856</c:v>
                </c:pt>
                <c:pt idx="304">
                  <c:v>11220.184543019639</c:v>
                </c:pt>
                <c:pt idx="305">
                  <c:v>11481.536214968832</c:v>
                </c:pt>
                <c:pt idx="306">
                  <c:v>11748.975549395318</c:v>
                </c:pt>
                <c:pt idx="307">
                  <c:v>12022.644346174151</c:v>
                </c:pt>
                <c:pt idx="308">
                  <c:v>12302.687708123816</c:v>
                </c:pt>
                <c:pt idx="309">
                  <c:v>12589.254117941671</c:v>
                </c:pt>
                <c:pt idx="310">
                  <c:v>12882.49551693136</c:v>
                </c:pt>
                <c:pt idx="311">
                  <c:v>13182.567385564091</c:v>
                </c:pt>
                <c:pt idx="312">
                  <c:v>13489.628825916556</c:v>
                </c:pt>
                <c:pt idx="313">
                  <c:v>13803.842646028841</c:v>
                </c:pt>
                <c:pt idx="314">
                  <c:v>14125.375446227561</c:v>
                </c:pt>
                <c:pt idx="315">
                  <c:v>14454.397707459291</c:v>
                </c:pt>
                <c:pt idx="316">
                  <c:v>14791.083881682089</c:v>
                </c:pt>
                <c:pt idx="317">
                  <c:v>15135.612484362096</c:v>
                </c:pt>
                <c:pt idx="318">
                  <c:v>15488.166189124853</c:v>
                </c:pt>
                <c:pt idx="319">
                  <c:v>15848.931924611146</c:v>
                </c:pt>
                <c:pt idx="320">
                  <c:v>16218.100973589309</c:v>
                </c:pt>
                <c:pt idx="321">
                  <c:v>16595.869074375616</c:v>
                </c:pt>
                <c:pt idx="322">
                  <c:v>16982.436524617482</c:v>
                </c:pt>
                <c:pt idx="323">
                  <c:v>17378.008287493791</c:v>
                </c:pt>
                <c:pt idx="324">
                  <c:v>17782.794100389234</c:v>
                </c:pt>
                <c:pt idx="325">
                  <c:v>18197.008586099837</c:v>
                </c:pt>
                <c:pt idx="326">
                  <c:v>18620.871366628675</c:v>
                </c:pt>
                <c:pt idx="327">
                  <c:v>19054.607179632505</c:v>
                </c:pt>
                <c:pt idx="328">
                  <c:v>19498.445997580486</c:v>
                </c:pt>
                <c:pt idx="329">
                  <c:v>19952.623149688792</c:v>
                </c:pt>
                <c:pt idx="330">
                  <c:v>20417.379446695286</c:v>
                </c:pt>
                <c:pt idx="331">
                  <c:v>20892.961308540423</c:v>
                </c:pt>
                <c:pt idx="332">
                  <c:v>21379.620895022348</c:v>
                </c:pt>
                <c:pt idx="333">
                  <c:v>21877.61623949555</c:v>
                </c:pt>
                <c:pt idx="334">
                  <c:v>22387.211385683382</c:v>
                </c:pt>
                <c:pt idx="335">
                  <c:v>22908.676527677751</c:v>
                </c:pt>
                <c:pt idx="336">
                  <c:v>23442.288153199243</c:v>
                </c:pt>
                <c:pt idx="337">
                  <c:v>23988.329190194923</c:v>
                </c:pt>
                <c:pt idx="338">
                  <c:v>24547.089156850321</c:v>
                </c:pt>
                <c:pt idx="339">
                  <c:v>25118.86431509586</c:v>
                </c:pt>
                <c:pt idx="340">
                  <c:v>25703.95782768865</c:v>
                </c:pt>
                <c:pt idx="341">
                  <c:v>26302.679918953829</c:v>
                </c:pt>
                <c:pt idx="342">
                  <c:v>26915.348039269167</c:v>
                </c:pt>
                <c:pt idx="343">
                  <c:v>27542.287033381719</c:v>
                </c:pt>
                <c:pt idx="344">
                  <c:v>28183.829312644593</c:v>
                </c:pt>
                <c:pt idx="345">
                  <c:v>28840.315031266062</c:v>
                </c:pt>
                <c:pt idx="346">
                  <c:v>29512.092266663854</c:v>
                </c:pt>
                <c:pt idx="347">
                  <c:v>30199.517204020212</c:v>
                </c:pt>
                <c:pt idx="348">
                  <c:v>30902.954325135954</c:v>
                </c:pt>
                <c:pt idx="349">
                  <c:v>31622.77660168384</c:v>
                </c:pt>
                <c:pt idx="350">
                  <c:v>32359.365692962871</c:v>
                </c:pt>
                <c:pt idx="351">
                  <c:v>33113.11214825909</c:v>
                </c:pt>
                <c:pt idx="352">
                  <c:v>33884.41561392029</c:v>
                </c:pt>
                <c:pt idx="353">
                  <c:v>34673.685045253202</c:v>
                </c:pt>
                <c:pt idx="354">
                  <c:v>35481.33892335758</c:v>
                </c:pt>
                <c:pt idx="355">
                  <c:v>36307.805477010232</c:v>
                </c:pt>
                <c:pt idx="356">
                  <c:v>37153.522909717351</c:v>
                </c:pt>
                <c:pt idx="357">
                  <c:v>38018.939632056143</c:v>
                </c:pt>
                <c:pt idx="358">
                  <c:v>38904.514499428085</c:v>
                </c:pt>
                <c:pt idx="359">
                  <c:v>39810.717055349742</c:v>
                </c:pt>
                <c:pt idx="360">
                  <c:v>40738.027780411358</c:v>
                </c:pt>
                <c:pt idx="361">
                  <c:v>41686.938347033625</c:v>
                </c:pt>
                <c:pt idx="362">
                  <c:v>42657.951880159271</c:v>
                </c:pt>
                <c:pt idx="363">
                  <c:v>43651.583224016598</c:v>
                </c:pt>
                <c:pt idx="364">
                  <c:v>44668.359215096389</c:v>
                </c:pt>
                <c:pt idx="365">
                  <c:v>45708.818961487581</c:v>
                </c:pt>
                <c:pt idx="366">
                  <c:v>46773.514128719893</c:v>
                </c:pt>
                <c:pt idx="367">
                  <c:v>47863.009232263823</c:v>
                </c:pt>
                <c:pt idx="368">
                  <c:v>48977.881936844598</c:v>
                </c:pt>
                <c:pt idx="369">
                  <c:v>50118.723362727294</c:v>
                </c:pt>
                <c:pt idx="370">
                  <c:v>51286.138399136544</c:v>
                </c:pt>
                <c:pt idx="371">
                  <c:v>52480.746024977314</c:v>
                </c:pt>
                <c:pt idx="372">
                  <c:v>53703.179637025423</c:v>
                </c:pt>
                <c:pt idx="373">
                  <c:v>54954.087385762505</c:v>
                </c:pt>
                <c:pt idx="374">
                  <c:v>56234.132519034953</c:v>
                </c:pt>
                <c:pt idx="375">
                  <c:v>57543.993733715732</c:v>
                </c:pt>
                <c:pt idx="376">
                  <c:v>58884.365535558936</c:v>
                </c:pt>
                <c:pt idx="377">
                  <c:v>60255.95860743591</c:v>
                </c:pt>
                <c:pt idx="378">
                  <c:v>61659.500186148245</c:v>
                </c:pt>
                <c:pt idx="379">
                  <c:v>63095.734448019342</c:v>
                </c:pt>
                <c:pt idx="380">
                  <c:v>64565.422903465682</c:v>
                </c:pt>
                <c:pt idx="381">
                  <c:v>66069.344800759733</c:v>
                </c:pt>
                <c:pt idx="382">
                  <c:v>67608.297539198305</c:v>
                </c:pt>
                <c:pt idx="383">
                  <c:v>69183.097091893651</c:v>
                </c:pt>
                <c:pt idx="384">
                  <c:v>70794.578438413781</c:v>
                </c:pt>
                <c:pt idx="385">
                  <c:v>72443.596007499116</c:v>
                </c:pt>
                <c:pt idx="386">
                  <c:v>74131.024130091857</c:v>
                </c:pt>
                <c:pt idx="387">
                  <c:v>75857.757502918481</c:v>
                </c:pt>
                <c:pt idx="388">
                  <c:v>77624.711662869129</c:v>
                </c:pt>
                <c:pt idx="389">
                  <c:v>79432.823472428237</c:v>
                </c:pt>
                <c:pt idx="390">
                  <c:v>81283.051616410012</c:v>
                </c:pt>
                <c:pt idx="391">
                  <c:v>83176.377110267174</c:v>
                </c:pt>
                <c:pt idx="392">
                  <c:v>85113.803820237721</c:v>
                </c:pt>
                <c:pt idx="393">
                  <c:v>87096.358995608127</c:v>
                </c:pt>
                <c:pt idx="394">
                  <c:v>89125.093813374609</c:v>
                </c:pt>
                <c:pt idx="395">
                  <c:v>91201.083935591028</c:v>
                </c:pt>
                <c:pt idx="396">
                  <c:v>93325.430079699145</c:v>
                </c:pt>
                <c:pt idx="397">
                  <c:v>95499.258602143804</c:v>
                </c:pt>
                <c:pt idx="398">
                  <c:v>97723.722095581266</c:v>
                </c:pt>
                <c:pt idx="399">
                  <c:v>100000</c:v>
                </c:pt>
                <c:pt idx="400">
                  <c:v>102329.29922807543</c:v>
                </c:pt>
                <c:pt idx="401">
                  <c:v>104712.85480508996</c:v>
                </c:pt>
                <c:pt idx="402">
                  <c:v>107151.93052376082</c:v>
                </c:pt>
                <c:pt idx="403">
                  <c:v>109647.81961431868</c:v>
                </c:pt>
                <c:pt idx="404">
                  <c:v>112201.84543019651</c:v>
                </c:pt>
                <c:pt idx="405">
                  <c:v>114815.36214968823</c:v>
                </c:pt>
                <c:pt idx="406">
                  <c:v>117489.75549395311</c:v>
                </c:pt>
                <c:pt idx="407">
                  <c:v>120226.44346174144</c:v>
                </c:pt>
                <c:pt idx="408">
                  <c:v>123026.87708123829</c:v>
                </c:pt>
                <c:pt idx="409">
                  <c:v>125892.54117941685</c:v>
                </c:pt>
                <c:pt idx="410">
                  <c:v>128824.95516931375</c:v>
                </c:pt>
                <c:pt idx="411">
                  <c:v>131825.67385564081</c:v>
                </c:pt>
                <c:pt idx="412">
                  <c:v>134896.28825916545</c:v>
                </c:pt>
                <c:pt idx="413">
                  <c:v>138038.42646028858</c:v>
                </c:pt>
                <c:pt idx="414">
                  <c:v>141253.75446227577</c:v>
                </c:pt>
                <c:pt idx="415">
                  <c:v>144543.97707459307</c:v>
                </c:pt>
                <c:pt idx="416">
                  <c:v>147910.83881682079</c:v>
                </c:pt>
                <c:pt idx="417">
                  <c:v>151356.12484362084</c:v>
                </c:pt>
                <c:pt idx="418">
                  <c:v>154881.66189124843</c:v>
                </c:pt>
                <c:pt idx="419">
                  <c:v>158489.31924611164</c:v>
                </c:pt>
                <c:pt idx="420">
                  <c:v>162181.00973589328</c:v>
                </c:pt>
                <c:pt idx="421">
                  <c:v>165958.69074375604</c:v>
                </c:pt>
                <c:pt idx="422">
                  <c:v>169824.36524617471</c:v>
                </c:pt>
                <c:pt idx="423">
                  <c:v>173780.0828749378</c:v>
                </c:pt>
                <c:pt idx="424">
                  <c:v>177827.94100389251</c:v>
                </c:pt>
                <c:pt idx="425">
                  <c:v>181970.08586099857</c:v>
                </c:pt>
                <c:pt idx="426">
                  <c:v>186208.71366628664</c:v>
                </c:pt>
                <c:pt idx="427">
                  <c:v>190546.07179632492</c:v>
                </c:pt>
                <c:pt idx="428">
                  <c:v>194984.45997580473</c:v>
                </c:pt>
                <c:pt idx="429">
                  <c:v>199526.23149688813</c:v>
                </c:pt>
                <c:pt idx="430">
                  <c:v>204173.79446695308</c:v>
                </c:pt>
                <c:pt idx="431">
                  <c:v>208929.61308540447</c:v>
                </c:pt>
                <c:pt idx="432">
                  <c:v>213796.20895022334</c:v>
                </c:pt>
                <c:pt idx="433">
                  <c:v>218776.16239495538</c:v>
                </c:pt>
                <c:pt idx="434">
                  <c:v>223872.11385683404</c:v>
                </c:pt>
                <c:pt idx="435">
                  <c:v>229086.76527677779</c:v>
                </c:pt>
                <c:pt idx="436">
                  <c:v>234422.88153199267</c:v>
                </c:pt>
                <c:pt idx="437">
                  <c:v>239883.29190194907</c:v>
                </c:pt>
                <c:pt idx="438">
                  <c:v>245470.89156850305</c:v>
                </c:pt>
                <c:pt idx="439">
                  <c:v>251188.64315095844</c:v>
                </c:pt>
                <c:pt idx="440">
                  <c:v>257039.57827688678</c:v>
                </c:pt>
                <c:pt idx="441">
                  <c:v>263026.79918953858</c:v>
                </c:pt>
                <c:pt idx="442">
                  <c:v>269153.48039269145</c:v>
                </c:pt>
                <c:pt idx="443">
                  <c:v>275422.87033381703</c:v>
                </c:pt>
                <c:pt idx="444">
                  <c:v>281838.29312644573</c:v>
                </c:pt>
                <c:pt idx="445">
                  <c:v>288403.1503126609</c:v>
                </c:pt>
                <c:pt idx="446">
                  <c:v>295120.92266663886</c:v>
                </c:pt>
                <c:pt idx="447">
                  <c:v>301995.17204020242</c:v>
                </c:pt>
                <c:pt idx="448">
                  <c:v>309029.54325135931</c:v>
                </c:pt>
                <c:pt idx="449">
                  <c:v>316227.7660168382</c:v>
                </c:pt>
                <c:pt idx="450">
                  <c:v>323593.65692962846</c:v>
                </c:pt>
                <c:pt idx="451">
                  <c:v>331131.12148259126</c:v>
                </c:pt>
                <c:pt idx="452">
                  <c:v>338844.15613920329</c:v>
                </c:pt>
                <c:pt idx="453">
                  <c:v>346736.85045253241</c:v>
                </c:pt>
                <c:pt idx="454">
                  <c:v>354813.38923357555</c:v>
                </c:pt>
                <c:pt idx="455">
                  <c:v>363078.05477010203</c:v>
                </c:pt>
                <c:pt idx="456">
                  <c:v>371535.2290971732</c:v>
                </c:pt>
                <c:pt idx="457">
                  <c:v>380189.39632056188</c:v>
                </c:pt>
                <c:pt idx="458">
                  <c:v>389045.14499428123</c:v>
                </c:pt>
                <c:pt idx="459">
                  <c:v>398107.17055349716</c:v>
                </c:pt>
                <c:pt idx="460">
                  <c:v>407380.27780411334</c:v>
                </c:pt>
                <c:pt idx="461">
                  <c:v>416869.38347033598</c:v>
                </c:pt>
                <c:pt idx="462">
                  <c:v>426579.51880159322</c:v>
                </c:pt>
                <c:pt idx="463">
                  <c:v>436515.83224016649</c:v>
                </c:pt>
                <c:pt idx="464">
                  <c:v>446683.59215096442</c:v>
                </c:pt>
                <c:pt idx="465">
                  <c:v>457088.18961487547</c:v>
                </c:pt>
                <c:pt idx="466">
                  <c:v>467735.14128719864</c:v>
                </c:pt>
                <c:pt idx="467">
                  <c:v>478630.09232263872</c:v>
                </c:pt>
                <c:pt idx="468">
                  <c:v>489778.81936844654</c:v>
                </c:pt>
                <c:pt idx="469">
                  <c:v>501187.23362727347</c:v>
                </c:pt>
                <c:pt idx="470">
                  <c:v>512861.38399136515</c:v>
                </c:pt>
                <c:pt idx="471">
                  <c:v>524807.46024977288</c:v>
                </c:pt>
                <c:pt idx="472">
                  <c:v>537031.7963702539</c:v>
                </c:pt>
                <c:pt idx="473">
                  <c:v>549540.87385762564</c:v>
                </c:pt>
                <c:pt idx="474">
                  <c:v>562341.32519035018</c:v>
                </c:pt>
                <c:pt idx="475">
                  <c:v>575439.93733715697</c:v>
                </c:pt>
                <c:pt idx="476">
                  <c:v>588843.65535558888</c:v>
                </c:pt>
                <c:pt idx="477">
                  <c:v>602559.58607435878</c:v>
                </c:pt>
                <c:pt idx="478">
                  <c:v>616595.00186148309</c:v>
                </c:pt>
                <c:pt idx="479">
                  <c:v>630957.34448019415</c:v>
                </c:pt>
                <c:pt idx="480">
                  <c:v>645654.22903465747</c:v>
                </c:pt>
                <c:pt idx="481">
                  <c:v>660693.44800759677</c:v>
                </c:pt>
                <c:pt idx="482">
                  <c:v>676082.97539198259</c:v>
                </c:pt>
                <c:pt idx="483">
                  <c:v>691830.97091893724</c:v>
                </c:pt>
                <c:pt idx="484">
                  <c:v>707945.78438413853</c:v>
                </c:pt>
                <c:pt idx="485">
                  <c:v>724435.96007499192</c:v>
                </c:pt>
                <c:pt idx="486">
                  <c:v>741310.24130091805</c:v>
                </c:pt>
                <c:pt idx="487">
                  <c:v>758577.57502918423</c:v>
                </c:pt>
                <c:pt idx="488">
                  <c:v>776247.11662869214</c:v>
                </c:pt>
                <c:pt idx="489">
                  <c:v>794328.23472428333</c:v>
                </c:pt>
                <c:pt idx="490">
                  <c:v>812830.51616410096</c:v>
                </c:pt>
                <c:pt idx="491">
                  <c:v>831763.77110267128</c:v>
                </c:pt>
                <c:pt idx="492">
                  <c:v>851138.03820237669</c:v>
                </c:pt>
                <c:pt idx="493">
                  <c:v>870963.58995608077</c:v>
                </c:pt>
                <c:pt idx="494">
                  <c:v>891250.93813374708</c:v>
                </c:pt>
                <c:pt idx="495">
                  <c:v>912010.83935591124</c:v>
                </c:pt>
                <c:pt idx="496">
                  <c:v>933254.30079699249</c:v>
                </c:pt>
                <c:pt idx="497">
                  <c:v>954992.58602143743</c:v>
                </c:pt>
                <c:pt idx="498">
                  <c:v>977237.22095581202</c:v>
                </c:pt>
                <c:pt idx="499">
                  <c:v>1000000</c:v>
                </c:pt>
                <c:pt idx="500">
                  <c:v>1023292.9922807553</c:v>
                </c:pt>
                <c:pt idx="501">
                  <c:v>1047128.5480509007</c:v>
                </c:pt>
                <c:pt idx="502">
                  <c:v>1071519.3052376076</c:v>
                </c:pt>
                <c:pt idx="503">
                  <c:v>1096478.196143186</c:v>
                </c:pt>
                <c:pt idx="504">
                  <c:v>1122018.4543019643</c:v>
                </c:pt>
                <c:pt idx="505">
                  <c:v>1148153.6214968837</c:v>
                </c:pt>
                <c:pt idx="506">
                  <c:v>1174897.5549395324</c:v>
                </c:pt>
                <c:pt idx="507">
                  <c:v>1202264.4346174158</c:v>
                </c:pt>
                <c:pt idx="508">
                  <c:v>1230268.770812382</c:v>
                </c:pt>
                <c:pt idx="509">
                  <c:v>1258925.4117941677</c:v>
                </c:pt>
                <c:pt idx="510">
                  <c:v>1288249.5516931366</c:v>
                </c:pt>
                <c:pt idx="511">
                  <c:v>1318256.7385564097</c:v>
                </c:pt>
                <c:pt idx="512">
                  <c:v>1348962.8825916562</c:v>
                </c:pt>
                <c:pt idx="513">
                  <c:v>1380384.2646028849</c:v>
                </c:pt>
                <c:pt idx="514">
                  <c:v>1412537.5446227565</c:v>
                </c:pt>
                <c:pt idx="515">
                  <c:v>1445439.7707459298</c:v>
                </c:pt>
                <c:pt idx="516">
                  <c:v>1479108.3881682095</c:v>
                </c:pt>
                <c:pt idx="517">
                  <c:v>1513561.2484362102</c:v>
                </c:pt>
                <c:pt idx="518">
                  <c:v>1548816.6189124861</c:v>
                </c:pt>
                <c:pt idx="519">
                  <c:v>1584893.1924611153</c:v>
                </c:pt>
                <c:pt idx="520">
                  <c:v>1621810.0973589318</c:v>
                </c:pt>
                <c:pt idx="521">
                  <c:v>1659586.9074375622</c:v>
                </c:pt>
                <c:pt idx="522">
                  <c:v>1698243.6524617488</c:v>
                </c:pt>
                <c:pt idx="523">
                  <c:v>1737800.8287493798</c:v>
                </c:pt>
                <c:pt idx="524">
                  <c:v>1778279.4100389241</c:v>
                </c:pt>
                <c:pt idx="525">
                  <c:v>1819700.8586099846</c:v>
                </c:pt>
                <c:pt idx="526">
                  <c:v>1862087.1366628683</c:v>
                </c:pt>
                <c:pt idx="527">
                  <c:v>1905460.7179632513</c:v>
                </c:pt>
                <c:pt idx="528">
                  <c:v>1949844.5997580495</c:v>
                </c:pt>
                <c:pt idx="529">
                  <c:v>1995262.31496888</c:v>
                </c:pt>
                <c:pt idx="530">
                  <c:v>2041737.9446695296</c:v>
                </c:pt>
                <c:pt idx="531">
                  <c:v>2089296.1308540432</c:v>
                </c:pt>
                <c:pt idx="532">
                  <c:v>2137962.0895022359</c:v>
                </c:pt>
                <c:pt idx="533">
                  <c:v>2187761.6239495561</c:v>
                </c:pt>
                <c:pt idx="534">
                  <c:v>2238721.1385683389</c:v>
                </c:pt>
                <c:pt idx="535">
                  <c:v>2290867.6527677765</c:v>
                </c:pt>
                <c:pt idx="536">
                  <c:v>2344228.8153199251</c:v>
                </c:pt>
                <c:pt idx="537">
                  <c:v>2398832.9190194933</c:v>
                </c:pt>
                <c:pt idx="538">
                  <c:v>2454708.915685033</c:v>
                </c:pt>
                <c:pt idx="539">
                  <c:v>2511886.431509587</c:v>
                </c:pt>
                <c:pt idx="540">
                  <c:v>2570395.782768866</c:v>
                </c:pt>
                <c:pt idx="541">
                  <c:v>2630267.9918953842</c:v>
                </c:pt>
              </c:numCache>
            </c:numRef>
          </c:xVal>
          <c:yVal>
            <c:numRef>
              <c:f>Control_Loop_Tables!$BL$19:$BL$560</c:f>
              <c:numCache>
                <c:formatCode>General</c:formatCode>
                <c:ptCount val="542"/>
                <c:pt idx="0">
                  <c:v>87.532408216588664</c:v>
                </c:pt>
                <c:pt idx="1">
                  <c:v>87.560115672199927</c:v>
                </c:pt>
                <c:pt idx="2">
                  <c:v>87.588329660134349</c:v>
                </c:pt>
                <c:pt idx="3">
                  <c:v>87.616998913534914</c:v>
                </c:pt>
                <c:pt idx="4">
                  <c:v>87.646072997994992</c:v>
                </c:pt>
                <c:pt idx="5">
                  <c:v>87.675502449525538</c:v>
                </c:pt>
                <c:pt idx="6">
                  <c:v>87.705238899041504</c:v>
                </c:pt>
                <c:pt idx="7">
                  <c:v>87.735235183388284</c:v>
                </c:pt>
                <c:pt idx="8">
                  <c:v>87.765445443054745</c:v>
                </c:pt>
                <c:pt idx="9">
                  <c:v>87.795825206831537</c:v>
                </c:pt>
                <c:pt idx="10">
                  <c:v>87.826331463785152</c:v>
                </c:pt>
                <c:pt idx="11">
                  <c:v>87.856922722996899</c:v>
                </c:pt>
                <c:pt idx="12">
                  <c:v>87.887559061591645</c:v>
                </c:pt>
                <c:pt idx="13">
                  <c:v>87.91820216164885</c:v>
                </c:pt>
                <c:pt idx="14">
                  <c:v>87.948815336622673</c:v>
                </c:pt>
                <c:pt idx="15">
                  <c:v>87.979363547947472</c:v>
                </c:pt>
                <c:pt idx="16">
                  <c:v>88.009813412518568</c:v>
                </c:pt>
                <c:pt idx="17">
                  <c:v>88.040133201758124</c:v>
                </c:pt>
                <c:pt idx="18">
                  <c:v>88.070292832977785</c:v>
                </c:pt>
                <c:pt idx="19">
                  <c:v>88.10026385374745</c:v>
                </c:pt>
                <c:pt idx="20">
                  <c:v>88.130019419967226</c:v>
                </c:pt>
                <c:pt idx="21">
                  <c:v>88.159534268324251</c:v>
                </c:pt>
                <c:pt idx="22">
                  <c:v>88.188784683792036</c:v>
                </c:pt>
                <c:pt idx="23">
                  <c:v>88.21774846280519</c:v>
                </c:pt>
                <c:pt idx="24">
                  <c:v>88.246404872708993</c:v>
                </c:pt>
                <c:pt idx="25">
                  <c:v>88.274734608055851</c:v>
                </c:pt>
                <c:pt idx="26">
                  <c:v>88.302719744280907</c:v>
                </c:pt>
                <c:pt idx="27">
                  <c:v>88.330343689255102</c:v>
                </c:pt>
                <c:pt idx="28">
                  <c:v>88.357591133180222</c:v>
                </c:pt>
                <c:pt idx="29">
                  <c:v>88.384447997248316</c:v>
                </c:pt>
                <c:pt idx="30">
                  <c:v>88.41090138145853</c:v>
                </c:pt>
                <c:pt idx="31">
                  <c:v>88.436939511940849</c:v>
                </c:pt>
                <c:pt idx="32">
                  <c:v>88.462551688110182</c:v>
                </c:pt>
                <c:pt idx="33">
                  <c:v>88.48772822993449</c:v>
                </c:pt>
                <c:pt idx="34">
                  <c:v>88.512460425571007</c:v>
                </c:pt>
                <c:pt idx="35">
                  <c:v>88.536740479596617</c:v>
                </c:pt>
                <c:pt idx="36">
                  <c:v>88.560561462025561</c:v>
                </c:pt>
                <c:pt idx="37">
                  <c:v>88.583917258285439</c:v>
                </c:pt>
                <c:pt idx="38">
                  <c:v>88.606802520293968</c:v>
                </c:pt>
                <c:pt idx="39">
                  <c:v>88.629212618759624</c:v>
                </c:pt>
                <c:pt idx="40">
                  <c:v>88.651143596804587</c:v>
                </c:pt>
                <c:pt idx="41">
                  <c:v>88.672592124989905</c:v>
                </c:pt>
                <c:pt idx="42">
                  <c:v>88.693555457809637</c:v>
                </c:pt>
                <c:pt idx="43">
                  <c:v>88.714031391696182</c:v>
                </c:pt>
                <c:pt idx="44">
                  <c:v>88.734018224573191</c:v>
                </c:pt>
                <c:pt idx="45">
                  <c:v>88.753514716973996</c:v>
                </c:pt>
                <c:pt idx="46">
                  <c:v>88.772520054734898</c:v>
                </c:pt>
                <c:pt idx="47">
                  <c:v>88.791033813261365</c:v>
                </c:pt>
                <c:pt idx="48">
                  <c:v>88.809055923356894</c:v>
                </c:pt>
                <c:pt idx="49">
                  <c:v>88.826586638595927</c:v>
                </c:pt>
                <c:pt idx="50">
                  <c:v>88.843626504217468</c:v>
                </c:pt>
                <c:pt idx="51">
                  <c:v>88.86017632750729</c:v>
                </c:pt>
                <c:pt idx="52">
                  <c:v>88.876237149635017</c:v>
                </c:pt>
                <c:pt idx="53">
                  <c:v>88.891810218906741</c:v>
                </c:pt>
                <c:pt idx="54">
                  <c:v>88.906896965391283</c:v>
                </c:pt>
                <c:pt idx="55">
                  <c:v>88.921498976874361</c:v>
                </c:pt>
                <c:pt idx="56">
                  <c:v>88.935617976096125</c:v>
                </c:pt>
                <c:pt idx="57">
                  <c:v>88.94925579922149</c:v>
                </c:pt>
                <c:pt idx="58">
                  <c:v>88.962414375497033</c:v>
                </c:pt>
                <c:pt idx="59">
                  <c:v>88.97509570804236</c:v>
                </c:pt>
                <c:pt idx="60">
                  <c:v>88.987301855728546</c:v>
                </c:pt>
                <c:pt idx="61">
                  <c:v>88.999034916092214</c:v>
                </c:pt>
                <c:pt idx="62">
                  <c:v>89.010297009237846</c:v>
                </c:pt>
                <c:pt idx="63">
                  <c:v>89.021090262678456</c:v>
                </c:pt>
                <c:pt idx="64">
                  <c:v>89.031416797068289</c:v>
                </c:pt>
                <c:pt idx="65">
                  <c:v>89.041278712778777</c:v>
                </c:pt>
                <c:pt idx="66">
                  <c:v>89.050678077274981</c:v>
                </c:pt>
                <c:pt idx="67">
                  <c:v>89.059616913245932</c:v>
                </c:pt>
                <c:pt idx="68">
                  <c:v>89.068097187447393</c:v>
                </c:pt>
                <c:pt idx="69">
                  <c:v>89.076120800214014</c:v>
                </c:pt>
                <c:pt idx="70">
                  <c:v>89.083689575602037</c:v>
                </c:pt>
                <c:pt idx="71">
                  <c:v>89.090805252123005</c:v>
                </c:pt>
                <c:pt idx="72">
                  <c:v>89.097469474031314</c:v>
                </c:pt>
                <c:pt idx="73">
                  <c:v>89.103683783130904</c:v>
                </c:pt>
                <c:pt idx="74">
                  <c:v>89.109449611064193</c:v>
                </c:pt>
                <c:pt idx="75">
                  <c:v>89.114768272054164</c:v>
                </c:pt>
                <c:pt idx="76">
                  <c:v>89.119640956064785</c:v>
                </c:pt>
                <c:pt idx="77">
                  <c:v>89.124068722351566</c:v>
                </c:pt>
                <c:pt idx="78">
                  <c:v>89.128052493374327</c:v>
                </c:pt>
                <c:pt idx="79">
                  <c:v>89.131593049042721</c:v>
                </c:pt>
                <c:pt idx="80">
                  <c:v>89.134691021270839</c:v>
                </c:pt>
                <c:pt idx="81">
                  <c:v>89.137346888815358</c:v>
                </c:pt>
                <c:pt idx="82">
                  <c:v>89.139560972373644</c:v>
                </c:pt>
                <c:pt idx="83">
                  <c:v>89.141333429920138</c:v>
                </c:pt>
                <c:pt idx="84">
                  <c:v>89.142664252259564</c:v>
                </c:pt>
                <c:pt idx="85">
                  <c:v>89.143553258777501</c:v>
                </c:pt>
                <c:pt idx="86">
                  <c:v>89.144000093368547</c:v>
                </c:pt>
                <c:pt idx="87">
                  <c:v>89.144004220525389</c:v>
                </c:pt>
                <c:pt idx="88">
                  <c:v>89.143564921570473</c:v>
                </c:pt>
                <c:pt idx="89">
                  <c:v>89.142681291015492</c:v>
                </c:pt>
                <c:pt idx="90">
                  <c:v>89.141352233032379</c:v>
                </c:pt>
                <c:pt idx="91">
                  <c:v>89.13957645802229</c:v>
                </c:pt>
                <c:pt idx="92">
                  <c:v>89.13735247926877</c:v>
                </c:pt>
                <c:pt idx="93">
                  <c:v>89.134678609661989</c:v>
                </c:pt>
                <c:pt idx="94">
                  <c:v>89.131552958482075</c:v>
                </c:pt>
                <c:pt idx="95">
                  <c:v>89.127973428230348</c:v>
                </c:pt>
                <c:pt idx="96">
                  <c:v>89.123937711497177</c:v>
                </c:pt>
                <c:pt idx="97">
                  <c:v>89.119443287856683</c:v>
                </c:pt>
                <c:pt idx="98">
                  <c:v>89.114487420777635</c:v>
                </c:pt>
                <c:pt idx="99">
                  <c:v>89.109067154543126</c:v>
                </c:pt>
                <c:pt idx="100">
                  <c:v>89.103179311168276</c:v>
                </c:pt>
                <c:pt idx="101">
                  <c:v>89.096820487309344</c:v>
                </c:pt>
                <c:pt idx="102">
                  <c:v>89.089987051155845</c:v>
                </c:pt>
                <c:pt idx="103">
                  <c:v>89.082675139298033</c:v>
                </c:pt>
                <c:pt idx="104">
                  <c:v>89.074880653563909</c:v>
                </c:pt>
                <c:pt idx="105">
                  <c:v>89.066599257817671</c:v>
                </c:pt>
                <c:pt idx="106">
                  <c:v>89.057826374714423</c:v>
                </c:pt>
                <c:pt idx="107">
                  <c:v>89.048557182404977</c:v>
                </c:pt>
                <c:pt idx="108">
                  <c:v>89.038786611185117</c:v>
                </c:pt>
                <c:pt idx="109">
                  <c:v>89.028509340083659</c:v>
                </c:pt>
                <c:pt idx="110">
                  <c:v>89.017719793385027</c:v>
                </c:pt>
                <c:pt idx="111">
                  <c:v>89.006412137080574</c:v>
                </c:pt>
                <c:pt idx="112">
                  <c:v>88.994580275245099</c:v>
                </c:pt>
                <c:pt idx="113">
                  <c:v>88.982217846333569</c:v>
                </c:pt>
                <c:pt idx="114">
                  <c:v>88.969318219393898</c:v>
                </c:pt>
                <c:pt idx="115">
                  <c:v>88.955874490192627</c:v>
                </c:pt>
                <c:pt idx="116">
                  <c:v>88.941879477248804</c:v>
                </c:pt>
                <c:pt idx="117">
                  <c:v>88.9273257177734</c:v>
                </c:pt>
                <c:pt idx="118">
                  <c:v>88.912205463510233</c:v>
                </c:pt>
                <c:pt idx="119">
                  <c:v>88.89651067647614</c:v>
                </c:pt>
                <c:pt idx="120">
                  <c:v>88.880233024596066</c:v>
                </c:pt>
                <c:pt idx="121">
                  <c:v>88.863363877231805</c:v>
                </c:pt>
                <c:pt idx="122">
                  <c:v>88.845894300600406</c:v>
                </c:pt>
                <c:pt idx="123">
                  <c:v>88.827815053080315</c:v>
                </c:pt>
                <c:pt idx="124">
                  <c:v>88.809116580403014</c:v>
                </c:pt>
                <c:pt idx="125">
                  <c:v>88.789789010727702</c:v>
                </c:pt>
                <c:pt idx="126">
                  <c:v>88.769822149596578</c:v>
                </c:pt>
                <c:pt idx="127">
                  <c:v>88.749205474769795</c:v>
                </c:pt>
                <c:pt idx="128">
                  <c:v>88.7279281309373</c:v>
                </c:pt>
                <c:pt idx="129">
                  <c:v>88.705978924306194</c:v>
                </c:pt>
                <c:pt idx="130">
                  <c:v>88.683346317062899</c:v>
                </c:pt>
                <c:pt idx="131">
                  <c:v>88.660018421707377</c:v>
                </c:pt>
                <c:pt idx="132">
                  <c:v>88.635982995259809</c:v>
                </c:pt>
                <c:pt idx="133">
                  <c:v>88.611227433337234</c:v>
                </c:pt>
                <c:pt idx="134">
                  <c:v>88.585738764100583</c:v>
                </c:pt>
                <c:pt idx="135">
                  <c:v>88.559503642070709</c:v>
                </c:pt>
                <c:pt idx="136">
                  <c:v>88.532508341812928</c:v>
                </c:pt>
                <c:pt idx="137">
                  <c:v>88.504738751490308</c:v>
                </c:pt>
                <c:pt idx="138">
                  <c:v>88.476180366284908</c:v>
                </c:pt>
                <c:pt idx="139">
                  <c:v>88.446818281687612</c:v>
                </c:pt>
                <c:pt idx="140">
                  <c:v>88.416637186656459</c:v>
                </c:pt>
                <c:pt idx="141">
                  <c:v>88.385621356644506</c:v>
                </c:pt>
                <c:pt idx="142">
                  <c:v>88.353754646496967</c:v>
                </c:pt>
                <c:pt idx="143">
                  <c:v>88.321020483220124</c:v>
                </c:pt>
                <c:pt idx="144">
                  <c:v>88.287401858621607</c:v>
                </c:pt>
                <c:pt idx="145">
                  <c:v>88.252881321824773</c:v>
                </c:pt>
                <c:pt idx="146">
                  <c:v>88.217440971658235</c:v>
                </c:pt>
                <c:pt idx="147">
                  <c:v>88.181062448922731</c:v>
                </c:pt>
                <c:pt idx="148">
                  <c:v>88.14372692853766</c:v>
                </c:pt>
                <c:pt idx="149">
                  <c:v>88.105415111570181</c:v>
                </c:pt>
                <c:pt idx="150">
                  <c:v>88.066107217148897</c:v>
                </c:pt>
                <c:pt idx="151">
                  <c:v>88.025782974266392</c:v>
                </c:pt>
                <c:pt idx="152">
                  <c:v>87.98442161347316</c:v>
                </c:pt>
                <c:pt idx="153">
                  <c:v>87.942001858467393</c:v>
                </c:pt>
                <c:pt idx="154">
                  <c:v>87.898501917585051</c:v>
                </c:pt>
                <c:pt idx="155">
                  <c:v>87.853899475192989</c:v>
                </c:pt>
                <c:pt idx="156">
                  <c:v>87.808171682992324</c:v>
                </c:pt>
                <c:pt idx="157">
                  <c:v>87.761295151235359</c:v>
                </c:pt>
                <c:pt idx="158">
                  <c:v>87.713245939862375</c:v>
                </c:pt>
                <c:pt idx="159">
                  <c:v>87.663999549563073</c:v>
                </c:pt>
                <c:pt idx="160">
                  <c:v>87.61353091276996</c:v>
                </c:pt>
                <c:pt idx="161">
                  <c:v>87.561814384589198</c:v>
                </c:pt>
                <c:pt idx="162">
                  <c:v>87.508823733674603</c:v>
                </c:pt>
                <c:pt idx="163">
                  <c:v>87.454532133053505</c:v>
                </c:pt>
                <c:pt idx="164">
                  <c:v>87.398912150909524</c:v>
                </c:pt>
                <c:pt idx="165">
                  <c:v>87.341935741329436</c:v>
                </c:pt>
                <c:pt idx="166">
                  <c:v>87.28357423502311</c:v>
                </c:pt>
                <c:pt idx="167">
                  <c:v>87.223798330020344</c:v>
                </c:pt>
                <c:pt idx="168">
                  <c:v>87.162578082354543</c:v>
                </c:pt>
                <c:pt idx="169">
                  <c:v>87.099882896738194</c:v>
                </c:pt>
                <c:pt idx="170">
                  <c:v>87.035681517237975</c:v>
                </c:pt>
                <c:pt idx="171">
                  <c:v>86.969942017954224</c:v>
                </c:pt>
                <c:pt idx="172">
                  <c:v>86.902631793712146</c:v>
                </c:pt>
                <c:pt idx="173">
                  <c:v>86.83371755076854</c:v>
                </c:pt>
                <c:pt idx="174">
                  <c:v>86.76316529753862</c:v>
                </c:pt>
                <c:pt idx="175">
                  <c:v>86.690940335346525</c:v>
                </c:pt>
                <c:pt idx="176">
                  <c:v>86.617007249201549</c:v>
                </c:pt>
                <c:pt idx="177">
                  <c:v>86.541329898599784</c:v>
                </c:pt>
                <c:pt idx="178">
                  <c:v>86.463871408352603</c:v>
                </c:pt>
                <c:pt idx="179">
                  <c:v>86.384594159435593</c:v>
                </c:pt>
                <c:pt idx="180">
                  <c:v>86.303459779857036</c:v>
                </c:pt>
                <c:pt idx="181">
                  <c:v>86.220429135534303</c:v>
                </c:pt>
                <c:pt idx="182">
                  <c:v>86.135462321171758</c:v>
                </c:pt>
                <c:pt idx="183">
                  <c:v>86.048518651123359</c:v>
                </c:pt>
                <c:pt idx="184">
                  <c:v>85.959556650225437</c:v>
                </c:pt>
                <c:pt idx="185">
                  <c:v>85.868534044577061</c:v>
                </c:pt>
                <c:pt idx="186">
                  <c:v>85.775407752243368</c:v>
                </c:pt>
                <c:pt idx="187">
                  <c:v>85.680133873853052</c:v>
                </c:pt>
                <c:pt idx="188">
                  <c:v>85.582667683052208</c:v>
                </c:pt>
                <c:pt idx="189">
                  <c:v>85.48296361677599</c:v>
                </c:pt>
                <c:pt idx="190">
                  <c:v>85.38097526529036</c:v>
                </c:pt>
                <c:pt idx="191">
                  <c:v>85.276655361950787</c:v>
                </c:pt>
                <c:pt idx="192">
                  <c:v>85.169955772617001</c:v>
                </c:pt>
                <c:pt idx="193">
                  <c:v>85.060827484658247</c:v>
                </c:pt>
                <c:pt idx="194">
                  <c:v>84.9492205954691</c:v>
                </c:pt>
                <c:pt idx="195">
                  <c:v>84.835084300418998</c:v>
                </c:pt>
                <c:pt idx="196">
                  <c:v>84.718366880137992</c:v>
                </c:pt>
                <c:pt idx="197">
                  <c:v>84.599015687042211</c:v>
                </c:pt>
                <c:pt idx="198">
                  <c:v>84.476977130987166</c:v>
                </c:pt>
                <c:pt idx="199">
                  <c:v>84.352196663935914</c:v>
                </c:pt>
                <c:pt idx="200">
                  <c:v>84.224618763509753</c:v>
                </c:pt>
                <c:pt idx="201">
                  <c:v>84.094186915293932</c:v>
                </c:pt>
                <c:pt idx="202">
                  <c:v>83.960843593749345</c:v>
                </c:pt>
                <c:pt idx="203">
                  <c:v>83.824530241587055</c:v>
                </c:pt>
                <c:pt idx="204">
                  <c:v>83.685187247443679</c:v>
                </c:pt>
                <c:pt idx="205">
                  <c:v>83.542753921699145</c:v>
                </c:pt>
                <c:pt idx="206">
                  <c:v>83.397168470270131</c:v>
                </c:pt>
                <c:pt idx="207">
                  <c:v>83.248367966208775</c:v>
                </c:pt>
                <c:pt idx="208">
                  <c:v>83.096288318938335</c:v>
                </c:pt>
                <c:pt idx="209">
                  <c:v>82.940864240953005</c:v>
                </c:pt>
                <c:pt idx="210">
                  <c:v>82.782029211821367</c:v>
                </c:pt>
                <c:pt idx="211">
                  <c:v>82.619715439324395</c:v>
                </c:pt>
                <c:pt idx="212">
                  <c:v>82.453853817584246</c:v>
                </c:pt>
                <c:pt idx="213">
                  <c:v>82.284373882038764</c:v>
                </c:pt>
                <c:pt idx="214">
                  <c:v>82.111203761135087</c:v>
                </c:pt>
                <c:pt idx="215">
                  <c:v>81.934270124641031</c:v>
                </c:pt>
                <c:pt idx="216">
                  <c:v>81.753498128479961</c:v>
                </c:pt>
                <c:pt idx="217">
                  <c:v>81.568811356042531</c:v>
                </c:pt>
                <c:pt idx="218">
                  <c:v>81.38013175593305</c:v>
                </c:pt>
                <c:pt idx="219">
                  <c:v>81.187379576166578</c:v>
                </c:pt>
                <c:pt idx="220">
                  <c:v>80.990473294854894</c:v>
                </c:pt>
                <c:pt idx="221">
                  <c:v>80.789329547460341</c:v>
                </c:pt>
                <c:pt idx="222">
                  <c:v>80.583863050756094</c:v>
                </c:pt>
                <c:pt idx="223">
                  <c:v>80.373986523659454</c:v>
                </c:pt>
                <c:pt idx="224">
                  <c:v>80.159610605170315</c:v>
                </c:pt>
                <c:pt idx="225">
                  <c:v>79.940643769687981</c:v>
                </c:pt>
                <c:pt idx="226">
                  <c:v>79.716992240043709</c:v>
                </c:pt>
                <c:pt idx="227">
                  <c:v>79.488559898628083</c:v>
                </c:pt>
                <c:pt idx="228">
                  <c:v>79.255248197056687</c:v>
                </c:pt>
                <c:pt idx="229">
                  <c:v>79.016956064863962</c:v>
                </c:pt>
                <c:pt idx="230">
                  <c:v>78.77357981776747</c:v>
                </c:pt>
                <c:pt idx="231">
                  <c:v>78.525013066087453</c:v>
                </c:pt>
                <c:pt idx="232">
                  <c:v>78.271146623963119</c:v>
                </c:pt>
                <c:pt idx="233">
                  <c:v>78.011868420022964</c:v>
                </c:pt>
                <c:pt idx="234">
                  <c:v>77.7470634102216</c:v>
                </c:pt>
                <c:pt idx="235">
                  <c:v>77.476613493564031</c:v>
                </c:pt>
                <c:pt idx="236">
                  <c:v>77.200397431463657</c:v>
                </c:pt>
                <c:pt idx="237">
                  <c:v>76.918290771491755</c:v>
                </c:pt>
                <c:pt idx="238">
                  <c:v>76.630165776266296</c:v>
                </c:pt>
                <c:pt idx="239">
                  <c:v>76.335891358239124</c:v>
                </c:pt>
                <c:pt idx="240">
                  <c:v>76.035333021105544</c:v>
                </c:pt>
                <c:pt idx="241">
                  <c:v>75.728352808545324</c:v>
                </c:pt>
                <c:pt idx="242">
                  <c:v>75.414809260975915</c:v>
                </c:pt>
                <c:pt idx="243">
                  <c:v>75.094557380947393</c:v>
                </c:pt>
                <c:pt idx="244">
                  <c:v>74.767448607768841</c:v>
                </c:pt>
                <c:pt idx="245">
                  <c:v>74.433330801906678</c:v>
                </c:pt>
                <c:pt idx="246">
                  <c:v>74.092048239631978</c:v>
                </c:pt>
                <c:pt idx="247">
                  <c:v>73.743441618339119</c:v>
                </c:pt>
                <c:pt idx="248">
                  <c:v>73.387348072896927</c:v>
                </c:pt>
                <c:pt idx="249">
                  <c:v>73.023601203333811</c:v>
                </c:pt>
                <c:pt idx="250">
                  <c:v>72.652031114088643</c:v>
                </c:pt>
                <c:pt idx="251">
                  <c:v>72.272464465022935</c:v>
                </c:pt>
                <c:pt idx="252">
                  <c:v>71.884724534314188</c:v>
                </c:pt>
                <c:pt idx="253">
                  <c:v>71.488631293319457</c:v>
                </c:pt>
                <c:pt idx="254">
                  <c:v>71.084001493447104</c:v>
                </c:pt>
                <c:pt idx="255">
                  <c:v>70.670648765052704</c:v>
                </c:pt>
                <c:pt idx="256">
                  <c:v>70.248383728335014</c:v>
                </c:pt>
                <c:pt idx="257">
                  <c:v>69.817014116203794</c:v>
                </c:pt>
                <c:pt idx="258">
                  <c:v>69.376344909079847</c:v>
                </c:pt>
                <c:pt idx="259">
                  <c:v>68.926178481582227</c:v>
                </c:pt>
                <c:pt idx="260">
                  <c:v>68.466314761077925</c:v>
                </c:pt>
                <c:pt idx="261">
                  <c:v>67.996551398078637</c:v>
                </c:pt>
                <c:pt idx="262">
                  <c:v>67.516683948495285</c:v>
                </c:pt>
                <c:pt idx="263">
                  <c:v>67.026506067796561</c:v>
                </c:pt>
                <c:pt idx="264">
                  <c:v>66.525809717149698</c:v>
                </c:pt>
                <c:pt idx="265">
                  <c:v>66.014385381667395</c:v>
                </c:pt>
                <c:pt idx="266">
                  <c:v>65.492022300920368</c:v>
                </c:pt>
                <c:pt idx="267">
                  <c:v>64.958508711934655</c:v>
                </c:pt>
                <c:pt idx="268">
                  <c:v>64.413632104925426</c:v>
                </c:pt>
                <c:pt idx="269">
                  <c:v>63.857179492071289</c:v>
                </c:pt>
                <c:pt idx="270">
                  <c:v>63.288937689669304</c:v>
                </c:pt>
                <c:pt idx="271">
                  <c:v>62.708693614059584</c:v>
                </c:pt>
                <c:pt idx="272">
                  <c:v>62.11623459172408</c:v>
                </c:pt>
                <c:pt idx="273">
                  <c:v>61.511348684008858</c:v>
                </c:pt>
                <c:pt idx="274">
                  <c:v>60.893825026917796</c:v>
                </c:pt>
                <c:pt idx="275">
                  <c:v>60.26345418644928</c:v>
                </c:pt>
                <c:pt idx="276">
                  <c:v>59.620028529935574</c:v>
                </c:pt>
                <c:pt idx="277">
                  <c:v>58.96334261383911</c:v>
                </c:pt>
                <c:pt idx="278">
                  <c:v>58.293193588419797</c:v>
                </c:pt>
                <c:pt idx="279">
                  <c:v>57.60938161967173</c:v>
                </c:pt>
                <c:pt idx="280">
                  <c:v>56.911710328848891</c:v>
                </c:pt>
                <c:pt idx="281">
                  <c:v>56.199987249856271</c:v>
                </c:pt>
                <c:pt idx="282">
                  <c:v>55.474024304681372</c:v>
                </c:pt>
                <c:pt idx="283">
                  <c:v>54.733638296957956</c:v>
                </c:pt>
                <c:pt idx="284">
                  <c:v>53.978651423639647</c:v>
                </c:pt>
                <c:pt idx="285">
                  <c:v>53.208891804619334</c:v>
                </c:pt>
                <c:pt idx="286">
                  <c:v>52.424194030010369</c:v>
                </c:pt>
                <c:pt idx="287">
                  <c:v>51.624399724623522</c:v>
                </c:pt>
                <c:pt idx="288">
                  <c:v>50.80935812902127</c:v>
                </c:pt>
                <c:pt idx="289">
                  <c:v>49.978926696315717</c:v>
                </c:pt>
                <c:pt idx="290">
                  <c:v>49.132971703710766</c:v>
                </c:pt>
                <c:pt idx="291">
                  <c:v>48.271368877537427</c:v>
                </c:pt>
                <c:pt idx="292">
                  <c:v>47.394004030326997</c:v>
                </c:pt>
                <c:pt idx="293">
                  <c:v>46.500773708226575</c:v>
                </c:pt>
                <c:pt idx="294">
                  <c:v>45.591585846807988</c:v>
                </c:pt>
                <c:pt idx="295">
                  <c:v>44.666360433078147</c:v>
                </c:pt>
                <c:pt idx="296">
                  <c:v>43.725030171233342</c:v>
                </c:pt>
                <c:pt idx="297">
                  <c:v>42.767541149448718</c:v>
                </c:pt>
                <c:pt idx="298">
                  <c:v>41.793853504729597</c:v>
                </c:pt>
                <c:pt idx="299">
                  <c:v>40.803942082600969</c:v>
                </c:pt>
                <c:pt idx="300">
                  <c:v>39.797797088158553</c:v>
                </c:pt>
                <c:pt idx="301">
                  <c:v>38.775424724775249</c:v>
                </c:pt>
                <c:pt idx="302">
                  <c:v>37.736847816522292</c:v>
                </c:pt>
                <c:pt idx="303">
                  <c:v>36.682106410173681</c:v>
                </c:pt>
                <c:pt idx="304">
                  <c:v>35.611258352464063</c:v>
                </c:pt>
                <c:pt idx="305">
                  <c:v>34.524379838128354</c:v>
                </c:pt>
                <c:pt idx="306">
                  <c:v>33.421565924109885</c:v>
                </c:pt>
                <c:pt idx="307">
                  <c:v>32.302931005248993</c:v>
                </c:pt>
                <c:pt idx="308">
                  <c:v>31.168609246690593</c:v>
                </c:pt>
                <c:pt idx="309">
                  <c:v>30.01875496825588</c:v>
                </c:pt>
                <c:pt idx="310">
                  <c:v>28.853542976040799</c:v>
                </c:pt>
                <c:pt idx="311">
                  <c:v>27.673168836596659</c:v>
                </c:pt>
                <c:pt idx="312">
                  <c:v>26.477849089170967</c:v>
                </c:pt>
                <c:pt idx="313">
                  <c:v>25.267821391675547</c:v>
                </c:pt>
                <c:pt idx="314">
                  <c:v>24.043344596285731</c:v>
                </c:pt>
                <c:pt idx="315">
                  <c:v>22.804698750861448</c:v>
                </c:pt>
                <c:pt idx="316">
                  <c:v>21.552185022727823</c:v>
                </c:pt>
                <c:pt idx="317">
                  <c:v>20.286125541754362</c:v>
                </c:pt>
                <c:pt idx="318">
                  <c:v>19.006863160108217</c:v>
                </c:pt>
                <c:pt idx="319">
                  <c:v>17.714761126560841</c:v>
                </c:pt>
                <c:pt idx="320">
                  <c:v>16.410202673762242</c:v>
                </c:pt>
                <c:pt idx="321">
                  <c:v>15.093590517471215</c:v>
                </c:pt>
                <c:pt idx="322">
                  <c:v>13.765346267349178</c:v>
                </c:pt>
                <c:pt idx="323">
                  <c:v>12.425909749553128</c:v>
                </c:pt>
                <c:pt idx="324">
                  <c:v>11.07573824203185</c:v>
                </c:pt>
                <c:pt idx="325">
                  <c:v>9.7153056241033706</c:v>
                </c:pt>
                <c:pt idx="326">
                  <c:v>8.3451014425689394</c:v>
                </c:pt>
                <c:pt idx="327">
                  <c:v>6.9656298972971378</c:v>
                </c:pt>
                <c:pt idx="328">
                  <c:v>5.5774087498948584</c:v>
                </c:pt>
                <c:pt idx="329">
                  <c:v>4.180968159711143</c:v>
                </c:pt>
                <c:pt idx="330">
                  <c:v>2.7768494520841682</c:v>
                </c:pt>
                <c:pt idx="331">
                  <c:v>1.3656038242977075</c:v>
                </c:pt>
                <c:pt idx="332">
                  <c:v>-5.2209004693293204E-2</c:v>
                </c:pt>
                <c:pt idx="333">
                  <c:v>-1.4760221942293441</c:v>
                </c:pt>
                <c:pt idx="334">
                  <c:v>-2.9052632245834782</c:v>
                </c:pt>
                <c:pt idx="335">
                  <c:v>-4.3393553748687239</c:v>
                </c:pt>
                <c:pt idx="336">
                  <c:v>-5.777719228463388</c:v>
                </c:pt>
                <c:pt idx="337">
                  <c:v>-7.2197741979527308</c:v>
                </c:pt>
                <c:pt idx="338">
                  <c:v>-8.6649400613677159</c:v>
                </c:pt>
                <c:pt idx="339">
                  <c:v>-10.112638501389936</c:v>
                </c:pt>
                <c:pt idx="340">
                  <c:v>-11.562294639138548</c:v>
                </c:pt>
                <c:pt idx="341">
                  <c:v>-13.013338554182891</c:v>
                </c:pt>
                <c:pt idx="342">
                  <c:v>-14.465206782511801</c:v>
                </c:pt>
                <c:pt idx="343">
                  <c:v>-15.917343784378815</c:v>
                </c:pt>
                <c:pt idx="344">
                  <c:v>-17.369203374178586</c:v>
                </c:pt>
                <c:pt idx="345">
                  <c:v>-18.820250104814484</c:v>
                </c:pt>
                <c:pt idx="346">
                  <c:v>-20.269960599409156</c:v>
                </c:pt>
                <c:pt idx="347">
                  <c:v>-21.717824823618116</c:v>
                </c:pt>
                <c:pt idx="348">
                  <c:v>-23.163347292331526</c:v>
                </c:pt>
                <c:pt idx="349">
                  <c:v>-24.606048205036231</c:v>
                </c:pt>
                <c:pt idx="350">
                  <c:v>-26.045464504735694</c:v>
                </c:pt>
                <c:pt idx="351">
                  <c:v>-27.481150855891805</c:v>
                </c:pt>
                <c:pt idx="352">
                  <c:v>-28.912680537522615</c:v>
                </c:pt>
                <c:pt idx="353">
                  <c:v>-30.33964624820949</c:v>
                </c:pt>
                <c:pt idx="354">
                  <c:v>-31.761660820475434</c:v>
                </c:pt>
                <c:pt idx="355">
                  <c:v>-33.17835784260253</c:v>
                </c:pt>
                <c:pt idx="356">
                  <c:v>-34.589392186682815</c:v>
                </c:pt>
                <c:pt idx="357">
                  <c:v>-35.994440442293495</c:v>
                </c:pt>
                <c:pt idx="358">
                  <c:v>-37.393201255845341</c:v>
                </c:pt>
                <c:pt idx="359">
                  <c:v>-38.785395576241399</c:v>
                </c:pt>
                <c:pt idx="360">
                  <c:v>-40.170766808064535</c:v>
                </c:pt>
                <c:pt idx="361">
                  <c:v>-41.549080874027254</c:v>
                </c:pt>
                <c:pt idx="362">
                  <c:v>-42.920126188934049</c:v>
                </c:pt>
                <c:pt idx="363">
                  <c:v>-44.283713547824277</c:v>
                </c:pt>
                <c:pt idx="364">
                  <c:v>-45.639675931379081</c:v>
                </c:pt>
                <c:pt idx="365">
                  <c:v>-46.987868232018286</c:v>
                </c:pt>
                <c:pt idx="366">
                  <c:v>-48.328166904404171</c:v>
                </c:pt>
                <c:pt idx="367">
                  <c:v>-49.66046954431966</c:v>
                </c:pt>
                <c:pt idx="368">
                  <c:v>-50.984694400078858</c:v>
                </c:pt>
                <c:pt idx="369">
                  <c:v>-52.300779820773826</c:v>
                </c:pt>
                <c:pt idx="370">
                  <c:v>-53.608683645758497</c:v>
                </c:pt>
                <c:pt idx="371">
                  <c:v>-54.908382539822263</c:v>
                </c:pt>
                <c:pt idx="372">
                  <c:v>-56.199871278526068</c:v>
                </c:pt>
                <c:pt idx="373">
                  <c:v>-57.483161988127392</c:v>
                </c:pt>
                <c:pt idx="374">
                  <c:v>-58.758283344491758</c:v>
                </c:pt>
                <c:pt idx="375">
                  <c:v>-60.025279735270523</c:v>
                </c:pt>
                <c:pt idx="376">
                  <c:v>-61.28421038952974</c:v>
                </c:pt>
                <c:pt idx="377">
                  <c:v>-62.535148478874916</c:v>
                </c:pt>
                <c:pt idx="378">
                  <c:v>-63.778180193962918</c:v>
                </c:pt>
                <c:pt idx="379">
                  <c:v>-65.01340380014507</c:v>
                </c:pt>
                <c:pt idx="380">
                  <c:v>-66.240928675793327</c:v>
                </c:pt>
                <c:pt idx="381">
                  <c:v>-67.460874336715165</c:v>
                </c:pt>
                <c:pt idx="382">
                  <c:v>-68.673369449875437</c:v>
                </c:pt>
                <c:pt idx="383">
                  <c:v>-69.878550839481548</c:v>
                </c:pt>
                <c:pt idx="384">
                  <c:v>-71.076562488328364</c:v>
                </c:pt>
                <c:pt idx="385">
                  <c:v>-72.267554537150247</c:v>
                </c:pt>
                <c:pt idx="386">
                  <c:v>-73.451682284590703</c:v>
                </c:pt>
                <c:pt idx="387">
                  <c:v>-74.629105190276462</c:v>
                </c:pt>
                <c:pt idx="388">
                  <c:v>-75.799985883377857</c:v>
                </c:pt>
                <c:pt idx="389">
                  <c:v>-76.964489178947304</c:v>
                </c:pt>
                <c:pt idx="390">
                  <c:v>-78.122781104258607</c:v>
                </c:pt>
                <c:pt idx="391">
                  <c:v>-79.275027937315471</c:v>
                </c:pt>
                <c:pt idx="392">
                  <c:v>-80.42139525966445</c:v>
                </c:pt>
                <c:pt idx="393">
                  <c:v>-81.56204702563285</c:v>
                </c:pt>
                <c:pt idx="394">
                  <c:v>-82.697144650108825</c:v>
                </c:pt>
                <c:pt idx="395">
                  <c:v>-83.826846117002447</c:v>
                </c:pt>
                <c:pt idx="396">
                  <c:v>-84.951305110549669</c:v>
                </c:pt>
                <c:pt idx="397">
                  <c:v>-86.070670171670699</c:v>
                </c:pt>
                <c:pt idx="398">
                  <c:v>-87.185083881638008</c:v>
                </c:pt>
                <c:pt idx="399">
                  <c:v>-88.294682075370403</c:v>
                </c:pt>
                <c:pt idx="400">
                  <c:v>-89.39959308672816</c:v>
                </c:pt>
                <c:pt idx="401">
                  <c:v>-90.499937028245839</c:v>
                </c:pt>
                <c:pt idx="402">
                  <c:v>-91.595825107794454</c:v>
                </c:pt>
                <c:pt idx="403">
                  <c:v>-92.687358984715814</c:v>
                </c:pt>
                <c:pt idx="404">
                  <c:v>-93.774630168005231</c:v>
                </c:pt>
                <c:pt idx="405">
                  <c:v>-94.857719459147802</c:v>
                </c:pt>
                <c:pt idx="406">
                  <c:v>-95.936696442208557</c:v>
                </c:pt>
                <c:pt idx="407">
                  <c:v>-97.011619023761853</c:v>
                </c:pt>
                <c:pt idx="408">
                  <c:v>-98.082533025195758</c:v>
                </c:pt>
                <c:pt idx="409">
                  <c:v>-99.149471829851834</c:v>
                </c:pt>
                <c:pt idx="410">
                  <c:v>-100.21245608734402</c:v>
                </c:pt>
                <c:pt idx="411">
                  <c:v>-101.27149347726112</c:v>
                </c:pt>
                <c:pt idx="412">
                  <c:v>-102.32657853426666</c:v>
                </c:pt>
                <c:pt idx="413">
                  <c:v>-103.37769253638565</c:v>
                </c:pt>
                <c:pt idx="414">
                  <c:v>-104.42480345800834</c:v>
                </c:pt>
                <c:pt idx="415">
                  <c:v>-105.46786598882723</c:v>
                </c:pt>
                <c:pt idx="416">
                  <c:v>-106.50682161959024</c:v>
                </c:pt>
                <c:pt idx="417">
                  <c:v>-107.54159879516095</c:v>
                </c:pt>
                <c:pt idx="418">
                  <c:v>-108.57211313497345</c:v>
                </c:pt>
                <c:pt idx="419">
                  <c:v>-109.5982677205081</c:v>
                </c:pt>
                <c:pt idx="420">
                  <c:v>-110.61995344896106</c:v>
                </c:pt>
                <c:pt idx="421">
                  <c:v>-111.63704945177106</c:v>
                </c:pt>
                <c:pt idx="422">
                  <c:v>-112.64942357616687</c:v>
                </c:pt>
                <c:pt idx="423">
                  <c:v>-113.6569329273932</c:v>
                </c:pt>
                <c:pt idx="424">
                  <c:v>-114.65942446874166</c:v>
                </c:pt>
                <c:pt idx="425">
                  <c:v>-115.65673567602778</c:v>
                </c:pt>
                <c:pt idx="426">
                  <c:v>-116.64869524265853</c:v>
                </c:pt>
                <c:pt idx="427">
                  <c:v>-117.6351238309643</c:v>
                </c:pt>
                <c:pt idx="428">
                  <c:v>-118.61583486505664</c:v>
                </c:pt>
                <c:pt idx="429">
                  <c:v>-119.59063536007709</c:v>
                </c:pt>
                <c:pt idx="430">
                  <c:v>-120.55932678235141</c:v>
                </c:pt>
                <c:pt idx="431">
                  <c:v>-121.52170593469991</c:v>
                </c:pt>
                <c:pt idx="432">
                  <c:v>-122.47756586090956</c:v>
                </c:pt>
                <c:pt idx="433">
                  <c:v>-123.42669676323146</c:v>
                </c:pt>
                <c:pt idx="434">
                  <c:v>-124.36888692665565</c:v>
                </c:pt>
                <c:pt idx="435">
                  <c:v>-125.30392364371568</c:v>
                </c:pt>
                <c:pt idx="436">
                  <c:v>-126.23159413360979</c:v>
                </c:pt>
                <c:pt idx="437">
                  <c:v>-127.15168644955533</c:v>
                </c:pt>
                <c:pt idx="438">
                  <c:v>-128.06399036847159</c:v>
                </c:pt>
                <c:pt idx="439">
                  <c:v>-128.96829825735483</c:v>
                </c:pt>
                <c:pt idx="440">
                  <c:v>-129.86440591100916</c:v>
                </c:pt>
                <c:pt idx="441">
                  <c:v>-130.75211335617661</c:v>
                </c:pt>
                <c:pt idx="442">
                  <c:v>-131.63122561752127</c:v>
                </c:pt>
                <c:pt idx="443">
                  <c:v>-132.50155344138608</c:v>
                </c:pt>
                <c:pt idx="444">
                  <c:v>-133.36291397372614</c:v>
                </c:pt>
                <c:pt idx="445">
                  <c:v>-134.21513138915068</c:v>
                </c:pt>
                <c:pt idx="446">
                  <c:v>-135.05803746852277</c:v>
                </c:pt>
                <c:pt idx="447">
                  <c:v>-135.8914721231271</c:v>
                </c:pt>
                <c:pt idx="448">
                  <c:v>-136.71528386394149</c:v>
                </c:pt>
                <c:pt idx="449">
                  <c:v>-137.52933021509131</c:v>
                </c:pt>
                <c:pt idx="450">
                  <c:v>-138.33347807108154</c:v>
                </c:pt>
                <c:pt idx="451">
                  <c:v>-139.12760399789926</c:v>
                </c:pt>
                <c:pt idx="452">
                  <c:v>-139.91159447855256</c:v>
                </c:pt>
                <c:pt idx="453">
                  <c:v>-140.68534610404376</c:v>
                </c:pt>
                <c:pt idx="454">
                  <c:v>-141.4487657111805</c:v>
                </c:pt>
                <c:pt idx="455">
                  <c:v>-142.20177046899573</c:v>
                </c:pt>
                <c:pt idx="456">
                  <c:v>-142.94428791585065</c:v>
                </c:pt>
                <c:pt idx="457">
                  <c:v>-143.6762559495962</c:v>
                </c:pt>
                <c:pt idx="458">
                  <c:v>-144.39762277337837</c:v>
                </c:pt>
                <c:pt idx="459">
                  <c:v>-145.10834679988011</c:v>
                </c:pt>
                <c:pt idx="460">
                  <c:v>-145.80839651693051</c:v>
                </c:pt>
                <c:pt idx="461">
                  <c:v>-146.49775031751966</c:v>
                </c:pt>
                <c:pt idx="462">
                  <c:v>-147.17639629732673</c:v>
                </c:pt>
                <c:pt idx="463">
                  <c:v>-147.84433202290353</c:v>
                </c:pt>
                <c:pt idx="464">
                  <c:v>-148.50156427363692</c:v>
                </c:pt>
                <c:pt idx="465">
                  <c:v>-149.14810876060221</c:v>
                </c:pt>
                <c:pt idx="466">
                  <c:v>-149.78398982534284</c:v>
                </c:pt>
                <c:pt idx="467">
                  <c:v>-150.40924012153022</c:v>
                </c:pt>
                <c:pt idx="468">
                  <c:v>-151.02390028235533</c:v>
                </c:pt>
                <c:pt idx="469">
                  <c:v>-151.62801857637854</c:v>
                </c:pt>
                <c:pt idx="470">
                  <c:v>-152.22165055442375</c:v>
                </c:pt>
                <c:pt idx="471">
                  <c:v>-152.80485868996294</c:v>
                </c:pt>
                <c:pt idx="472">
                  <c:v>-153.37771201526749</c:v>
                </c:pt>
                <c:pt idx="473">
                  <c:v>-153.94028575545613</c:v>
                </c:pt>
                <c:pt idx="474">
                  <c:v>-154.49266096238796</c:v>
                </c:pt>
                <c:pt idx="475">
                  <c:v>-155.03492415019579</c:v>
                </c:pt>
                <c:pt idx="476">
                  <c:v>-155.56716693407733</c:v>
                </c:pt>
                <c:pt idx="477">
                  <c:v>-156.08948567381168</c:v>
                </c:pt>
                <c:pt idx="478">
                  <c:v>-156.6019811232961</c:v>
                </c:pt>
                <c:pt idx="479">
                  <c:v>-157.10475808725366</c:v>
                </c:pt>
                <c:pt idx="480">
                  <c:v>-157.59792508611415</c:v>
                </c:pt>
                <c:pt idx="481">
                  <c:v>-158.08159402992166</c:v>
                </c:pt>
                <c:pt idx="482">
                  <c:v>-158.55587990200434</c:v>
                </c:pt>
                <c:pt idx="483">
                  <c:v>-159.02090045300125</c:v>
                </c:pt>
                <c:pt idx="484">
                  <c:v>-159.47677590573792</c:v>
                </c:pt>
                <c:pt idx="485">
                  <c:v>-159.92362867132755</c:v>
                </c:pt>
                <c:pt idx="486">
                  <c:v>-160.36158307677667</c:v>
                </c:pt>
                <c:pt idx="487">
                  <c:v>-160.79076510429007</c:v>
                </c:pt>
                <c:pt idx="488">
                  <c:v>-161.21130214237078</c:v>
                </c:pt>
                <c:pt idx="489">
                  <c:v>-161.62332274876402</c:v>
                </c:pt>
                <c:pt idx="490">
                  <c:v>-162.02695642519498</c:v>
                </c:pt>
                <c:pt idx="491">
                  <c:v>-162.42233340382276</c:v>
                </c:pt>
                <c:pt idx="492">
                  <c:v>-162.80958444525569</c:v>
                </c:pt>
                <c:pt idx="493">
                  <c:v>-163.18884064794347</c:v>
                </c:pt>
                <c:pt idx="494">
                  <c:v>-163.56023326871778</c:v>
                </c:pt>
                <c:pt idx="495">
                  <c:v>-163.92389355421687</c:v>
                </c:pt>
                <c:pt idx="496">
                  <c:v>-164.27995258290684</c:v>
                </c:pt>
                <c:pt idx="497">
                  <c:v>-164.62854111738491</c:v>
                </c:pt>
                <c:pt idx="498">
                  <c:v>-164.96978946663509</c:v>
                </c:pt>
                <c:pt idx="499">
                  <c:v>-165.30382735788865</c:v>
                </c:pt>
                <c:pt idx="500">
                  <c:v>-165.63078381773391</c:v>
                </c:pt>
                <c:pt idx="501">
                  <c:v>-165.95078706211183</c:v>
                </c:pt>
                <c:pt idx="502">
                  <c:v>-166.26396439482627</c:v>
                </c:pt>
                <c:pt idx="503">
                  <c:v>-166.57044211420418</c:v>
                </c:pt>
                <c:pt idx="504">
                  <c:v>-166.87034542752878</c:v>
                </c:pt>
                <c:pt idx="505">
                  <c:v>-167.16379837288457</c:v>
                </c:pt>
                <c:pt idx="506">
                  <c:v>-167.45092374804889</c:v>
                </c:pt>
                <c:pt idx="507">
                  <c:v>-167.73184304607184</c:v>
                </c:pt>
                <c:pt idx="508">
                  <c:v>-168.00667639719748</c:v>
                </c:pt>
                <c:pt idx="509">
                  <c:v>-168.27554251678191</c:v>
                </c:pt>
                <c:pt idx="510">
                  <c:v>-168.53855865887704</c:v>
                </c:pt>
                <c:pt idx="511">
                  <c:v>-168.79584057515694</c:v>
                </c:pt>
                <c:pt idx="512">
                  <c:v>-169.04750247887392</c:v>
                </c:pt>
                <c:pt idx="513">
                  <c:v>-169.29365701354305</c:v>
                </c:pt>
                <c:pt idx="514">
                  <c:v>-169.53441522606485</c:v>
                </c:pt>
                <c:pt idx="515">
                  <c:v>-169.76988654400535</c:v>
                </c:pt>
                <c:pt idx="516">
                  <c:v>-170.00017875676855</c:v>
                </c:pt>
                <c:pt idx="517">
                  <c:v>-170.22539800040278</c:v>
                </c:pt>
                <c:pt idx="518">
                  <c:v>-170.44564874579524</c:v>
                </c:pt>
                <c:pt idx="519">
                  <c:v>-170.66103379002476</c:v>
                </c:pt>
                <c:pt idx="520">
                  <c:v>-170.87165425064634</c:v>
                </c:pt>
                <c:pt idx="521">
                  <c:v>-171.07760956269857</c:v>
                </c:pt>
                <c:pt idx="522">
                  <c:v>-171.27899747823133</c:v>
                </c:pt>
                <c:pt idx="523">
                  <c:v>-171.47591406816517</c:v>
                </c:pt>
                <c:pt idx="524">
                  <c:v>-171.66845372630013</c:v>
                </c:pt>
                <c:pt idx="525">
                  <c:v>-171.85670917530558</c:v>
                </c:pt>
                <c:pt idx="526">
                  <c:v>-172.0407714745279</c:v>
                </c:pt>
                <c:pt idx="527">
                  <c:v>-172.22073002946581</c:v>
                </c:pt>
                <c:pt idx="528">
                  <c:v>-172.3966726027698</c:v>
                </c:pt>
                <c:pt idx="529">
                  <c:v>-172.56868532663111</c:v>
                </c:pt>
                <c:pt idx="530">
                  <c:v>-172.73685271643248</c:v>
                </c:pt>
                <c:pt idx="531">
                  <c:v>-172.90125768554401</c:v>
                </c:pt>
                <c:pt idx="532">
                  <c:v>-173.06198156115096</c:v>
                </c:pt>
                <c:pt idx="533">
                  <c:v>-173.21910410100972</c:v>
                </c:pt>
                <c:pt idx="534">
                  <c:v>-173.37270351103422</c:v>
                </c:pt>
                <c:pt idx="535">
                  <c:v>-173.52285646362085</c:v>
                </c:pt>
                <c:pt idx="536">
                  <c:v>-173.66963811662757</c:v>
                </c:pt>
                <c:pt idx="537">
                  <c:v>-173.81312213292688</c:v>
                </c:pt>
                <c:pt idx="538">
                  <c:v>-173.95338070045827</c:v>
                </c:pt>
                <c:pt idx="539">
                  <c:v>-174.09048455271227</c:v>
                </c:pt>
                <c:pt idx="540">
                  <c:v>-174.22450298958003</c:v>
                </c:pt>
                <c:pt idx="541">
                  <c:v>-174.35550389851088</c:v>
                </c:pt>
              </c:numCache>
            </c:numRef>
          </c:yVal>
          <c:smooth val="1"/>
          <c:extLst>
            <c:ext xmlns:c16="http://schemas.microsoft.com/office/drawing/2014/chart" uri="{C3380CC4-5D6E-409C-BE32-E72D297353CC}">
              <c16:uniqueId val="{00000001-08A4-45AE-BD5A-C2D048D75805}"/>
            </c:ext>
          </c:extLst>
        </c:ser>
        <c:dLbls>
          <c:showLegendKey val="0"/>
          <c:showVal val="0"/>
          <c:showCatName val="0"/>
          <c:showSerName val="0"/>
          <c:showPercent val="0"/>
          <c:showBubbleSize val="0"/>
        </c:dLbls>
        <c:axId val="555537920"/>
        <c:axId val="555536384"/>
      </c:scatterChart>
      <c:valAx>
        <c:axId val="555528192"/>
        <c:scaling>
          <c:logBase val="10"/>
          <c:orientation val="minMax"/>
          <c:max val="2200000"/>
          <c:min val="10"/>
        </c:scaling>
        <c:delete val="0"/>
        <c:axPos val="b"/>
        <c:minorGridlines/>
        <c:title>
          <c:tx>
            <c:rich>
              <a:bodyPr/>
              <a:lstStyle/>
              <a:p>
                <a:pPr>
                  <a:defRPr/>
                </a:pPr>
                <a:r>
                  <a:rPr lang="en-US"/>
                  <a:t>Frequency</a:t>
                </a:r>
                <a:r>
                  <a:rPr lang="en-US" baseline="0"/>
                  <a:t> (Hz)</a:t>
                </a:r>
                <a:endParaRPr lang="en-US"/>
              </a:p>
            </c:rich>
          </c:tx>
          <c:overlay val="0"/>
        </c:title>
        <c:numFmt formatCode="0" sourceLinked="0"/>
        <c:majorTickMark val="out"/>
        <c:minorTickMark val="none"/>
        <c:tickLblPos val="low"/>
        <c:crossAx val="555530112"/>
        <c:crosses val="autoZero"/>
        <c:crossBetween val="midCat"/>
      </c:valAx>
      <c:valAx>
        <c:axId val="555530112"/>
        <c:scaling>
          <c:orientation val="minMax"/>
          <c:max val="40"/>
          <c:min val="-40"/>
        </c:scaling>
        <c:delete val="0"/>
        <c:axPos val="l"/>
        <c:majorGridlines/>
        <c:minorGridlines/>
        <c:title>
          <c:tx>
            <c:rich>
              <a:bodyPr rot="-5400000" vert="horz"/>
              <a:lstStyle/>
              <a:p>
                <a:pPr>
                  <a:defRPr/>
                </a:pPr>
                <a:r>
                  <a:rPr lang="en-US">
                    <a:solidFill>
                      <a:srgbClr val="FF0000"/>
                    </a:solidFill>
                  </a:rPr>
                  <a:t>Gain</a:t>
                </a:r>
                <a:r>
                  <a:rPr lang="en-US" baseline="0">
                    <a:solidFill>
                      <a:srgbClr val="FF0000"/>
                    </a:solidFill>
                  </a:rPr>
                  <a:t> (dB)</a:t>
                </a:r>
                <a:endParaRPr lang="en-US">
                  <a:solidFill>
                    <a:srgbClr val="FF0000"/>
                  </a:solidFill>
                </a:endParaRPr>
              </a:p>
            </c:rich>
          </c:tx>
          <c:overlay val="0"/>
        </c:title>
        <c:numFmt formatCode="General" sourceLinked="0"/>
        <c:majorTickMark val="out"/>
        <c:minorTickMark val="none"/>
        <c:tickLblPos val="nextTo"/>
        <c:txPr>
          <a:bodyPr/>
          <a:lstStyle/>
          <a:p>
            <a:pPr>
              <a:defRPr>
                <a:solidFill>
                  <a:srgbClr val="FF0000"/>
                </a:solidFill>
              </a:defRPr>
            </a:pPr>
            <a:endParaRPr lang="en-US"/>
          </a:p>
        </c:txPr>
        <c:crossAx val="555528192"/>
        <c:crosses val="autoZero"/>
        <c:crossBetween val="midCat"/>
        <c:majorUnit val="20"/>
        <c:minorUnit val="10"/>
      </c:valAx>
      <c:valAx>
        <c:axId val="555536384"/>
        <c:scaling>
          <c:orientation val="minMax"/>
          <c:max val="180"/>
          <c:min val="-180"/>
        </c:scaling>
        <c:delete val="0"/>
        <c:axPos val="r"/>
        <c:numFmt formatCode="General" sourceLinked="1"/>
        <c:majorTickMark val="out"/>
        <c:minorTickMark val="none"/>
        <c:tickLblPos val="nextTo"/>
        <c:txPr>
          <a:bodyPr/>
          <a:lstStyle/>
          <a:p>
            <a:pPr>
              <a:defRPr>
                <a:solidFill>
                  <a:schemeClr val="tx1">
                    <a:lumMod val="95000"/>
                    <a:lumOff val="5000"/>
                  </a:schemeClr>
                </a:solidFill>
              </a:defRPr>
            </a:pPr>
            <a:endParaRPr lang="en-US"/>
          </a:p>
        </c:txPr>
        <c:crossAx val="555537920"/>
        <c:crosses val="max"/>
        <c:crossBetween val="midCat"/>
        <c:majorUnit val="90"/>
        <c:minorUnit val="45"/>
      </c:valAx>
      <c:valAx>
        <c:axId val="555537920"/>
        <c:scaling>
          <c:logBase val="10"/>
          <c:orientation val="minMax"/>
        </c:scaling>
        <c:delete val="1"/>
        <c:axPos val="b"/>
        <c:numFmt formatCode="0.00" sourceLinked="1"/>
        <c:majorTickMark val="out"/>
        <c:minorTickMark val="none"/>
        <c:tickLblPos val="nextTo"/>
        <c:crossAx val="555536384"/>
        <c:crosses val="autoZero"/>
        <c:crossBetween val="midCat"/>
      </c:valAx>
    </c:plotArea>
    <c:plotVisOnly val="1"/>
    <c:dispBlanksAs val="gap"/>
    <c:showDLblsOverMax val="0"/>
  </c:chart>
  <c:printSettings>
    <c:headerFooter/>
    <c:pageMargins b="0.75" l="0.7" r="0.7" t="0.75" header="0.3" footer="0.3"/>
    <c:pageSetup/>
  </c:printSettings>
</c:chartSpace>
</file>

<file path=xl/ctrlProps/ctrlProp1.xml><?xml version="1.0" encoding="utf-8"?>
<formControlPr xmlns="http://schemas.microsoft.com/office/spreadsheetml/2009/9/main" objectType="Spin" dx="20" fmlaLink="$I$8" max="65" min="1" noThreeD="1" page="10" val="20"/>
</file>

<file path=xl/ctrlProps/ctrlProp2.xml><?xml version="1.0" encoding="utf-8"?>
<formControlPr xmlns="http://schemas.microsoft.com/office/spreadsheetml/2009/9/main" objectType="Drop" dropLines="2" dropStyle="combo" dx="16" fmlaLink="Calculations!B20" fmlaRange="Calculations!$K$20:$K$21" noThreeD="1" sel="1" val="0"/>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3" Type="http://schemas.openxmlformats.org/officeDocument/2006/relationships/hyperlink" Target="http://www.ti.com/corp/docs/legal/copyright.shtml" TargetMode="External"/><Relationship Id="rId2" Type="http://schemas.openxmlformats.org/officeDocument/2006/relationships/image" Target="../media/image4.gif"/><Relationship Id="rId1" Type="http://schemas.openxmlformats.org/officeDocument/2006/relationships/hyperlink" Target="http://www.ti.com" TargetMode="External"/></Relationships>
</file>

<file path=xl/drawings/_rels/drawing4.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8" Type="http://schemas.openxmlformats.org/officeDocument/2006/relationships/chart" Target="../charts/chart12.xml"/><Relationship Id="rId3" Type="http://schemas.openxmlformats.org/officeDocument/2006/relationships/image" Target="../media/image7.png"/><Relationship Id="rId7" Type="http://schemas.openxmlformats.org/officeDocument/2006/relationships/chart" Target="../charts/chart11.xml"/><Relationship Id="rId2" Type="http://schemas.openxmlformats.org/officeDocument/2006/relationships/chart" Target="../charts/chart8.xml"/><Relationship Id="rId1" Type="http://schemas.openxmlformats.org/officeDocument/2006/relationships/image" Target="../media/image5.png"/><Relationship Id="rId6" Type="http://schemas.openxmlformats.org/officeDocument/2006/relationships/chart" Target="../charts/chart10.xml"/><Relationship Id="rId5" Type="http://schemas.openxmlformats.org/officeDocument/2006/relationships/chart" Target="../charts/chart9.xml"/><Relationship Id="rId10" Type="http://schemas.openxmlformats.org/officeDocument/2006/relationships/image" Target="../media/image9.png"/><Relationship Id="rId4" Type="http://schemas.openxmlformats.org/officeDocument/2006/relationships/image" Target="../media/image8.png"/><Relationship Id="rId9" Type="http://schemas.openxmlformats.org/officeDocument/2006/relationships/chart" Target="../charts/chart1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285750</xdr:colOff>
          <xdr:row>89</xdr:row>
          <xdr:rowOff>28575</xdr:rowOff>
        </xdr:from>
        <xdr:to>
          <xdr:col>27</xdr:col>
          <xdr:colOff>9525</xdr:colOff>
          <xdr:row>113</xdr:row>
          <xdr:rowOff>142875</xdr:rowOff>
        </xdr:to>
        <xdr:pic>
          <xdr:nvPicPr>
            <xdr:cNvPr id="28" name="Picture 27">
              <a:extLst>
                <a:ext uri="{FF2B5EF4-FFF2-40B4-BE49-F238E27FC236}">
                  <a16:creationId xmlns:a16="http://schemas.microsoft.com/office/drawing/2014/main" id="{00000000-0008-0000-0000-00001C000000}"/>
                </a:ext>
              </a:extLst>
            </xdr:cNvPr>
            <xdr:cNvPicPr>
              <a:picLocks noChangeAspect="1" noChangeArrowheads="1"/>
              <a:extLst>
                <a:ext uri="{84589F7E-364E-4C9E-8A38-B11213B215E9}">
                  <a14:cameraTool cellRange="Eff_Plot_image" spid="_x0000_s2332"/>
                </a:ext>
              </a:extLst>
            </xdr:cNvPicPr>
          </xdr:nvPicPr>
          <xdr:blipFill>
            <a:blip xmlns:r="http://schemas.openxmlformats.org/officeDocument/2006/relationships" r:embed="rId1"/>
            <a:srcRect/>
            <a:stretch>
              <a:fillRect/>
            </a:stretch>
          </xdr:blipFill>
          <xdr:spPr bwMode="auto">
            <a:xfrm>
              <a:off x="5772150" y="20154900"/>
              <a:ext cx="10287000" cy="49530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276225</xdr:colOff>
          <xdr:row>5</xdr:row>
          <xdr:rowOff>66675</xdr:rowOff>
        </xdr:from>
        <xdr:to>
          <xdr:col>25</xdr:col>
          <xdr:colOff>514350</xdr:colOff>
          <xdr:row>27</xdr:row>
          <xdr:rowOff>38100</xdr:rowOff>
        </xdr:to>
        <xdr:sp macro="" textlink="">
          <xdr:nvSpPr>
            <xdr:cNvPr id="2062" name="Object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201704</xdr:colOff>
      <xdr:row>64</xdr:row>
      <xdr:rowOff>33619</xdr:rowOff>
    </xdr:from>
    <xdr:to>
      <xdr:col>25</xdr:col>
      <xdr:colOff>112059</xdr:colOff>
      <xdr:row>85</xdr:row>
      <xdr:rowOff>200886</xdr:rowOff>
    </xdr:to>
    <xdr:graphicFrame macro="">
      <xdr:nvGraphicFramePr>
        <xdr:cNvPr id="5" name="Chart 4">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xdr:from>
          <xdr:col>9</xdr:col>
          <xdr:colOff>133350</xdr:colOff>
          <xdr:row>80</xdr:row>
          <xdr:rowOff>152400</xdr:rowOff>
        </xdr:from>
        <xdr:to>
          <xdr:col>9</xdr:col>
          <xdr:colOff>304800</xdr:colOff>
          <xdr:row>82</xdr:row>
          <xdr:rowOff>66675</xdr:rowOff>
        </xdr:to>
        <xdr:sp macro="" textlink="">
          <xdr:nvSpPr>
            <xdr:cNvPr id="2075" name="Spinner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12</xdr:col>
      <xdr:colOff>358588</xdr:colOff>
      <xdr:row>63</xdr:row>
      <xdr:rowOff>156882</xdr:rowOff>
    </xdr:from>
    <xdr:to>
      <xdr:col>14</xdr:col>
      <xdr:colOff>88526</xdr:colOff>
      <xdr:row>66</xdr:row>
      <xdr:rowOff>6723</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7620000" y="14287500"/>
          <a:ext cx="940173" cy="55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a:t>V</a:t>
          </a:r>
          <a:r>
            <a:rPr lang="en-US" sz="2400" baseline="-25000"/>
            <a:t>IN</a:t>
          </a:r>
          <a:r>
            <a:rPr lang="en-US" sz="2400"/>
            <a:t> = </a:t>
          </a:r>
        </a:p>
      </xdr:txBody>
    </xdr:sp>
    <xdr:clientData/>
  </xdr:twoCellAnchor>
  <xdr:twoCellAnchor>
    <xdr:from>
      <xdr:col>13</xdr:col>
      <xdr:colOff>403413</xdr:colOff>
      <xdr:row>63</xdr:row>
      <xdr:rowOff>168088</xdr:rowOff>
    </xdr:from>
    <xdr:to>
      <xdr:col>15</xdr:col>
      <xdr:colOff>115421</xdr:colOff>
      <xdr:row>66</xdr:row>
      <xdr:rowOff>17930</xdr:rowOff>
    </xdr:to>
    <xdr:sp macro="" textlink="VIN_TYP">
      <xdr:nvSpPr>
        <xdr:cNvPr id="8" name="TextBox 7">
          <a:extLst>
            <a:ext uri="{FF2B5EF4-FFF2-40B4-BE49-F238E27FC236}">
              <a16:creationId xmlns:a16="http://schemas.microsoft.com/office/drawing/2014/main" id="{00000000-0008-0000-0000-000008000000}"/>
            </a:ext>
          </a:extLst>
        </xdr:cNvPr>
        <xdr:cNvSpPr txBox="1"/>
      </xdr:nvSpPr>
      <xdr:spPr>
        <a:xfrm>
          <a:off x="8269942" y="14298706"/>
          <a:ext cx="922244" cy="5558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B86F7CC8-B545-46D8-BA50-9FA1A86CB6D2}" type="TxLink">
            <a:rPr lang="en-US" sz="2400" b="0" i="0" u="none" strike="noStrike">
              <a:solidFill>
                <a:srgbClr val="000000"/>
              </a:solidFill>
              <a:latin typeface="Calibri"/>
              <a:cs typeface="Calibri"/>
            </a:rPr>
            <a:pPr/>
            <a:t>20</a:t>
          </a:fld>
          <a:endParaRPr lang="en-US" sz="4800"/>
        </a:p>
      </xdr:txBody>
    </xdr:sp>
    <xdr:clientData/>
  </xdr:twoCellAnchor>
  <xdr:twoCellAnchor>
    <xdr:from>
      <xdr:col>14</xdr:col>
      <xdr:colOff>224118</xdr:colOff>
      <xdr:row>63</xdr:row>
      <xdr:rowOff>168087</xdr:rowOff>
    </xdr:from>
    <xdr:to>
      <xdr:col>15</xdr:col>
      <xdr:colOff>549648</xdr:colOff>
      <xdr:row>66</xdr:row>
      <xdr:rowOff>17928</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8695765" y="14298705"/>
          <a:ext cx="930648" cy="55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a:t>V</a:t>
          </a:r>
        </a:p>
      </xdr:txBody>
    </xdr:sp>
    <xdr:clientData/>
  </xdr:twoCellAnchor>
  <xdr:twoCellAnchor>
    <xdr:from>
      <xdr:col>12</xdr:col>
      <xdr:colOff>470648</xdr:colOff>
      <xdr:row>89</xdr:row>
      <xdr:rowOff>185458</xdr:rowOff>
    </xdr:from>
    <xdr:to>
      <xdr:col>15</xdr:col>
      <xdr:colOff>76200</xdr:colOff>
      <xdr:row>92</xdr:row>
      <xdr:rowOff>19051</xdr:rowOff>
    </xdr:to>
    <xdr:sp macro="" textlink="Graph_Text">
      <xdr:nvSpPr>
        <xdr:cNvPr id="10" name="TextBox 9">
          <a:extLst>
            <a:ext uri="{FF2B5EF4-FFF2-40B4-BE49-F238E27FC236}">
              <a16:creationId xmlns:a16="http://schemas.microsoft.com/office/drawing/2014/main" id="{00000000-0008-0000-0000-00000A000000}"/>
            </a:ext>
          </a:extLst>
        </xdr:cNvPr>
        <xdr:cNvSpPr txBox="1"/>
      </xdr:nvSpPr>
      <xdr:spPr>
        <a:xfrm>
          <a:off x="7785848" y="20311783"/>
          <a:ext cx="1434352" cy="4146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A8F465C6-5A85-4449-8DCD-DE8E2D885B53}" type="TxLink">
            <a:rPr lang="en-US" sz="2000" b="0" i="0" u="none" strike="noStrike">
              <a:solidFill>
                <a:srgbClr val="000000"/>
              </a:solidFill>
              <a:latin typeface="Calibri"/>
              <a:cs typeface="Calibri"/>
            </a:rPr>
            <a:pPr/>
            <a:t>V   = 20V</a:t>
          </a:fld>
          <a:endParaRPr lang="en-US" sz="8000"/>
        </a:p>
      </xdr:txBody>
    </xdr:sp>
    <xdr:clientData/>
  </xdr:twoCellAnchor>
  <xdr:twoCellAnchor>
    <xdr:from>
      <xdr:col>24</xdr:col>
      <xdr:colOff>218514</xdr:colOff>
      <xdr:row>72</xdr:row>
      <xdr:rowOff>95249</xdr:rowOff>
    </xdr:from>
    <xdr:to>
      <xdr:col>25</xdr:col>
      <xdr:colOff>263338</xdr:colOff>
      <xdr:row>76</xdr:row>
      <xdr:rowOff>117662</xdr:rowOff>
    </xdr:to>
    <xdr:sp macro="" textlink="">
      <xdr:nvSpPr>
        <xdr:cNvPr id="15" name="TextBox 14">
          <a:extLst>
            <a:ext uri="{FF2B5EF4-FFF2-40B4-BE49-F238E27FC236}">
              <a16:creationId xmlns:a16="http://schemas.microsoft.com/office/drawing/2014/main" id="{00000000-0008-0000-0000-00000F000000}"/>
            </a:ext>
          </a:extLst>
        </xdr:cNvPr>
        <xdr:cNvSpPr txBox="1"/>
      </xdr:nvSpPr>
      <xdr:spPr>
        <a:xfrm rot="16200000">
          <a:off x="14399558" y="16640735"/>
          <a:ext cx="930089" cy="2689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Phase (deg)</a:t>
          </a:r>
        </a:p>
      </xdr:txBody>
    </xdr:sp>
    <xdr:clientData/>
  </xdr:twoCellAnchor>
  <xdr:twoCellAnchor>
    <xdr:from>
      <xdr:col>13</xdr:col>
      <xdr:colOff>13449</xdr:colOff>
      <xdr:row>90</xdr:row>
      <xdr:rowOff>156883</xdr:rowOff>
    </xdr:from>
    <xdr:to>
      <xdr:col>13</xdr:col>
      <xdr:colOff>409575</xdr:colOff>
      <xdr:row>92</xdr:row>
      <xdr:rowOff>0</xdr:rowOff>
    </xdr:to>
    <xdr:sp macro="" textlink="Calculations!C21">
      <xdr:nvSpPr>
        <xdr:cNvPr id="17" name="TextBox 16">
          <a:extLst>
            <a:ext uri="{FF2B5EF4-FFF2-40B4-BE49-F238E27FC236}">
              <a16:creationId xmlns:a16="http://schemas.microsoft.com/office/drawing/2014/main" id="{00000000-0008-0000-0000-000011000000}"/>
            </a:ext>
          </a:extLst>
        </xdr:cNvPr>
        <xdr:cNvSpPr txBox="1"/>
      </xdr:nvSpPr>
      <xdr:spPr>
        <a:xfrm>
          <a:off x="7938249" y="20473708"/>
          <a:ext cx="396126" cy="233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7C724B0-9755-4710-BBA9-5D5782EBAC0D}" type="TxLink">
            <a:rPr lang="en-US" sz="1100" b="0" i="0" u="none" strike="noStrike">
              <a:solidFill>
                <a:srgbClr val="000000"/>
              </a:solidFill>
              <a:latin typeface="Calibri"/>
              <a:cs typeface="Calibri"/>
            </a:rPr>
            <a:pPr/>
            <a:t>IN</a:t>
          </a:fld>
          <a:endParaRPr lang="en-US" sz="4800"/>
        </a:p>
      </xdr:txBody>
    </xdr:sp>
    <xdr:clientData/>
  </xdr:twoCellAnchor>
  <mc:AlternateContent xmlns:mc="http://schemas.openxmlformats.org/markup-compatibility/2006">
    <mc:Choice xmlns:a14="http://schemas.microsoft.com/office/drawing/2010/main" Requires="a14">
      <xdr:twoCellAnchor editAs="absolute">
        <xdr:from>
          <xdr:col>12</xdr:col>
          <xdr:colOff>0</xdr:colOff>
          <xdr:row>89</xdr:row>
          <xdr:rowOff>0</xdr:rowOff>
        </xdr:from>
        <xdr:to>
          <xdr:col>14</xdr:col>
          <xdr:colOff>161925</xdr:colOff>
          <xdr:row>90</xdr:row>
          <xdr:rowOff>9525</xdr:rowOff>
        </xdr:to>
        <xdr:sp macro="" textlink="">
          <xdr:nvSpPr>
            <xdr:cNvPr id="2091" name="Drop Down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c:userShapes xmlns:c="http://schemas.openxmlformats.org/drawingml/2006/chart">
  <cdr:relSizeAnchor xmlns:cdr="http://schemas.openxmlformats.org/drawingml/2006/chartDrawing">
    <cdr:from>
      <cdr:x>0.09309</cdr:x>
      <cdr:y>0.75888</cdr:y>
    </cdr:from>
    <cdr:to>
      <cdr:x>0.45226</cdr:x>
      <cdr:y>0.80394</cdr:y>
    </cdr:to>
    <cdr:sp macro="" textlink="Control_Loop_Tables!$A$77">
      <cdr:nvSpPr>
        <cdr:cNvPr id="2" name="TextBox 14">
          <a:extLst xmlns:a="http://schemas.openxmlformats.org/drawingml/2006/main">
            <a:ext uri="{FF2B5EF4-FFF2-40B4-BE49-F238E27FC236}">
              <a16:creationId xmlns:a16="http://schemas.microsoft.com/office/drawing/2014/main" id="{4F0C2FF0-516A-4E0E-887E-19FA04431586}"/>
            </a:ext>
          </a:extLst>
        </cdr:cNvPr>
        <cdr:cNvSpPr txBox="1"/>
      </cdr:nvSpPr>
      <cdr:spPr>
        <a:xfrm xmlns:a="http://schemas.openxmlformats.org/drawingml/2006/main">
          <a:off x="644712" y="3434976"/>
          <a:ext cx="2487629" cy="203948"/>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60C36B91-8655-4CD8-AAFA-3EBF8BD138F0}" type="TxLink">
            <a:rPr lang="en-US" sz="1100" b="1" i="0" u="none" strike="noStrike">
              <a:solidFill>
                <a:srgbClr val="FF0000"/>
              </a:solidFill>
              <a:latin typeface="Calibri"/>
              <a:cs typeface="Calibri"/>
            </a:rPr>
            <a:pPr/>
            <a:t>Crossover Frequency = 1 kHz</a:t>
          </a:fld>
          <a:endParaRPr lang="en-US" sz="2400" b="1">
            <a:solidFill>
              <a:srgbClr val="FF0000"/>
            </a:solidFill>
            <a:latin typeface="+mn-lt"/>
            <a:cs typeface="Arial" panose="020B0604020202020204" pitchFamily="34" charset="0"/>
          </a:endParaRPr>
        </a:p>
      </cdr:txBody>
    </cdr:sp>
  </cdr:relSizeAnchor>
  <cdr:relSizeAnchor xmlns:cdr="http://schemas.openxmlformats.org/drawingml/2006/chartDrawing">
    <cdr:from>
      <cdr:x>0.09956</cdr:x>
      <cdr:y>0.81582</cdr:y>
    </cdr:from>
    <cdr:to>
      <cdr:x>0.45874</cdr:x>
      <cdr:y>0.86088</cdr:y>
    </cdr:to>
    <cdr:sp macro="" textlink="Control_Loop_Tables!$A$78">
      <cdr:nvSpPr>
        <cdr:cNvPr id="3" name="TextBox 14">
          <a:extLst xmlns:a="http://schemas.openxmlformats.org/drawingml/2006/main">
            <a:ext uri="{FF2B5EF4-FFF2-40B4-BE49-F238E27FC236}">
              <a16:creationId xmlns:a16="http://schemas.microsoft.com/office/drawing/2014/main" id="{EE5ABC53-DD0B-449B-BDE0-6C07A2ABF45B}"/>
            </a:ext>
          </a:extLst>
        </cdr:cNvPr>
        <cdr:cNvSpPr txBox="1"/>
      </cdr:nvSpPr>
      <cdr:spPr>
        <a:xfrm xmlns:a="http://schemas.openxmlformats.org/drawingml/2006/main">
          <a:off x="689536" y="3692712"/>
          <a:ext cx="2487722" cy="203948"/>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A2AF1E30-897F-4222-B4F3-A3A6FAC221A1}" type="TxLink">
            <a:rPr lang="en-US" sz="1100" b="1" i="0" u="none" strike="noStrike">
              <a:solidFill>
                <a:srgbClr val="0070C0"/>
              </a:solidFill>
              <a:latin typeface="Calibri"/>
              <a:cs typeface="Calibri"/>
            </a:rPr>
            <a:pPr/>
            <a:t>Phase Margin = 84°</a:t>
          </a:fld>
          <a:endParaRPr lang="en-US" sz="2400" b="1">
            <a:solidFill>
              <a:srgbClr val="0070C0"/>
            </a:solidFill>
            <a:latin typeface="+mn-lt"/>
            <a:cs typeface="Arial" panose="020B0604020202020204" pitchFamily="34" charset="0"/>
          </a:endParaRPr>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152400</xdr:rowOff>
    </xdr:from>
    <xdr:to>
      <xdr:col>1</xdr:col>
      <xdr:colOff>592455</xdr:colOff>
      <xdr:row>2</xdr:row>
      <xdr:rowOff>83771</xdr:rowOff>
    </xdr:to>
    <xdr:pic>
      <xdr:nvPicPr>
        <xdr:cNvPr id="2" name="Picture 1" descr="ti logo">
          <a:hlinkClick xmlns:r="http://schemas.openxmlformats.org/officeDocument/2006/relationships" r:id="rId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2400"/>
          <a:ext cx="2306955" cy="302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200025</xdr:colOff>
      <xdr:row>0</xdr:row>
      <xdr:rowOff>114300</xdr:rowOff>
    </xdr:from>
    <xdr:ext cx="3752850" cy="381708"/>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1914525" y="114300"/>
          <a:ext cx="3752850" cy="3817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1600">
              <a:latin typeface="Arial Black" panose="020B0A04020102020204" pitchFamily="34" charset="0"/>
            </a:rPr>
            <a:t>About this tool...</a:t>
          </a:r>
        </a:p>
      </xdr:txBody>
    </xdr:sp>
    <xdr:clientData/>
  </xdr:oneCellAnchor>
  <xdr:oneCellAnchor>
    <xdr:from>
      <xdr:col>3</xdr:col>
      <xdr:colOff>323850</xdr:colOff>
      <xdr:row>1</xdr:row>
      <xdr:rowOff>28575</xdr:rowOff>
    </xdr:from>
    <xdr:ext cx="4719497" cy="254557"/>
    <xdr:sp macro="" textlink="">
      <xdr:nvSpPr>
        <xdr:cNvPr id="4" name="TextBox 3">
          <a:hlinkClick xmlns:r="http://schemas.openxmlformats.org/officeDocument/2006/relationships" r:id="rId3"/>
          <a:extLst>
            <a:ext uri="{FF2B5EF4-FFF2-40B4-BE49-F238E27FC236}">
              <a16:creationId xmlns:a16="http://schemas.microsoft.com/office/drawing/2014/main" id="{00000000-0008-0000-0100-000004000000}"/>
            </a:ext>
          </a:extLst>
        </xdr:cNvPr>
        <xdr:cNvSpPr txBox="1"/>
      </xdr:nvSpPr>
      <xdr:spPr>
        <a:xfrm>
          <a:off x="6419850" y="209550"/>
          <a:ext cx="4719497"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0" i="0" u="none" strike="noStrike">
              <a:solidFill>
                <a:schemeClr val="tx1"/>
              </a:solidFill>
              <a:effectLst/>
              <a:latin typeface="Arial" panose="020B0604020202020204" pitchFamily="34" charset="0"/>
              <a:ea typeface="+mn-ea"/>
              <a:cs typeface="Arial" panose="020B0604020202020204" pitchFamily="34" charset="0"/>
              <a:hlinkClick xmlns:r="http://schemas.openxmlformats.org/officeDocument/2006/relationships" r:id=""/>
            </a:rPr>
            <a:t>© Copyright 2024</a:t>
          </a:r>
          <a:r>
            <a:rPr lang="en-US" sz="1100" b="0" i="0">
              <a:solidFill>
                <a:schemeClr val="tx1"/>
              </a:solidFill>
              <a:effectLst/>
              <a:latin typeface="Arial" panose="020B0604020202020204" pitchFamily="34" charset="0"/>
              <a:ea typeface="+mn-ea"/>
              <a:cs typeface="Arial" panose="020B0604020202020204" pitchFamily="34" charset="0"/>
            </a:rPr>
            <a:t> Texas Instruments Incorporated. All rights reserved.</a:t>
          </a:r>
          <a:endParaRPr lang="en-US" sz="1100" b="0">
            <a:latin typeface="Arial" panose="020B0604020202020204" pitchFamily="34" charset="0"/>
            <a:cs typeface="Arial" panose="020B0604020202020204" pitchFamily="34" charset="0"/>
          </a:endParaRPr>
        </a:p>
      </xdr:txBody>
    </xdr:sp>
    <xdr:clientData/>
  </xdr:oneCellAnchor>
  <xdr:oneCellAnchor>
    <xdr:from>
      <xdr:col>0</xdr:col>
      <xdr:colOff>95247</xdr:colOff>
      <xdr:row>5</xdr:row>
      <xdr:rowOff>95251</xdr:rowOff>
    </xdr:from>
    <xdr:ext cx="11229977" cy="4457700"/>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95247" y="1000126"/>
          <a:ext cx="11229977" cy="4457700"/>
        </a:xfrm>
        <a:prstGeom prst="rect">
          <a:avLst/>
        </a:prstGeom>
        <a:solidFill>
          <a:schemeClr val="bg1">
            <a:lumMod val="8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eaLnBrk="1" fontAlgn="auto" latinLnBrk="0" hangingPunct="1"/>
          <a:r>
            <a:rPr lang="en-US" sz="1100" b="1" i="0" baseline="0">
              <a:solidFill>
                <a:schemeClr val="tx1"/>
              </a:solidFill>
              <a:effectLst/>
              <a:latin typeface="+mn-lt"/>
              <a:ea typeface="+mn-ea"/>
              <a:cs typeface="+mn-cs"/>
            </a:rPr>
            <a:t>IMPORTANT NOTICE AND DISCLAIMER</a:t>
          </a:r>
          <a:endParaRPr lang="en-US" sz="1000">
            <a:effectLst/>
          </a:endParaRPr>
        </a:p>
        <a:p>
          <a:pPr eaLnBrk="1" fontAlgn="auto" latinLnBrk="0" hangingPunct="1"/>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TI PROVIDES TECHNICAL AND RELIABILITY DATA (INCLUDING DATA SHEETS), DESIGN RESOURCES (INCLUDING REFERENCE</a:t>
          </a:r>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DESIGNS), APPLICATION OR OTHER DESIGN ADVICE, WEB TOOLS, SAFETY INFORMATION, AND OTHER RESOURCES “AS IS”</a:t>
          </a:r>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AND WITH ALL FAULTS, AND DISCLAIMS ALL WARRANTIES, EXPRESS AND IMPLIED, INCLUDING WITHOUT LIMITATION ANY</a:t>
          </a:r>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IMPLIED WARRANTIES OF MERCHANTABILITY, FITNESS FOR A PARTICULAR PURPOSE OR NON-INFRINGEMENT OF THIRD</a:t>
          </a:r>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PARTY INTELLECTUAL PROPERTY RIGHTS.</a:t>
          </a:r>
          <a:endParaRPr lang="en-US" sz="1000">
            <a:effectLst/>
          </a:endParaRPr>
        </a:p>
        <a:p>
          <a:pPr eaLnBrk="1" fontAlgn="auto" latinLnBrk="0" hangingPunct="1"/>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These resources are intended for skilled developers designing with TI products. You are solely responsible for (1) selecting the appropriate</a:t>
          </a:r>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TI products for your application, (2) designing, validating and testing your application, and (3) ensuring your application meets applicable</a:t>
          </a:r>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standards, and any other safety, security, regulatory or other requirements.</a:t>
          </a:r>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These resources are subject to change without notice. TI grants you permission to use these resources only for development of an</a:t>
          </a:r>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application that uses the TI products described in the resource. Other reproduction and display of these resources is prohibited. No license</a:t>
          </a:r>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is granted to any other TI intellectual property right or to any third party intellectual property right. TI disclaims responsibility for, and you</a:t>
          </a:r>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will fully indemnify TI and its representatives against, any claims, damages, costs, losses, and liabilities arising out of your use of these</a:t>
          </a:r>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resources.</a:t>
          </a:r>
          <a:endParaRPr lang="en-US" sz="1000">
            <a:effectLst/>
          </a:endParaRPr>
        </a:p>
        <a:p>
          <a:pPr eaLnBrk="1" fontAlgn="auto" latinLnBrk="0" hangingPunct="1"/>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TI’s products are provided subject to TI’s Terms of Sale or other applicable terms available either on ti.com or provided in conjunction with</a:t>
          </a:r>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such TI products. TI’s provision of these resources does not expand or otherwise alter TI’s applicable warranties or warranty disclaimers for</a:t>
          </a:r>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TI products.</a:t>
          </a:r>
          <a:endParaRPr lang="en-US" sz="1000">
            <a:effectLst/>
          </a:endParaRPr>
        </a:p>
        <a:p>
          <a:pPr eaLnBrk="1" fontAlgn="auto" latinLnBrk="0" hangingPunct="1"/>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TI objects to and rejects any additional or different terms you may have proposed. IMPORTANT NOTICE</a:t>
          </a:r>
          <a:endParaRPr lang="en-US" sz="1000">
            <a:effectLst/>
          </a:endParaRPr>
        </a:p>
        <a:p>
          <a:pPr algn="ctr" eaLnBrk="1" fontAlgn="auto" latinLnBrk="0" hangingPunct="1"/>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Mailing Address: Texas Instruments, Post Office Box 655303, Dallas, Texas 75265</a:t>
          </a:r>
          <a:br>
            <a:rPr lang="en-US" sz="1100" b="0" i="0" baseline="0">
              <a:solidFill>
                <a:schemeClr val="tx1"/>
              </a:solidFill>
              <a:effectLst/>
              <a:latin typeface="+mn-lt"/>
              <a:ea typeface="+mn-ea"/>
              <a:cs typeface="+mn-cs"/>
            </a:rPr>
          </a:br>
          <a:r>
            <a:rPr lang="en-US" sz="1100" b="0" i="0" baseline="0">
              <a:solidFill>
                <a:schemeClr val="tx1"/>
              </a:solidFill>
              <a:effectLst/>
              <a:latin typeface="+mn-lt"/>
              <a:ea typeface="+mn-ea"/>
              <a:cs typeface="+mn-cs"/>
            </a:rPr>
            <a:t>Copyright © 2024, Texas Instruments Incorporated</a:t>
          </a:r>
          <a:endParaRPr lang="en-US" sz="1000">
            <a:effectLst/>
          </a:endParaRPr>
        </a:p>
      </xdr:txBody>
    </xdr:sp>
    <xdr:clientData/>
  </xdr:oneCellAnchor>
  <xdr:oneCellAnchor>
    <xdr:from>
      <xdr:col>0</xdr:col>
      <xdr:colOff>95247</xdr:colOff>
      <xdr:row>30</xdr:row>
      <xdr:rowOff>28576</xdr:rowOff>
    </xdr:from>
    <xdr:ext cx="11229977" cy="685799"/>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95247" y="5457826"/>
          <a:ext cx="11229977" cy="685799"/>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chemeClr val="tx1"/>
              </a:solidFill>
              <a:effectLst/>
              <a:latin typeface="+mn-lt"/>
              <a:ea typeface="+mn-ea"/>
              <a:cs typeface="+mn-cs"/>
            </a:rPr>
            <a:t>IMPORTANT</a:t>
          </a:r>
          <a:r>
            <a:rPr lang="en-US" sz="1100" b="1" baseline="0">
              <a:solidFill>
                <a:schemeClr val="tx1"/>
              </a:solidFill>
              <a:effectLst/>
              <a:latin typeface="+mn-lt"/>
              <a:ea typeface="+mn-ea"/>
              <a:cs typeface="+mn-cs"/>
            </a:rPr>
            <a:t>:   </a:t>
          </a:r>
          <a:endParaRPr lang="en-US" sz="800">
            <a:effectLst/>
          </a:endParaRPr>
        </a:p>
        <a:p>
          <a:r>
            <a:rPr lang="en-US" sz="1100" baseline="0">
              <a:solidFill>
                <a:schemeClr val="tx1"/>
              </a:solidFill>
              <a:effectLst/>
              <a:latin typeface="+mn-lt"/>
              <a:ea typeface="+mn-ea"/>
              <a:cs typeface="+mn-cs"/>
            </a:rPr>
            <a:t>1.  Do not delete this worksheet!</a:t>
          </a:r>
          <a:endParaRPr lang="en-US" sz="800">
            <a:effectLst/>
          </a:endParaRPr>
        </a:p>
        <a:p>
          <a:pPr eaLnBrk="1" fontAlgn="auto" latinLnBrk="0" hangingPunct="1"/>
          <a:r>
            <a:rPr lang="en-US" sz="1100" baseline="0">
              <a:solidFill>
                <a:schemeClr val="tx1"/>
              </a:solidFill>
              <a:effectLst/>
              <a:latin typeface="+mn-lt"/>
              <a:ea typeface="+mn-ea"/>
              <a:cs typeface="+mn-cs"/>
            </a:rPr>
            <a:t>2.  Redistributions must retain the above copyright and the following disclaimer.</a:t>
          </a:r>
          <a:endParaRPr lang="en-US" sz="800">
            <a:effectLst/>
          </a:endParaRPr>
        </a:p>
        <a:p>
          <a:endParaRPr lang="en-US" sz="800" baseline="0">
            <a:latin typeface="Arial" panose="020B0604020202020204" pitchFamily="34" charset="0"/>
            <a:cs typeface="Arial" panose="020B0604020202020204" pitchFamily="34" charset="0"/>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76</xdr:col>
      <xdr:colOff>197810</xdr:colOff>
      <xdr:row>6</xdr:row>
      <xdr:rowOff>107149</xdr:rowOff>
    </xdr:from>
    <xdr:to>
      <xdr:col>85</xdr:col>
      <xdr:colOff>2406</xdr:colOff>
      <xdr:row>25</xdr:row>
      <xdr:rowOff>110908</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49</xdr:col>
      <xdr:colOff>228022</xdr:colOff>
      <xdr:row>12</xdr:row>
      <xdr:rowOff>102466</xdr:rowOff>
    </xdr:from>
    <xdr:to>
      <xdr:col>66</xdr:col>
      <xdr:colOff>96573</xdr:colOff>
      <xdr:row>37</xdr:row>
      <xdr:rowOff>156894</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76</xdr:col>
      <xdr:colOff>197810</xdr:colOff>
      <xdr:row>6</xdr:row>
      <xdr:rowOff>107149</xdr:rowOff>
    </xdr:from>
    <xdr:to>
      <xdr:col>85</xdr:col>
      <xdr:colOff>2406</xdr:colOff>
      <xdr:row>25</xdr:row>
      <xdr:rowOff>110908</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49</xdr:col>
      <xdr:colOff>228022</xdr:colOff>
      <xdr:row>12</xdr:row>
      <xdr:rowOff>102466</xdr:rowOff>
    </xdr:from>
    <xdr:to>
      <xdr:col>66</xdr:col>
      <xdr:colOff>96573</xdr:colOff>
      <xdr:row>37</xdr:row>
      <xdr:rowOff>156894</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10231751</xdr:colOff>
      <xdr:row>2</xdr:row>
      <xdr:rowOff>4816928</xdr:rowOff>
    </xdr:to>
    <xdr:graphicFrame macro="">
      <xdr:nvGraphicFramePr>
        <xdr:cNvPr id="4" name="Chart 3">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0</xdr:rowOff>
    </xdr:from>
    <xdr:to>
      <xdr:col>1</xdr:col>
      <xdr:colOff>10231751</xdr:colOff>
      <xdr:row>4</xdr:row>
      <xdr:rowOff>4816928</xdr:rowOff>
    </xdr:to>
    <xdr:graphicFrame macro="">
      <xdr:nvGraphicFramePr>
        <xdr:cNvPr id="5" name="Chart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59634</xdr:colOff>
      <xdr:row>105</xdr:row>
      <xdr:rowOff>49693</xdr:rowOff>
    </xdr:from>
    <xdr:to>
      <xdr:col>23</xdr:col>
      <xdr:colOff>119714</xdr:colOff>
      <xdr:row>119</xdr:row>
      <xdr:rowOff>291127</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9468677" y="16416128"/>
          <a:ext cx="10479601" cy="3021205"/>
        </a:xfrm>
        <a:prstGeom prst="rect">
          <a:avLst/>
        </a:prstGeom>
      </xdr:spPr>
    </xdr:pic>
    <xdr:clientData/>
  </xdr:twoCellAnchor>
  <xdr:twoCellAnchor editAs="oneCell">
    <xdr:from>
      <xdr:col>3</xdr:col>
      <xdr:colOff>2194891</xdr:colOff>
      <xdr:row>100</xdr:row>
      <xdr:rowOff>182217</xdr:rowOff>
    </xdr:from>
    <xdr:to>
      <xdr:col>5</xdr:col>
      <xdr:colOff>539184</xdr:colOff>
      <xdr:row>103</xdr:row>
      <xdr:rowOff>172770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7354956" y="15215152"/>
          <a:ext cx="2638793" cy="56205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308511</xdr:colOff>
      <xdr:row>64</xdr:row>
      <xdr:rowOff>26319</xdr:rowOff>
    </xdr:from>
    <xdr:to>
      <xdr:col>13</xdr:col>
      <xdr:colOff>100535</xdr:colOff>
      <xdr:row>73</xdr:row>
      <xdr:rowOff>174209</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3860776" y="12352790"/>
          <a:ext cx="6414700" cy="1862390"/>
        </a:xfrm>
        <a:prstGeom prst="rect">
          <a:avLst/>
        </a:prstGeom>
      </xdr:spPr>
    </xdr:pic>
    <xdr:clientData/>
  </xdr:twoCellAnchor>
  <xdr:twoCellAnchor>
    <xdr:from>
      <xdr:col>13</xdr:col>
      <xdr:colOff>1051560</xdr:colOff>
      <xdr:row>49</xdr:row>
      <xdr:rowOff>45720</xdr:rowOff>
    </xdr:from>
    <xdr:to>
      <xdr:col>24</xdr:col>
      <xdr:colOff>563880</xdr:colOff>
      <xdr:row>73</xdr:row>
      <xdr:rowOff>19050</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44</xdr:col>
      <xdr:colOff>186690</xdr:colOff>
      <xdr:row>39</xdr:row>
      <xdr:rowOff>167640</xdr:rowOff>
    </xdr:from>
    <xdr:to>
      <xdr:col>47</xdr:col>
      <xdr:colOff>162823</xdr:colOff>
      <xdr:row>45</xdr:row>
      <xdr:rowOff>69931</xdr:rowOff>
    </xdr:to>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a:stretch>
          <a:fillRect/>
        </a:stretch>
      </xdr:blipFill>
      <xdr:spPr>
        <a:xfrm>
          <a:off x="31171515" y="7901940"/>
          <a:ext cx="1804933" cy="1045291"/>
        </a:xfrm>
        <a:prstGeom prst="rect">
          <a:avLst/>
        </a:prstGeom>
      </xdr:spPr>
    </xdr:pic>
    <xdr:clientData/>
  </xdr:twoCellAnchor>
  <xdr:twoCellAnchor editAs="oneCell">
    <xdr:from>
      <xdr:col>46</xdr:col>
      <xdr:colOff>247650</xdr:colOff>
      <xdr:row>40</xdr:row>
      <xdr:rowOff>60960</xdr:rowOff>
    </xdr:from>
    <xdr:to>
      <xdr:col>50</xdr:col>
      <xdr:colOff>567929</xdr:colOff>
      <xdr:row>44</xdr:row>
      <xdr:rowOff>129611</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4"/>
        <a:stretch>
          <a:fillRect/>
        </a:stretch>
      </xdr:blipFill>
      <xdr:spPr>
        <a:xfrm>
          <a:off x="32708850" y="7985760"/>
          <a:ext cx="2758679" cy="830651"/>
        </a:xfrm>
        <a:prstGeom prst="rect">
          <a:avLst/>
        </a:prstGeom>
      </xdr:spPr>
    </xdr:pic>
    <xdr:clientData/>
  </xdr:twoCellAnchor>
  <xdr:twoCellAnchor>
    <xdr:from>
      <xdr:col>43</xdr:col>
      <xdr:colOff>30480</xdr:colOff>
      <xdr:row>49</xdr:row>
      <xdr:rowOff>64770</xdr:rowOff>
    </xdr:from>
    <xdr:to>
      <xdr:col>54</xdr:col>
      <xdr:colOff>144780</xdr:colOff>
      <xdr:row>73</xdr:row>
      <xdr:rowOff>38100</xdr:rowOff>
    </xdr:to>
    <xdr:graphicFrame macro="">
      <xdr:nvGraphicFramePr>
        <xdr:cNvPr id="6" name="Chart 5">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7620</xdr:colOff>
      <xdr:row>21</xdr:row>
      <xdr:rowOff>121920</xdr:rowOff>
    </xdr:from>
    <xdr:to>
      <xdr:col>25</xdr:col>
      <xdr:colOff>45720</xdr:colOff>
      <xdr:row>45</xdr:row>
      <xdr:rowOff>80010</xdr:rowOff>
    </xdr:to>
    <xdr:graphicFrame macro="">
      <xdr:nvGraphicFramePr>
        <xdr:cNvPr id="7" name="Chart 6">
          <a:extLst>
            <a:ext uri="{FF2B5EF4-FFF2-40B4-BE49-F238E27FC236}">
              <a16:creationId xmlns:a16="http://schemas.microsoft.com/office/drawing/2014/main" id="{00000000-0008-0000-07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30</xdr:col>
      <xdr:colOff>313764</xdr:colOff>
      <xdr:row>48</xdr:row>
      <xdr:rowOff>179295</xdr:rowOff>
    </xdr:from>
    <xdr:to>
      <xdr:col>41</xdr:col>
      <xdr:colOff>438673</xdr:colOff>
      <xdr:row>72</xdr:row>
      <xdr:rowOff>152625</xdr:rowOff>
    </xdr:to>
    <xdr:graphicFrame macro="">
      <xdr:nvGraphicFramePr>
        <xdr:cNvPr id="8" name="Chart 7">
          <a:extLst>
            <a:ext uri="{FF2B5EF4-FFF2-40B4-BE49-F238E27FC236}">
              <a16:creationId xmlns:a16="http://schemas.microsoft.com/office/drawing/2014/main" id="{00000000-0008-0000-0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30</xdr:col>
      <xdr:colOff>0</xdr:colOff>
      <xdr:row>22</xdr:row>
      <xdr:rowOff>0</xdr:rowOff>
    </xdr:from>
    <xdr:to>
      <xdr:col>41</xdr:col>
      <xdr:colOff>97865</xdr:colOff>
      <xdr:row>45</xdr:row>
      <xdr:rowOff>144855</xdr:rowOff>
    </xdr:to>
    <xdr:graphicFrame macro="">
      <xdr:nvGraphicFramePr>
        <xdr:cNvPr id="9" name="Chart 8">
          <a:extLst>
            <a:ext uri="{FF2B5EF4-FFF2-40B4-BE49-F238E27FC236}">
              <a16:creationId xmlns:a16="http://schemas.microsoft.com/office/drawing/2014/main" id="{00000000-0008-0000-07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43</xdr:col>
      <xdr:colOff>0</xdr:colOff>
      <xdr:row>22</xdr:row>
      <xdr:rowOff>0</xdr:rowOff>
    </xdr:from>
    <xdr:to>
      <xdr:col>54</xdr:col>
      <xdr:colOff>269688</xdr:colOff>
      <xdr:row>45</xdr:row>
      <xdr:rowOff>144855</xdr:rowOff>
    </xdr:to>
    <xdr:graphicFrame macro="">
      <xdr:nvGraphicFramePr>
        <xdr:cNvPr id="10" name="Chart 9">
          <a:extLst>
            <a:ext uri="{FF2B5EF4-FFF2-40B4-BE49-F238E27FC236}">
              <a16:creationId xmlns:a16="http://schemas.microsoft.com/office/drawing/2014/main" id="{00000000-0008-0000-07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0</xdr:col>
      <xdr:colOff>952501</xdr:colOff>
      <xdr:row>89</xdr:row>
      <xdr:rowOff>89647</xdr:rowOff>
    </xdr:from>
    <xdr:to>
      <xdr:col>11</xdr:col>
      <xdr:colOff>100446</xdr:colOff>
      <xdr:row>110</xdr:row>
      <xdr:rowOff>98671</xdr:rowOff>
    </xdr:to>
    <xdr:pic>
      <xdr:nvPicPr>
        <xdr:cNvPr id="11" name="Picture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10"/>
        <a:stretch>
          <a:fillRect/>
        </a:stretch>
      </xdr:blipFill>
      <xdr:spPr>
        <a:xfrm>
          <a:off x="952501" y="17212235"/>
          <a:ext cx="7742857" cy="40095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a0490699/Desktop/My%20devices/Excelsheet%20needs%20work/calculator%20project/LM5123_Excel_Quickstart_Calculator_for_Boost_Controller_Design.xlsx" TargetMode="External"/><Relationship Id="rId1" Type="http://schemas.openxmlformats.org/officeDocument/2006/relationships/externalLinkPath" Target="/Users/a0490699/Desktop/My%20devices/Excelsheet%20needs%20work/calculator%20project/LM5123_Excel_Quickstart_Calculator_for_Boost_Controller_Desig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sign Converter"/>
      <sheetName val="Variable_Management"/>
      <sheetName val="Eff_vs_IOUT"/>
      <sheetName val="Loop_Modeling"/>
      <sheetName val="Constants"/>
      <sheetName val="Plot_Management_Eff"/>
      <sheetName val="Plot_Management_Sch"/>
      <sheetName val="Lists"/>
      <sheetName val="Sheet1"/>
    </sheetNames>
    <sheetDataSet>
      <sheetData sheetId="0"/>
      <sheetData sheetId="1">
        <row r="127">
          <cell r="B127">
            <v>81818.181818181751</v>
          </cell>
        </row>
      </sheetData>
      <sheetData sheetId="2">
        <row r="7">
          <cell r="S7">
            <v>0</v>
          </cell>
          <cell r="AI7">
            <v>1.13161834494674E-3</v>
          </cell>
          <cell r="AO7">
            <v>0.63790833399516844</v>
          </cell>
          <cell r="AP7">
            <v>2.5461412761301648E-3</v>
          </cell>
          <cell r="AW7">
            <v>0</v>
          </cell>
        </row>
        <row r="8">
          <cell r="S8">
            <v>9.3333333333333338E-2</v>
          </cell>
          <cell r="AI8">
            <v>5.3029569450771509E-2</v>
          </cell>
          <cell r="AO8">
            <v>0.63990566732850174</v>
          </cell>
          <cell r="AP8">
            <v>2.663741276130165E-3</v>
          </cell>
          <cell r="AW8">
            <v>72.074743546197936</v>
          </cell>
        </row>
        <row r="9">
          <cell r="S9">
            <v>0.18666666666666668</v>
          </cell>
          <cell r="AI9">
            <v>0.10503205388992962</v>
          </cell>
          <cell r="AO9">
            <v>0.64195526732850172</v>
          </cell>
          <cell r="AP9">
            <v>3.0165412761301649E-3</v>
          </cell>
          <cell r="AW9">
            <v>83.278946320422875</v>
          </cell>
        </row>
        <row r="10">
          <cell r="S10">
            <v>0.28000000000000003</v>
          </cell>
          <cell r="AI10">
            <v>0.15713907166242103</v>
          </cell>
          <cell r="AO10">
            <v>0.6440571339951684</v>
          </cell>
          <cell r="AP10">
            <v>3.6045412761301645E-3</v>
          </cell>
          <cell r="AW10">
            <v>87.823398093854962</v>
          </cell>
        </row>
        <row r="11">
          <cell r="S11">
            <v>0.37333333333333335</v>
          </cell>
          <cell r="AI11">
            <v>0.20935062276824581</v>
          </cell>
          <cell r="AO11">
            <v>0.64621126732850176</v>
          </cell>
          <cell r="AP11">
            <v>4.4277412761301654E-3</v>
          </cell>
          <cell r="AW11">
            <v>90.281532425115813</v>
          </cell>
        </row>
        <row r="12">
          <cell r="S12">
            <v>0.46666666666666667</v>
          </cell>
          <cell r="AI12">
            <v>0.26166670720740393</v>
          </cell>
          <cell r="AO12">
            <v>0.6484176673285017</v>
          </cell>
          <cell r="AP12">
            <v>5.4861412761301655E-3</v>
          </cell>
          <cell r="AW12">
            <v>91.819206893500748</v>
          </cell>
        </row>
        <row r="13">
          <cell r="S13">
            <v>0.56000000000000005</v>
          </cell>
          <cell r="AI13">
            <v>0.31408732497989528</v>
          </cell>
          <cell r="AO13">
            <v>0.65067633399516844</v>
          </cell>
          <cell r="AP13">
            <v>6.7797412761301645E-3</v>
          </cell>
          <cell r="AW13">
            <v>92.870019459561121</v>
          </cell>
        </row>
        <row r="14">
          <cell r="S14">
            <v>0.65333333333333332</v>
          </cell>
          <cell r="AI14">
            <v>0.36661247608572006</v>
          </cell>
          <cell r="AO14">
            <v>0.65298726732850176</v>
          </cell>
          <cell r="AP14">
            <v>8.308541276130163E-3</v>
          </cell>
          <cell r="AW14">
            <v>93.632190379295068</v>
          </cell>
        </row>
        <row r="15">
          <cell r="S15">
            <v>0.7466666666666667</v>
          </cell>
          <cell r="AI15">
            <v>0.41924216052487823</v>
          </cell>
          <cell r="AO15">
            <v>0.65535046732850177</v>
          </cell>
          <cell r="AP15">
            <v>1.0072541276130166E-2</v>
          </cell>
          <cell r="AW15">
            <v>94.209194553124718</v>
          </cell>
        </row>
        <row r="16">
          <cell r="S16">
            <v>0.84000000000000008</v>
          </cell>
          <cell r="AI16">
            <v>0.4719763782973696</v>
          </cell>
          <cell r="AO16">
            <v>0.65776593399516836</v>
          </cell>
          <cell r="AP16">
            <v>1.2071741276130166E-2</v>
          </cell>
          <cell r="AW16">
            <v>94.660327183697774</v>
          </cell>
        </row>
        <row r="17">
          <cell r="S17">
            <v>0.93333333333333335</v>
          </cell>
          <cell r="AI17">
            <v>0.52481512940319441</v>
          </cell>
          <cell r="AO17">
            <v>0.66023366732850175</v>
          </cell>
          <cell r="AP17">
            <v>1.4306141276130167E-2</v>
          </cell>
          <cell r="AW17">
            <v>95.022008446023904</v>
          </cell>
        </row>
        <row r="18">
          <cell r="S18">
            <v>1.0266666666666666</v>
          </cell>
          <cell r="AI18">
            <v>0.57775841384235238</v>
          </cell>
          <cell r="AO18">
            <v>0.66275366732850172</v>
          </cell>
          <cell r="AP18">
            <v>1.6775741276130161E-2</v>
          </cell>
          <cell r="AW18">
            <v>95.317844151427352</v>
          </cell>
        </row>
        <row r="19">
          <cell r="S19">
            <v>1.1200000000000001</v>
          </cell>
          <cell r="AI19">
            <v>0.63080623161484384</v>
          </cell>
          <cell r="AO19">
            <v>0.66532593399516837</v>
          </cell>
          <cell r="AP19">
            <v>1.9480541276130164E-2</v>
          </cell>
          <cell r="AW19">
            <v>95.563805969178546</v>
          </cell>
        </row>
        <row r="20">
          <cell r="S20">
            <v>1.2133333333333334</v>
          </cell>
          <cell r="AI20">
            <v>0.68395858272066867</v>
          </cell>
          <cell r="AO20">
            <v>0.66795046732850172</v>
          </cell>
          <cell r="AP20">
            <v>2.242054127613017E-2</v>
          </cell>
          <cell r="AW20">
            <v>95.771086688792309</v>
          </cell>
        </row>
        <row r="21">
          <cell r="S21">
            <v>1.3066666666666666</v>
          </cell>
          <cell r="AI21">
            <v>0.73721546715982667</v>
          </cell>
          <cell r="AO21">
            <v>0.67062726732850175</v>
          </cell>
          <cell r="AP21">
            <v>2.5595741276130162E-2</v>
          </cell>
          <cell r="AW21">
            <v>95.947763185503092</v>
          </cell>
        </row>
        <row r="22">
          <cell r="S22">
            <v>1.4000000000000001</v>
          </cell>
          <cell r="AI22">
            <v>0.79057688493231826</v>
          </cell>
          <cell r="AO22">
            <v>0.67335633399516848</v>
          </cell>
          <cell r="AP22">
            <v>2.9006141276130167E-2</v>
          </cell>
          <cell r="AW22">
            <v>96.099810151145334</v>
          </cell>
        </row>
        <row r="23">
          <cell r="S23">
            <v>1.4933333333333334</v>
          </cell>
          <cell r="AI23">
            <v>0.84404283603814301</v>
          </cell>
          <cell r="AO23">
            <v>0.67613766732850178</v>
          </cell>
          <cell r="AP23">
            <v>3.2651741276130172E-2</v>
          </cell>
          <cell r="AW23">
            <v>96.231742235239238</v>
          </cell>
        </row>
        <row r="24">
          <cell r="S24">
            <v>1.5866666666666667</v>
          </cell>
          <cell r="AI24">
            <v>0.89761332047730091</v>
          </cell>
          <cell r="AO24">
            <v>0.67897126732850177</v>
          </cell>
          <cell r="AP24">
            <v>3.6532541276130169E-2</v>
          </cell>
          <cell r="AW24">
            <v>96.347034357137446</v>
          </cell>
        </row>
        <row r="25">
          <cell r="S25">
            <v>1.6800000000000002</v>
          </cell>
          <cell r="AI25">
            <v>0.95128833824979242</v>
          </cell>
          <cell r="AO25">
            <v>0.68185713399516845</v>
          </cell>
          <cell r="AP25">
            <v>4.0648541276130171E-2</v>
          </cell>
          <cell r="AW25">
            <v>96.448404725179344</v>
          </cell>
        </row>
        <row r="26">
          <cell r="S26">
            <v>1.7733333333333334</v>
          </cell>
          <cell r="AI26">
            <v>1.0050678893556171</v>
          </cell>
          <cell r="AO26">
            <v>0.68479526732850171</v>
          </cell>
          <cell r="AP26">
            <v>4.4999741276130177E-2</v>
          </cell>
          <cell r="AW26">
            <v>96.538010182006872</v>
          </cell>
        </row>
        <row r="27">
          <cell r="S27">
            <v>1.8666666666666667</v>
          </cell>
          <cell r="AI27">
            <v>1.0589519737947755</v>
          </cell>
          <cell r="AO27">
            <v>0.68778566732850177</v>
          </cell>
          <cell r="AP27">
            <v>4.9586141276130175E-2</v>
          </cell>
          <cell r="AW27">
            <v>96.617584006656713</v>
          </cell>
        </row>
        <row r="28">
          <cell r="S28">
            <v>1.9600000000000002</v>
          </cell>
          <cell r="AI28">
            <v>1.112940591567267</v>
          </cell>
          <cell r="AO28">
            <v>0.69082833399516841</v>
          </cell>
          <cell r="AP28">
            <v>5.4407741276130184E-2</v>
          </cell>
          <cell r="AW28">
            <v>96.688535023683485</v>
          </cell>
        </row>
        <row r="29">
          <cell r="S29">
            <v>2.0533333333333332</v>
          </cell>
          <cell r="AI29">
            <v>1.1670337426730912</v>
          </cell>
          <cell r="AO29">
            <v>0.69392326732850174</v>
          </cell>
          <cell r="AP29">
            <v>5.9464541276130156E-2</v>
          </cell>
          <cell r="AW29">
            <v>96.752020127868875</v>
          </cell>
        </row>
        <row r="30">
          <cell r="S30">
            <v>2.1466666666666669</v>
          </cell>
          <cell r="AI30">
            <v>1.2212314271122497</v>
          </cell>
          <cell r="AO30">
            <v>0.69707046732850175</v>
          </cell>
          <cell r="AP30">
            <v>6.4756541276130161E-2</v>
          </cell>
          <cell r="AW30">
            <v>96.808998187822311</v>
          </cell>
        </row>
        <row r="31">
          <cell r="S31">
            <v>2.2400000000000002</v>
          </cell>
          <cell r="AI31">
            <v>1.275533644884741</v>
          </cell>
          <cell r="AO31">
            <v>0.70026993399516846</v>
          </cell>
          <cell r="AP31">
            <v>7.0283741276130171E-2</v>
          </cell>
          <cell r="AW31">
            <v>96.860270677489993</v>
          </cell>
        </row>
        <row r="32">
          <cell r="S32">
            <v>2.3333333333333335</v>
          </cell>
          <cell r="AI32">
            <v>1.3299403959905658</v>
          </cell>
          <cell r="AO32">
            <v>0.70352166732850174</v>
          </cell>
          <cell r="AP32">
            <v>7.6046141276130172E-2</v>
          </cell>
          <cell r="AW32">
            <v>96.906512697769813</v>
          </cell>
        </row>
        <row r="33">
          <cell r="S33">
            <v>2.4266666666666667</v>
          </cell>
          <cell r="AI33">
            <v>1.384451680429724</v>
          </cell>
          <cell r="AO33">
            <v>0.70682566732850183</v>
          </cell>
          <cell r="AP33">
            <v>8.2043741276130178E-2</v>
          </cell>
          <cell r="AW33">
            <v>96.948296939349646</v>
          </cell>
        </row>
        <row r="34">
          <cell r="S34">
            <v>2.52</v>
          </cell>
          <cell r="AI34">
            <v>1.4390674982022156</v>
          </cell>
          <cell r="AO34">
            <v>0.71018193399516838</v>
          </cell>
          <cell r="AP34">
            <v>8.827654127613016E-2</v>
          </cell>
          <cell r="AW34">
            <v>96.986112392178498</v>
          </cell>
        </row>
        <row r="35">
          <cell r="S35">
            <v>2.6133333333333333</v>
          </cell>
          <cell r="AI35">
            <v>1.4937878493080401</v>
          </cell>
          <cell r="AO35">
            <v>0.71359046732850173</v>
          </cell>
          <cell r="AP35">
            <v>9.4744541276130148E-2</v>
          </cell>
          <cell r="AW35">
            <v>97.020379097850068</v>
          </cell>
        </row>
        <row r="36">
          <cell r="S36">
            <v>2.706666666666667</v>
          </cell>
          <cell r="AI36">
            <v>1.5486127337471982</v>
          </cell>
          <cell r="AO36">
            <v>0.71705126732850177</v>
          </cell>
          <cell r="AP36">
            <v>0.10144774127613021</v>
          </cell>
          <cell r="AW36">
            <v>97.051459888071491</v>
          </cell>
        </row>
        <row r="37">
          <cell r="S37">
            <v>2.8000000000000003</v>
          </cell>
          <cell r="AI37">
            <v>1.6035421515196897</v>
          </cell>
          <cell r="AO37">
            <v>0.72056433399516839</v>
          </cell>
          <cell r="AP37">
            <v>0.10838614127613017</v>
          </cell>
          <cell r="AW37">
            <v>97.079669803929562</v>
          </cell>
        </row>
        <row r="38">
          <cell r="S38">
            <v>2.8933333333333335</v>
          </cell>
          <cell r="AI38">
            <v>1.6585761026255148</v>
          </cell>
          <cell r="AO38">
            <v>0.72412966732850181</v>
          </cell>
          <cell r="AP38">
            <v>0.11555974127613018</v>
          </cell>
          <cell r="AW38">
            <v>97.10528371349254</v>
          </cell>
        </row>
        <row r="39">
          <cell r="S39">
            <v>2.9866666666666668</v>
          </cell>
          <cell r="AI39">
            <v>1.7137145870646726</v>
          </cell>
          <cell r="AO39">
            <v>0.7277472673285017</v>
          </cell>
          <cell r="AP39">
            <v>0.12296854127613016</v>
          </cell>
          <cell r="AW39">
            <v>97.1285425173742</v>
          </cell>
        </row>
        <row r="40">
          <cell r="S40">
            <v>3.08</v>
          </cell>
          <cell r="AI40">
            <v>1.768957604837164</v>
          </cell>
          <cell r="AO40">
            <v>0.7314171339951685</v>
          </cell>
          <cell r="AP40">
            <v>0.13061254127613015</v>
          </cell>
          <cell r="AW40">
            <v>97.149658238475084</v>
          </cell>
        </row>
        <row r="41">
          <cell r="S41">
            <v>3.1733333333333333</v>
          </cell>
          <cell r="AI41">
            <v>1.8243051559429886</v>
          </cell>
          <cell r="AO41">
            <v>0.73513926732850177</v>
          </cell>
          <cell r="AP41">
            <v>0.13849174127613015</v>
          </cell>
          <cell r="AW41">
            <v>97.168818223165886</v>
          </cell>
        </row>
        <row r="42">
          <cell r="S42">
            <v>3.2666666666666666</v>
          </cell>
          <cell r="AI42">
            <v>1.8797572403821465</v>
          </cell>
          <cell r="AO42">
            <v>0.73891366732850172</v>
          </cell>
          <cell r="AP42">
            <v>0.14660614127613011</v>
          </cell>
          <cell r="AW42">
            <v>97.18618862977246</v>
          </cell>
        </row>
        <row r="43">
          <cell r="S43">
            <v>3.3600000000000003</v>
          </cell>
          <cell r="AI43">
            <v>1.9353138581546381</v>
          </cell>
          <cell r="AO43">
            <v>0.74274033399516837</v>
          </cell>
          <cell r="AP43">
            <v>0.15495574127613018</v>
          </cell>
          <cell r="AW43">
            <v>97.201917341538817</v>
          </cell>
        </row>
        <row r="44">
          <cell r="S44">
            <v>3.4533333333333336</v>
          </cell>
          <cell r="AI44">
            <v>1.9909750092604632</v>
          </cell>
          <cell r="AO44">
            <v>0.7466192673285017</v>
          </cell>
          <cell r="AP44">
            <v>0.16354054127613019</v>
          </cell>
          <cell r="AW44">
            <v>97.216136411876164</v>
          </cell>
        </row>
        <row r="45">
          <cell r="S45">
            <v>3.5466666666666669</v>
          </cell>
          <cell r="AI45">
            <v>2.0467406936996211</v>
          </cell>
          <cell r="AO45">
            <v>0.75055046732850172</v>
          </cell>
          <cell r="AP45">
            <v>0.17236054127613018</v>
          </cell>
          <cell r="AW45">
            <v>97.228964127228892</v>
          </cell>
        </row>
        <row r="46">
          <cell r="S46">
            <v>3.64</v>
          </cell>
          <cell r="AI46">
            <v>2.1026109114721123</v>
          </cell>
          <cell r="AO46">
            <v>0.75453393399516833</v>
          </cell>
          <cell r="AP46">
            <v>0.18141574127613017</v>
          </cell>
          <cell r="AW46">
            <v>97.240506755547358</v>
          </cell>
        </row>
        <row r="47">
          <cell r="S47">
            <v>3.7333333333333334</v>
          </cell>
          <cell r="AI47">
            <v>2.1585856625779374</v>
          </cell>
          <cell r="AO47">
            <v>0.75856966732850173</v>
          </cell>
          <cell r="AP47">
            <v>0.1907061412761302</v>
          </cell>
          <cell r="AW47">
            <v>97.250860034884298</v>
          </cell>
        </row>
        <row r="48">
          <cell r="S48">
            <v>3.8266666666666667</v>
          </cell>
          <cell r="AI48">
            <v>2.2146649470170954</v>
          </cell>
          <cell r="AO48">
            <v>0.76265766732850171</v>
          </cell>
          <cell r="AP48">
            <v>0.20023174127613019</v>
          </cell>
          <cell r="AW48">
            <v>97.260110446088532</v>
          </cell>
        </row>
        <row r="49">
          <cell r="S49">
            <v>3.9200000000000004</v>
          </cell>
          <cell r="AI49">
            <v>2.2708487647895872</v>
          </cell>
          <cell r="AO49">
            <v>0.76679793399516849</v>
          </cell>
          <cell r="AP49">
            <v>0.20999254127613026</v>
          </cell>
          <cell r="AW49">
            <v>97.268336305266828</v>
          </cell>
        </row>
        <row r="50">
          <cell r="S50">
            <v>4.0133333333333336</v>
          </cell>
          <cell r="AI50">
            <v>2.3271371158954119</v>
          </cell>
          <cell r="AO50">
            <v>0.77099046732850174</v>
          </cell>
          <cell r="AP50">
            <v>0.21998854127613024</v>
          </cell>
          <cell r="AW50">
            <v>97.275608705104659</v>
          </cell>
        </row>
        <row r="51">
          <cell r="S51">
            <v>4.1066666666666665</v>
          </cell>
          <cell r="AI51">
            <v>2.3835300003345692</v>
          </cell>
          <cell r="AO51">
            <v>0.77523526732850168</v>
          </cell>
          <cell r="AP51">
            <v>0.2302197412761301</v>
          </cell>
          <cell r="AW51">
            <v>97.281992328891221</v>
          </cell>
        </row>
        <row r="52">
          <cell r="S52">
            <v>4.2</v>
          </cell>
          <cell r="AI52">
            <v>2.4400274181070611</v>
          </cell>
          <cell r="AO52">
            <v>0.77953233399516841</v>
          </cell>
          <cell r="AP52">
            <v>0.24068614127613017</v>
          </cell>
          <cell r="AW52">
            <v>97.287546156889562</v>
          </cell>
        </row>
        <row r="53">
          <cell r="S53">
            <v>4.2933333333333339</v>
          </cell>
          <cell r="AI53">
            <v>2.496629369212886</v>
          </cell>
          <cell r="AO53">
            <v>0.78388166732850184</v>
          </cell>
          <cell r="AP53">
            <v>0.25138774127613023</v>
          </cell>
          <cell r="AW53">
            <v>97.29232408130369</v>
          </cell>
        </row>
        <row r="54">
          <cell r="S54">
            <v>4.3866666666666667</v>
          </cell>
          <cell r="AI54">
            <v>2.5533358536520439</v>
          </cell>
          <cell r="AO54">
            <v>0.78828326732850174</v>
          </cell>
          <cell r="AP54">
            <v>0.26232454127613014</v>
          </cell>
          <cell r="AW54">
            <v>97.296375443350129</v>
          </cell>
        </row>
        <row r="55">
          <cell r="S55">
            <v>4.4800000000000004</v>
          </cell>
          <cell r="AI55">
            <v>2.6101468714245351</v>
          </cell>
          <cell r="AO55">
            <v>0.79273713399516832</v>
          </cell>
          <cell r="AP55">
            <v>0.27349654127613016</v>
          </cell>
          <cell r="AW55">
            <v>97.299745503707015</v>
          </cell>
        </row>
        <row r="56">
          <cell r="S56">
            <v>4.5733333333333333</v>
          </cell>
          <cell r="AI56">
            <v>2.6670624225303601</v>
          </cell>
          <cell r="AO56">
            <v>0.7972432673285017</v>
          </cell>
          <cell r="AP56">
            <v>0.28490374127613011</v>
          </cell>
          <cell r="AW56">
            <v>97.302475855787279</v>
          </cell>
        </row>
        <row r="57">
          <cell r="S57">
            <v>4.666666666666667</v>
          </cell>
          <cell r="AI57">
            <v>2.724082506969518</v>
          </cell>
          <cell r="AO57">
            <v>0.80180166732850178</v>
          </cell>
          <cell r="AP57">
            <v>0.29654614127613022</v>
          </cell>
          <cell r="AW57">
            <v>97.304604789781806</v>
          </cell>
        </row>
        <row r="58">
          <cell r="S58">
            <v>4.76</v>
          </cell>
          <cell r="AI58">
            <v>2.7812071247420094</v>
          </cell>
          <cell r="AO58">
            <v>0.80641233399516843</v>
          </cell>
          <cell r="AP58">
            <v>0.3084237412761302</v>
          </cell>
          <cell r="AW58">
            <v>97.306167614181433</v>
          </cell>
        </row>
        <row r="59">
          <cell r="S59">
            <v>4.8533333333333335</v>
          </cell>
          <cell r="AI59">
            <v>2.8384362758478345</v>
          </cell>
          <cell r="AO59">
            <v>0.81107526732850177</v>
          </cell>
          <cell r="AP59">
            <v>0.32053654127613024</v>
          </cell>
          <cell r="AW59">
            <v>97.30719694046121</v>
          </cell>
        </row>
        <row r="60">
          <cell r="S60">
            <v>4.9466666666666672</v>
          </cell>
          <cell r="AI60">
            <v>2.8957699602869931</v>
          </cell>
          <cell r="AO60">
            <v>0.8157904673285018</v>
          </cell>
          <cell r="AP60">
            <v>0.33288454127613021</v>
          </cell>
          <cell r="AW60">
            <v>97.307722935758818</v>
          </cell>
        </row>
        <row r="61">
          <cell r="S61">
            <v>5.04</v>
          </cell>
          <cell r="AI61">
            <v>2.9532081780594845</v>
          </cell>
          <cell r="AO61">
            <v>0.82055793399516841</v>
          </cell>
          <cell r="AP61">
            <v>0.34546774127613017</v>
          </cell>
          <cell r="AW61">
            <v>97.307773547667992</v>
          </cell>
        </row>
        <row r="62">
          <cell r="S62">
            <v>5.1333333333333337</v>
          </cell>
          <cell r="AI62">
            <v>3.0107509291653094</v>
          </cell>
          <cell r="AO62">
            <v>0.82537766732850182</v>
          </cell>
          <cell r="AP62">
            <v>0.35828614127613029</v>
          </cell>
          <cell r="AW62">
            <v>97.307374704672227</v>
          </cell>
        </row>
        <row r="63">
          <cell r="S63">
            <v>5.2266666666666666</v>
          </cell>
          <cell r="AI63">
            <v>3.0683982136044667</v>
          </cell>
          <cell r="AO63">
            <v>0.83024966732850169</v>
          </cell>
          <cell r="AP63">
            <v>0.37133974127613001</v>
          </cell>
          <cell r="AW63">
            <v>97.306550495243812</v>
          </cell>
        </row>
        <row r="64">
          <cell r="S64">
            <v>5.32</v>
          </cell>
          <cell r="AI64">
            <v>3.1261500313769579</v>
          </cell>
          <cell r="AO64">
            <v>0.83517393399516837</v>
          </cell>
          <cell r="AP64">
            <v>0.38462854127613016</v>
          </cell>
          <cell r="AW64">
            <v>97.305323328211514</v>
          </cell>
        </row>
        <row r="65">
          <cell r="S65">
            <v>5.413333333333334</v>
          </cell>
          <cell r="AI65">
            <v>3.1840063824827829</v>
          </cell>
          <cell r="AO65">
            <v>0.84015046732850174</v>
          </cell>
          <cell r="AP65">
            <v>0.3981525412761302</v>
          </cell>
          <cell r="AW65">
            <v>97.303714076643189</v>
          </cell>
        </row>
        <row r="66">
          <cell r="S66">
            <v>5.5066666666666668</v>
          </cell>
          <cell r="AI66">
            <v>3.2419672669219408</v>
          </cell>
          <cell r="AO66">
            <v>0.84517926732850168</v>
          </cell>
          <cell r="AP66">
            <v>0.41191174127613006</v>
          </cell>
          <cell r="AW66">
            <v>97.301742207187147</v>
          </cell>
        </row>
        <row r="67">
          <cell r="S67">
            <v>5.6000000000000005</v>
          </cell>
          <cell r="AI67">
            <v>3.3000326846944326</v>
          </cell>
          <cell r="AO67">
            <v>0.85026033399516843</v>
          </cell>
          <cell r="AP67">
            <v>0.42590614127613013</v>
          </cell>
          <cell r="AW67">
            <v>97.299425896558276</v>
          </cell>
        </row>
        <row r="68">
          <cell r="S68">
            <v>5.6933333333333334</v>
          </cell>
          <cell r="AI68">
            <v>3.3582026358002577</v>
          </cell>
          <cell r="AO68">
            <v>0.85539366732850175</v>
          </cell>
          <cell r="AP68">
            <v>0.44013574127613031</v>
          </cell>
          <cell r="AW68">
            <v>97.296782136635429</v>
          </cell>
        </row>
        <row r="69">
          <cell r="S69">
            <v>5.7866666666666671</v>
          </cell>
          <cell r="AI69">
            <v>3.4164771202394162</v>
          </cell>
          <cell r="AO69">
            <v>0.86057926732850187</v>
          </cell>
          <cell r="AP69">
            <v>0.45460054127613025</v>
          </cell>
          <cell r="AW69">
            <v>97.293826829448079</v>
          </cell>
        </row>
        <row r="70">
          <cell r="S70">
            <v>5.88</v>
          </cell>
          <cell r="AI70">
            <v>3.4748561380119067</v>
          </cell>
          <cell r="AO70">
            <v>0.86581713399516835</v>
          </cell>
          <cell r="AP70">
            <v>0.46930054127613019</v>
          </cell>
          <cell r="AW70">
            <v>97.290574873169362</v>
          </cell>
        </row>
        <row r="71">
          <cell r="S71">
            <v>5.9733333333333336</v>
          </cell>
          <cell r="AI71">
            <v>3.533339689117732</v>
          </cell>
          <cell r="AO71">
            <v>0.87110726732850186</v>
          </cell>
          <cell r="AP71">
            <v>0.48423574127613017</v>
          </cell>
          <cell r="AW71">
            <v>97.287040240093262</v>
          </cell>
        </row>
        <row r="72">
          <cell r="S72">
            <v>6.0666666666666673</v>
          </cell>
          <cell r="AI72">
            <v>3.5919277735568906</v>
          </cell>
          <cell r="AO72">
            <v>0.87644966732850182</v>
          </cell>
          <cell r="AP72">
            <v>0.49940614127613037</v>
          </cell>
          <cell r="AW72">
            <v>97.283236047454679</v>
          </cell>
        </row>
        <row r="73">
          <cell r="S73">
            <v>6.16</v>
          </cell>
          <cell r="AI73">
            <v>3.6506203913293813</v>
          </cell>
          <cell r="AO73">
            <v>0.88184433399516837</v>
          </cell>
          <cell r="AP73">
            <v>0.51481174127613027</v>
          </cell>
          <cell r="AW73">
            <v>97.279174621846934</v>
          </cell>
        </row>
        <row r="74">
          <cell r="S74">
            <v>6.2533333333333339</v>
          </cell>
          <cell r="AI74">
            <v>3.7094175424352063</v>
          </cell>
          <cell r="AO74">
            <v>0.88729126732850183</v>
          </cell>
          <cell r="AP74">
            <v>0.53045254127613017</v>
          </cell>
          <cell r="AW74">
            <v>97.274867557902127</v>
          </cell>
        </row>
        <row r="75">
          <cell r="S75">
            <v>6.3466666666666667</v>
          </cell>
          <cell r="AI75">
            <v>3.7683192268743637</v>
          </cell>
          <cell r="AO75">
            <v>0.89279046732850165</v>
          </cell>
          <cell r="AP75">
            <v>0.54632854127613006</v>
          </cell>
          <cell r="AW75">
            <v>97.270325771821732</v>
          </cell>
        </row>
        <row r="76">
          <cell r="S76">
            <v>6.44</v>
          </cell>
          <cell r="AI76">
            <v>3.8273254446468554</v>
          </cell>
          <cell r="AO76">
            <v>0.89834193399516837</v>
          </cell>
          <cell r="AP76">
            <v>0.56243974127613017</v>
          </cell>
          <cell r="AW76">
            <v>97.265559550277132</v>
          </cell>
        </row>
        <row r="77">
          <cell r="S77">
            <v>6.5333333333333332</v>
          </cell>
          <cell r="AI77">
            <v>3.8864361957526796</v>
          </cell>
          <cell r="AO77">
            <v>0.90394566732850168</v>
          </cell>
          <cell r="AP77">
            <v>0.57878614127612993</v>
          </cell>
          <cell r="AW77">
            <v>97.260578595140458</v>
          </cell>
        </row>
        <row r="78">
          <cell r="S78">
            <v>6.6266666666666669</v>
          </cell>
          <cell r="AI78">
            <v>3.9456514801918376</v>
          </cell>
          <cell r="AO78">
            <v>0.90960166732850167</v>
          </cell>
          <cell r="AP78">
            <v>0.59536774127613012</v>
          </cell>
          <cell r="AW78">
            <v>97.255392064455208</v>
          </cell>
        </row>
        <row r="79">
          <cell r="S79">
            <v>6.7200000000000006</v>
          </cell>
          <cell r="AI79">
            <v>4.0049712979643299</v>
          </cell>
          <cell r="AO79">
            <v>0.91530993399516836</v>
          </cell>
          <cell r="AP79">
            <v>0.6121845412761302</v>
          </cell>
          <cell r="AW79">
            <v>97.250008610009715</v>
          </cell>
        </row>
        <row r="80">
          <cell r="S80">
            <v>6.8133333333333335</v>
          </cell>
          <cell r="AI80">
            <v>4.0643956490701543</v>
          </cell>
          <cell r="AO80">
            <v>0.92107046732850173</v>
          </cell>
          <cell r="AP80">
            <v>0.62923654127613027</v>
          </cell>
          <cell r="AW80">
            <v>97.244436411838009</v>
          </cell>
        </row>
        <row r="81">
          <cell r="S81">
            <v>6.9066666666666672</v>
          </cell>
          <cell r="AI81">
            <v>4.1239245335093129</v>
          </cell>
          <cell r="AO81">
            <v>0.92688326732850179</v>
          </cell>
          <cell r="AP81">
            <v>0.64652374127613033</v>
          </cell>
          <cell r="AW81">
            <v>97.238683209937207</v>
          </cell>
        </row>
        <row r="82">
          <cell r="S82">
            <v>7</v>
          </cell>
          <cell r="AI82">
            <v>4.183557951281804</v>
          </cell>
          <cell r="AO82">
            <v>0.93274833399516832</v>
          </cell>
          <cell r="AP82">
            <v>0.66404614127613015</v>
          </cell>
          <cell r="AW82">
            <v>97.232756333459918</v>
          </cell>
        </row>
        <row r="83">
          <cell r="S83">
            <v>7.0933333333333337</v>
          </cell>
          <cell r="AI83">
            <v>4.2432959023876284</v>
          </cell>
          <cell r="AO83">
            <v>0.93866566732850176</v>
          </cell>
          <cell r="AP83">
            <v>0.68180374127613019</v>
          </cell>
          <cell r="AW83">
            <v>97.226662727613117</v>
          </cell>
        </row>
        <row r="84">
          <cell r="S84">
            <v>7.1866666666666674</v>
          </cell>
          <cell r="AI84">
            <v>4.3031383868267872</v>
          </cell>
          <cell r="AO84">
            <v>0.94463526732850167</v>
          </cell>
          <cell r="AP84">
            <v>0.69979654127613033</v>
          </cell>
          <cell r="AW84">
            <v>97.220408978470843</v>
          </cell>
        </row>
        <row r="85">
          <cell r="S85">
            <v>7.28</v>
          </cell>
          <cell r="AI85">
            <v>4.3630854045992784</v>
          </cell>
          <cell r="AO85">
            <v>0.95065713399516838</v>
          </cell>
          <cell r="AP85">
            <v>0.71802454127613013</v>
          </cell>
          <cell r="AW85">
            <v>97.214001335887403</v>
          </cell>
        </row>
        <row r="86">
          <cell r="S86">
            <v>7.373333333333334</v>
          </cell>
          <cell r="AI86">
            <v>4.4231369557051039</v>
          </cell>
          <cell r="AO86">
            <v>0.95673126732850167</v>
          </cell>
          <cell r="AP86">
            <v>0.73648774127613015</v>
          </cell>
          <cell r="AW86">
            <v>97.20744573467833</v>
          </cell>
        </row>
        <row r="87">
          <cell r="S87">
            <v>7.4666666666666668</v>
          </cell>
          <cell r="AI87">
            <v>4.4832930401442619</v>
          </cell>
          <cell r="AO87">
            <v>0.96285766732850175</v>
          </cell>
          <cell r="AP87">
            <v>0.75518614127613026</v>
          </cell>
          <cell r="AW87">
            <v>97.200747814220009</v>
          </cell>
        </row>
        <row r="88">
          <cell r="S88">
            <v>7.5600000000000005</v>
          </cell>
          <cell r="AI88">
            <v>4.5435536579167533</v>
          </cell>
          <cell r="AO88">
            <v>0.96903633399516842</v>
          </cell>
          <cell r="AP88">
            <v>0.77411974127613048</v>
          </cell>
          <cell r="AW88">
            <v>97.19391293660415</v>
          </cell>
        </row>
        <row r="89">
          <cell r="S89">
            <v>7.6533333333333333</v>
          </cell>
          <cell r="AI89">
            <v>4.6039188090225771</v>
          </cell>
          <cell r="AO89">
            <v>0.97526726732850166</v>
          </cell>
          <cell r="AP89">
            <v>0.79328854127613024</v>
          </cell>
          <cell r="AW89">
            <v>97.186946203469688</v>
          </cell>
        </row>
        <row r="90">
          <cell r="S90">
            <v>7.746666666666667</v>
          </cell>
          <cell r="AI90">
            <v>4.6643884934617352</v>
          </cell>
          <cell r="AO90">
            <v>0.98155046732850182</v>
          </cell>
          <cell r="AP90">
            <v>0.81269254127613033</v>
          </cell>
          <cell r="AW90">
            <v>97.179852471623491</v>
          </cell>
        </row>
        <row r="91">
          <cell r="S91">
            <v>7.8400000000000007</v>
          </cell>
          <cell r="AI91">
            <v>4.7249627112342276</v>
          </cell>
          <cell r="AO91">
            <v>0.98788593399516844</v>
          </cell>
          <cell r="AP91">
            <v>0.83233174127613052</v>
          </cell>
          <cell r="AW91">
            <v>97.172636367549998</v>
          </cell>
        </row>
        <row r="92">
          <cell r="S92">
            <v>7.9333333333333336</v>
          </cell>
          <cell r="AI92">
            <v>4.7856414623400516</v>
          </cell>
          <cell r="AO92">
            <v>0.99427366732850175</v>
          </cell>
          <cell r="AP92">
            <v>0.85220614127613015</v>
          </cell>
          <cell r="AW92">
            <v>97.165302300901175</v>
          </cell>
        </row>
        <row r="93">
          <cell r="S93">
            <v>8.0266666666666673</v>
          </cell>
          <cell r="AI93">
            <v>4.8464247467792099</v>
          </cell>
          <cell r="AO93">
            <v>1.0007136673285018</v>
          </cell>
          <cell r="AP93">
            <v>0.87231574127613043</v>
          </cell>
          <cell r="AW93">
            <v>97.157854477049284</v>
          </cell>
        </row>
        <row r="94">
          <cell r="S94">
            <v>8.120000000000001</v>
          </cell>
          <cell r="AI94">
            <v>4.9073125645517015</v>
          </cell>
          <cell r="AO94">
            <v>1.0072059339951684</v>
          </cell>
          <cell r="AP94">
            <v>0.89266054127613048</v>
          </cell>
          <cell r="AW94">
            <v>97.150296908777591</v>
          </cell>
        </row>
        <row r="95">
          <cell r="S95">
            <v>8.2133333333333329</v>
          </cell>
          <cell r="AI95">
            <v>4.9683049156575247</v>
          </cell>
          <cell r="AO95">
            <v>1.0137504673285016</v>
          </cell>
          <cell r="AP95">
            <v>0.91324054127612997</v>
          </cell>
          <cell r="AW95">
            <v>97.142633427177358</v>
          </cell>
        </row>
        <row r="96">
          <cell r="S96">
            <v>8.3066666666666666</v>
          </cell>
          <cell r="AI96">
            <v>5.0294018000966831</v>
          </cell>
          <cell r="AO96">
            <v>1.0203472673285017</v>
          </cell>
          <cell r="AP96">
            <v>0.93405574127613</v>
          </cell>
          <cell r="AW96">
            <v>97.13486769181317</v>
          </cell>
        </row>
        <row r="97">
          <cell r="S97">
            <v>8.4</v>
          </cell>
          <cell r="AI97">
            <v>5.0906032178691749</v>
          </cell>
          <cell r="AO97">
            <v>1.0269963339951684</v>
          </cell>
          <cell r="AP97">
            <v>0.95510614127613036</v>
          </cell>
          <cell r="AW97">
            <v>97.127003200213366</v>
          </cell>
        </row>
        <row r="98">
          <cell r="S98">
            <v>8.4933333333333341</v>
          </cell>
          <cell r="AI98">
            <v>5.151909168975001</v>
          </cell>
          <cell r="AO98">
            <v>1.0336976673285017</v>
          </cell>
          <cell r="AP98">
            <v>0.97639174127613004</v>
          </cell>
          <cell r="AW98">
            <v>97.119043296737274</v>
          </cell>
        </row>
        <row r="99">
          <cell r="S99">
            <v>8.5866666666666678</v>
          </cell>
          <cell r="AI99">
            <v>5.2133196534141586</v>
          </cell>
          <cell r="AO99">
            <v>1.0404512673285016</v>
          </cell>
          <cell r="AP99">
            <v>0.99791254127613027</v>
          </cell>
          <cell r="AW99">
            <v>97.110991180866407</v>
          </cell>
        </row>
        <row r="100">
          <cell r="S100">
            <v>8.68</v>
          </cell>
          <cell r="AI100">
            <v>5.2748346711866496</v>
          </cell>
          <cell r="AO100">
            <v>1.0472571339951684</v>
          </cell>
          <cell r="AP100">
            <v>1.0196685412761304</v>
          </cell>
          <cell r="AW100">
            <v>97.102849914962846</v>
          </cell>
        </row>
        <row r="101">
          <cell r="S101">
            <v>8.7733333333333334</v>
          </cell>
          <cell r="AI101">
            <v>5.336454222292474</v>
          </cell>
          <cell r="AO101">
            <v>1.0541152673285017</v>
          </cell>
          <cell r="AP101">
            <v>1.0416597412761301</v>
          </cell>
          <cell r="AW101">
            <v>97.094622431534489</v>
          </cell>
        </row>
        <row r="102">
          <cell r="S102">
            <v>8.8666666666666671</v>
          </cell>
          <cell r="AI102">
            <v>5.3981783067316327</v>
          </cell>
          <cell r="AO102">
            <v>1.0610256673285017</v>
          </cell>
          <cell r="AP102">
            <v>1.06388614127613</v>
          </cell>
          <cell r="AW102">
            <v>97.086311540042971</v>
          </cell>
        </row>
        <row r="103">
          <cell r="S103">
            <v>8.9600000000000009</v>
          </cell>
          <cell r="AI103">
            <v>5.4600069245041238</v>
          </cell>
          <cell r="AO103">
            <v>1.0679883339951683</v>
          </cell>
          <cell r="AP103">
            <v>1.0863477412761304</v>
          </cell>
          <cell r="AW103">
            <v>97.07791993328793</v>
          </cell>
        </row>
        <row r="104">
          <cell r="S104">
            <v>9.0533333333333346</v>
          </cell>
          <cell r="AI104">
            <v>5.5219400756099501</v>
          </cell>
          <cell r="AO104">
            <v>1.0750032673285017</v>
          </cell>
          <cell r="AP104">
            <v>1.1090445412761303</v>
          </cell>
          <cell r="AW104">
            <v>97.069450193397714</v>
          </cell>
        </row>
        <row r="105">
          <cell r="S105">
            <v>9.1466666666666665</v>
          </cell>
          <cell r="AI105">
            <v>5.5839777600491072</v>
          </cell>
          <cell r="AO105">
            <v>1.0820704673285015</v>
          </cell>
          <cell r="AP105">
            <v>1.13197654127613</v>
          </cell>
          <cell r="AW105">
            <v>97.060904797454839</v>
          </cell>
        </row>
        <row r="106">
          <cell r="S106">
            <v>9.24</v>
          </cell>
          <cell r="AI106">
            <v>5.6461199778215985</v>
          </cell>
          <cell r="AO106">
            <v>1.0891899339951683</v>
          </cell>
          <cell r="AP106">
            <v>1.1551437412761303</v>
          </cell>
          <cell r="AW106">
            <v>97.052286122781609</v>
          </cell>
        </row>
        <row r="107">
          <cell r="S107">
            <v>9.3333333333333339</v>
          </cell>
          <cell r="AI107">
            <v>5.7083667289274231</v>
          </cell>
          <cell r="AO107">
            <v>1.0963616673285017</v>
          </cell>
          <cell r="AP107">
            <v>1.1785461412761302</v>
          </cell>
          <cell r="AW107">
            <v>97.043596451909877</v>
          </cell>
        </row>
        <row r="108">
          <cell r="S108">
            <v>9.4266666666666676</v>
          </cell>
          <cell r="AI108">
            <v>5.7707180133665812</v>
          </cell>
          <cell r="AO108">
            <v>1.1035856673285016</v>
          </cell>
          <cell r="AP108">
            <v>1.2021837412761303</v>
          </cell>
          <cell r="AW108">
            <v>97.034837977256586</v>
          </cell>
        </row>
        <row r="109">
          <cell r="S109">
            <v>9.52</v>
          </cell>
          <cell r="AI109">
            <v>5.8331738311390726</v>
          </cell>
          <cell r="AO109">
            <v>1.1108619339951684</v>
          </cell>
          <cell r="AP109">
            <v>1.22605654127613</v>
          </cell>
          <cell r="AW109">
            <v>97.02601280552534</v>
          </cell>
        </row>
        <row r="110">
          <cell r="S110">
            <v>9.6133333333333333</v>
          </cell>
          <cell r="AI110">
            <v>5.8957341822448974</v>
          </cell>
          <cell r="AO110">
            <v>1.1181904673285017</v>
          </cell>
          <cell r="AP110">
            <v>1.2501645412761302</v>
          </cell>
          <cell r="AW110">
            <v>97.01712296185238</v>
          </cell>
        </row>
        <row r="111">
          <cell r="S111">
            <v>9.706666666666667</v>
          </cell>
          <cell r="AI111">
            <v>5.9583990666840556</v>
          </cell>
          <cell r="AO111">
            <v>1.1255712673285017</v>
          </cell>
          <cell r="AP111">
            <v>1.2745077412761305</v>
          </cell>
          <cell r="AW111">
            <v>97.008170393714295</v>
          </cell>
        </row>
        <row r="112">
          <cell r="S112">
            <v>9.8000000000000007</v>
          </cell>
          <cell r="AI112">
            <v>6.0211684844565481</v>
          </cell>
          <cell r="AO112">
            <v>1.1330043339951683</v>
          </cell>
          <cell r="AP112">
            <v>1.2990861412761303</v>
          </cell>
          <cell r="AW112">
            <v>96.999156974613214</v>
          </cell>
        </row>
        <row r="113">
          <cell r="S113">
            <v>9.8933333333333344</v>
          </cell>
          <cell r="AI113">
            <v>6.084042435562373</v>
          </cell>
          <cell r="AO113">
            <v>1.1404896673285019</v>
          </cell>
          <cell r="AP113">
            <v>1.3238997412761304</v>
          </cell>
          <cell r="AW113">
            <v>96.990084507554101</v>
          </cell>
        </row>
        <row r="114">
          <cell r="S114">
            <v>9.9866666666666664</v>
          </cell>
          <cell r="AI114">
            <v>6.1470209200015296</v>
          </cell>
          <cell r="AO114">
            <v>1.1480272673285017</v>
          </cell>
          <cell r="AP114">
            <v>1.3489485412761304</v>
          </cell>
          <cell r="AW114">
            <v>96.980954728327688</v>
          </cell>
        </row>
        <row r="115">
          <cell r="S115">
            <v>10.08</v>
          </cell>
          <cell r="AI115">
            <v>6.2101039377740221</v>
          </cell>
          <cell r="AO115">
            <v>1.1556171339951684</v>
          </cell>
          <cell r="AP115">
            <v>1.3742325412761303</v>
          </cell>
          <cell r="AW115">
            <v>96.971769308611755</v>
          </cell>
        </row>
        <row r="116">
          <cell r="S116">
            <v>10.173333333333334</v>
          </cell>
          <cell r="AI116">
            <v>6.2732914888798472</v>
          </cell>
          <cell r="AO116">
            <v>1.1632592673285016</v>
          </cell>
          <cell r="AP116">
            <v>1.3997517412761304</v>
          </cell>
          <cell r="AW116">
            <v>96.962529858902172</v>
          </cell>
        </row>
        <row r="117">
          <cell r="S117">
            <v>10.266666666666667</v>
          </cell>
          <cell r="AI117">
            <v>6.3365835733190048</v>
          </cell>
          <cell r="AO117">
            <v>1.1709536673285019</v>
          </cell>
          <cell r="AP117">
            <v>1.4255061412761303</v>
          </cell>
          <cell r="AW117">
            <v>96.953237931284619</v>
          </cell>
        </row>
        <row r="118">
          <cell r="S118">
            <v>10.360000000000001</v>
          </cell>
          <cell r="AI118">
            <v>6.3999801910914957</v>
          </cell>
          <cell r="AO118">
            <v>1.1787003339951685</v>
          </cell>
          <cell r="AP118">
            <v>1.4514957412761309</v>
          </cell>
          <cell r="AW118">
            <v>96.943895022057049</v>
          </cell>
        </row>
        <row r="119">
          <cell r="S119">
            <v>10.453333333333333</v>
          </cell>
          <cell r="AI119">
            <v>6.4634813421973201</v>
          </cell>
          <cell r="AO119">
            <v>1.1864992673285015</v>
          </cell>
          <cell r="AP119">
            <v>1.4777205412761296</v>
          </cell>
          <cell r="AW119">
            <v>96.934502574212033</v>
          </cell>
        </row>
        <row r="120">
          <cell r="S120">
            <v>10.546666666666667</v>
          </cell>
          <cell r="AI120">
            <v>6.5270870266364778</v>
          </cell>
          <cell r="AO120">
            <v>1.1943504673285019</v>
          </cell>
          <cell r="AP120">
            <v>1.5041805412761304</v>
          </cell>
          <cell r="AW120">
            <v>96.925061979787714</v>
          </cell>
        </row>
        <row r="121">
          <cell r="S121">
            <v>10.64</v>
          </cell>
          <cell r="AI121">
            <v>6.5907972444089697</v>
          </cell>
          <cell r="AO121">
            <v>1.2022539339951683</v>
          </cell>
          <cell r="AP121">
            <v>1.5308757412761302</v>
          </cell>
          <cell r="AW121">
            <v>96.91557458209563</v>
          </cell>
        </row>
        <row r="122">
          <cell r="S122">
            <v>10.733333333333334</v>
          </cell>
          <cell r="AI122">
            <v>6.6546119955147951</v>
          </cell>
          <cell r="AO122">
            <v>1.2102096673285019</v>
          </cell>
          <cell r="AP122">
            <v>1.5578061412761306</v>
          </cell>
          <cell r="AW122">
            <v>96.90604167783232</v>
          </cell>
        </row>
        <row r="123">
          <cell r="S123">
            <v>10.826666666666668</v>
          </cell>
          <cell r="AI123">
            <v>6.7185312799539529</v>
          </cell>
          <cell r="AO123">
            <v>1.2182176673285019</v>
          </cell>
          <cell r="AP123">
            <v>1.5849717412761304</v>
          </cell>
          <cell r="AW123">
            <v>96.896464519082414</v>
          </cell>
        </row>
        <row r="124">
          <cell r="S124">
            <v>10.92</v>
          </cell>
          <cell r="AI124">
            <v>6.7825550977264433</v>
          </cell>
          <cell r="AO124">
            <v>1.2262779339951684</v>
          </cell>
          <cell r="AP124">
            <v>1.6123725412761301</v>
          </cell>
          <cell r="AW124">
            <v>96.886844315219065</v>
          </cell>
        </row>
        <row r="125">
          <cell r="S125">
            <v>11.013333333333334</v>
          </cell>
          <cell r="AI125">
            <v>6.8466834488322688</v>
          </cell>
          <cell r="AO125">
            <v>1.2343904673285018</v>
          </cell>
          <cell r="AP125">
            <v>1.6400085412761298</v>
          </cell>
          <cell r="AW125">
            <v>96.877182234708187</v>
          </cell>
        </row>
        <row r="126">
          <cell r="S126">
            <v>11.106666666666667</v>
          </cell>
          <cell r="AI126">
            <v>6.9109163332714267</v>
          </cell>
          <cell r="AO126">
            <v>1.2425552673285019</v>
          </cell>
          <cell r="AP126">
            <v>1.6678797412761301</v>
          </cell>
          <cell r="AW126">
            <v>96.867479406821971</v>
          </cell>
        </row>
        <row r="127">
          <cell r="S127">
            <v>11.200000000000001</v>
          </cell>
          <cell r="AI127">
            <v>6.975253751043919</v>
          </cell>
          <cell r="AO127">
            <v>1.2507723339951684</v>
          </cell>
          <cell r="AP127">
            <v>1.6959861412761297</v>
          </cell>
          <cell r="AW127">
            <v>96.857736923266984</v>
          </cell>
        </row>
        <row r="128">
          <cell r="S128">
            <v>11.293333333333333</v>
          </cell>
          <cell r="AI128">
            <v>7.0396957021497428</v>
          </cell>
          <cell r="AO128">
            <v>1.2590416673285016</v>
          </cell>
          <cell r="AP128">
            <v>1.7243277412761302</v>
          </cell>
          <cell r="AW128">
            <v>96.847955839731725</v>
          </cell>
        </row>
        <row r="129">
          <cell r="S129">
            <v>11.386666666666667</v>
          </cell>
          <cell r="AI129">
            <v>7.1042421865889018</v>
          </cell>
          <cell r="AO129">
            <v>1.2673632673285018</v>
          </cell>
          <cell r="AP129">
            <v>1.7529045412761304</v>
          </cell>
          <cell r="AW129">
            <v>96.838137177358405</v>
          </cell>
        </row>
        <row r="130">
          <cell r="S130">
            <v>11.48</v>
          </cell>
          <cell r="AI130">
            <v>7.1688932043613933</v>
          </cell>
          <cell r="AO130">
            <v>1.2757371339951682</v>
          </cell>
          <cell r="AP130">
            <v>1.7817165412761307</v>
          </cell>
          <cell r="AW130">
            <v>96.828281924143127</v>
          </cell>
        </row>
        <row r="131">
          <cell r="S131">
            <v>11.573333333333334</v>
          </cell>
          <cell r="AI131">
            <v>7.2336487554672191</v>
          </cell>
          <cell r="AO131">
            <v>1.2841632673285017</v>
          </cell>
          <cell r="AP131">
            <v>1.8107637412761304</v>
          </cell>
          <cell r="AW131">
            <v>96.818391036268366</v>
          </cell>
        </row>
        <row r="132">
          <cell r="S132">
            <v>11.666666666666668</v>
          </cell>
          <cell r="AI132">
            <v>7.2985088399063773</v>
          </cell>
          <cell r="AO132">
            <v>1.2926416673285019</v>
          </cell>
          <cell r="AP132">
            <v>1.8400461412761306</v>
          </cell>
          <cell r="AW132">
            <v>96.808465439371929</v>
          </cell>
        </row>
        <row r="133">
          <cell r="S133">
            <v>11.76</v>
          </cell>
          <cell r="AI133">
            <v>7.3634734576788672</v>
          </cell>
          <cell r="AO133">
            <v>1.3011723339951682</v>
          </cell>
          <cell r="AP133">
            <v>1.8695637412761303</v>
          </cell>
          <cell r="AW133">
            <v>96.798506029755458</v>
          </cell>
        </row>
        <row r="134">
          <cell r="S134">
            <v>11.853333333333333</v>
          </cell>
          <cell r="AI134">
            <v>7.4285426087846922</v>
          </cell>
          <cell r="AO134">
            <v>1.3097552673285018</v>
          </cell>
          <cell r="AP134">
            <v>1.8993165412761301</v>
          </cell>
          <cell r="AW134">
            <v>96.78851367553608</v>
          </cell>
        </row>
        <row r="135">
          <cell r="S135">
            <v>11.946666666666667</v>
          </cell>
          <cell r="AI135">
            <v>7.4937162932238506</v>
          </cell>
          <cell r="AO135">
            <v>1.3183904673285016</v>
          </cell>
          <cell r="AP135">
            <v>1.92930454127613</v>
          </cell>
          <cell r="AW135">
            <v>96.778489217744266</v>
          </cell>
        </row>
        <row r="136">
          <cell r="S136">
            <v>12.040000000000001</v>
          </cell>
          <cell r="AI136">
            <v>7.5589945109963432</v>
          </cell>
          <cell r="AO136">
            <v>1.3270779339951686</v>
          </cell>
          <cell r="AP136">
            <v>1.9595277412761303</v>
          </cell>
          <cell r="AW136">
            <v>96.768433471370713</v>
          </cell>
        </row>
        <row r="137">
          <cell r="S137">
            <v>12.133333333333335</v>
          </cell>
          <cell r="AI137">
            <v>7.6243772621021675</v>
          </cell>
          <cell r="AO137">
            <v>1.3358176673285018</v>
          </cell>
          <cell r="AP137">
            <v>1.9899861412761308</v>
          </cell>
          <cell r="AW137">
            <v>96.758347226365046</v>
          </cell>
        </row>
        <row r="138">
          <cell r="S138">
            <v>12.226666666666667</v>
          </cell>
          <cell r="AI138">
            <v>7.6898645465413242</v>
          </cell>
          <cell r="AO138">
            <v>1.3446096673285015</v>
          </cell>
          <cell r="AP138">
            <v>2.0206797412761301</v>
          </cell>
          <cell r="AW138">
            <v>96.748231248588937</v>
          </cell>
        </row>
        <row r="139">
          <cell r="S139">
            <v>12.32</v>
          </cell>
          <cell r="AI139">
            <v>7.7554563643138161</v>
          </cell>
          <cell r="AO139">
            <v>1.3534539339951683</v>
          </cell>
          <cell r="AP139">
            <v>2.0516085412761305</v>
          </cell>
          <cell r="AW139">
            <v>96.738086280726023</v>
          </cell>
        </row>
        <row r="140">
          <cell r="S140">
            <v>12.413333333333334</v>
          </cell>
          <cell r="AI140">
            <v>7.8211527154196414</v>
          </cell>
          <cell r="AO140">
            <v>1.3623504673285018</v>
          </cell>
          <cell r="AP140">
            <v>2.08277254127613</v>
          </cell>
          <cell r="AW140">
            <v>96.727913043150849</v>
          </cell>
        </row>
        <row r="141">
          <cell r="S141">
            <v>12.506666666666668</v>
          </cell>
          <cell r="AI141">
            <v>7.8869535998587992</v>
          </cell>
          <cell r="AO141">
            <v>1.3712992673285016</v>
          </cell>
          <cell r="AP141">
            <v>2.1141717412761301</v>
          </cell>
          <cell r="AW141">
            <v>96.717712234759063</v>
          </cell>
        </row>
        <row r="142">
          <cell r="S142">
            <v>12.600000000000001</v>
          </cell>
          <cell r="AI142">
            <v>7.9528590176312912</v>
          </cell>
          <cell r="AO142">
            <v>1.3803003339951685</v>
          </cell>
          <cell r="AP142">
            <v>2.1458061412761307</v>
          </cell>
          <cell r="AW142">
            <v>96.707484533760763</v>
          </cell>
        </row>
        <row r="143">
          <cell r="S143">
            <v>12.693333333333333</v>
          </cell>
          <cell r="AI143">
            <v>8.0188689687371149</v>
          </cell>
          <cell r="AO143">
            <v>1.3893536673285016</v>
          </cell>
          <cell r="AP143">
            <v>2.1776757412761296</v>
          </cell>
          <cell r="AW143">
            <v>96.697230598438992</v>
          </cell>
        </row>
        <row r="144">
          <cell r="S144">
            <v>12.786666666666667</v>
          </cell>
          <cell r="AI144">
            <v>8.0849834531762728</v>
          </cell>
          <cell r="AO144">
            <v>1.3984592673285019</v>
          </cell>
          <cell r="AP144">
            <v>2.20978054127613</v>
          </cell>
          <cell r="AW144">
            <v>96.686951067875043</v>
          </cell>
        </row>
        <row r="145">
          <cell r="S145">
            <v>12.88</v>
          </cell>
          <cell r="AI145">
            <v>8.151202470948764</v>
          </cell>
          <cell r="AO145">
            <v>1.4076171339951684</v>
          </cell>
          <cell r="AP145">
            <v>2.2421205412761296</v>
          </cell>
          <cell r="AW145">
            <v>96.676646562642304</v>
          </cell>
        </row>
        <row r="146">
          <cell r="S146">
            <v>12.973333333333334</v>
          </cell>
          <cell r="AI146">
            <v>8.2175260220545887</v>
          </cell>
          <cell r="AO146">
            <v>1.4168272673285018</v>
          </cell>
          <cell r="AP146">
            <v>2.2746957412761306</v>
          </cell>
          <cell r="AW146">
            <v>96.666317685470432</v>
          </cell>
        </row>
        <row r="147">
          <cell r="S147">
            <v>13.066666666666666</v>
          </cell>
          <cell r="AI147">
            <v>8.283954106493745</v>
          </cell>
          <cell r="AO147">
            <v>1.4260896673285015</v>
          </cell>
          <cell r="AP147">
            <v>2.3075061412761295</v>
          </cell>
          <cell r="AW147">
            <v>96.655965021880732</v>
          </cell>
        </row>
        <row r="148">
          <cell r="S148">
            <v>13.16</v>
          </cell>
          <cell r="AI148">
            <v>8.3504867242662382</v>
          </cell>
          <cell r="AO148">
            <v>1.4354043339951685</v>
          </cell>
          <cell r="AP148">
            <v>2.3405517412761307</v>
          </cell>
          <cell r="AW148">
            <v>96.645589140794996</v>
          </cell>
        </row>
        <row r="149">
          <cell r="S149">
            <v>13.253333333333334</v>
          </cell>
          <cell r="AI149">
            <v>8.4171238753720612</v>
          </cell>
          <cell r="AO149">
            <v>1.4447712673285016</v>
          </cell>
          <cell r="AP149">
            <v>2.3738325412761303</v>
          </cell>
          <cell r="AW149">
            <v>96.635190595118459</v>
          </cell>
        </row>
        <row r="150">
          <cell r="S150">
            <v>13.346666666666668</v>
          </cell>
          <cell r="AI150">
            <v>8.4838655598112229</v>
          </cell>
          <cell r="AO150">
            <v>1.454190467328502</v>
          </cell>
          <cell r="AP150">
            <v>2.4073485412761304</v>
          </cell>
          <cell r="AW150">
            <v>96.624769922298384</v>
          </cell>
        </row>
        <row r="151">
          <cell r="S151">
            <v>13.440000000000001</v>
          </cell>
          <cell r="AI151">
            <v>8.5507117775837127</v>
          </cell>
          <cell r="AO151">
            <v>1.4636619339951684</v>
          </cell>
          <cell r="AP151">
            <v>2.4410997412761302</v>
          </cell>
          <cell r="AW151">
            <v>96.614327644859429</v>
          </cell>
        </row>
        <row r="152">
          <cell r="S152">
            <v>13.533333333333333</v>
          </cell>
          <cell r="AI152">
            <v>8.6176625286895376</v>
          </cell>
          <cell r="AO152">
            <v>1.4731856673285018</v>
          </cell>
          <cell r="AP152">
            <v>2.4750861412761305</v>
          </cell>
          <cell r="AW152">
            <v>96.603864270916958</v>
          </cell>
        </row>
        <row r="153">
          <cell r="S153">
            <v>13.626666666666667</v>
          </cell>
          <cell r="AI153">
            <v>8.684717813128696</v>
          </cell>
          <cell r="AO153">
            <v>1.4827616673285018</v>
          </cell>
          <cell r="AP153">
            <v>2.50930774127613</v>
          </cell>
          <cell r="AW153">
            <v>96.593380294669288</v>
          </cell>
        </row>
        <row r="154">
          <cell r="S154">
            <v>13.72</v>
          </cell>
          <cell r="AI154">
            <v>8.7518776309011876</v>
          </cell>
          <cell r="AO154">
            <v>1.4923899339951685</v>
          </cell>
          <cell r="AP154">
            <v>2.5437645412761301</v>
          </cell>
          <cell r="AW154">
            <v>96.582876196869904</v>
          </cell>
        </row>
        <row r="155">
          <cell r="S155">
            <v>13.813333333333334</v>
          </cell>
          <cell r="AI155">
            <v>8.8191419820070127</v>
          </cell>
          <cell r="AO155">
            <v>1.5020704673285015</v>
          </cell>
          <cell r="AP155">
            <v>2.5784565412761302</v>
          </cell>
          <cell r="AW155">
            <v>96.572352445280515</v>
          </cell>
        </row>
        <row r="156">
          <cell r="S156">
            <v>13.906666666666668</v>
          </cell>
          <cell r="AI156">
            <v>8.8865108664461712</v>
          </cell>
          <cell r="AO156">
            <v>1.5118032673285018</v>
          </cell>
          <cell r="AP156">
            <v>2.6133837412761314</v>
          </cell>
          <cell r="AW156">
            <v>96.561809495106033</v>
          </cell>
        </row>
        <row r="157">
          <cell r="S157">
            <v>14</v>
          </cell>
          <cell r="AI157">
            <v>8.9539842842186612</v>
          </cell>
          <cell r="AO157">
            <v>1.5215883339951684</v>
          </cell>
          <cell r="AP157">
            <v>2.6485461412761295</v>
          </cell>
          <cell r="AW157">
            <v>96.551247789412059</v>
          </cell>
        </row>
      </sheetData>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drawing" Target="../drawings/drawing1.xml"/><Relationship Id="rId7" Type="http://schemas.openxmlformats.org/officeDocument/2006/relationships/ctrlProp" Target="../ctrlProps/ctrlProp1.xml"/><Relationship Id="rId2" Type="http://schemas.openxmlformats.org/officeDocument/2006/relationships/printerSettings" Target="../printerSettings/printerSettings1.bin"/><Relationship Id="rId1" Type="http://schemas.openxmlformats.org/officeDocument/2006/relationships/hyperlink" Target="http://www.ti.com/product/lm5122" TargetMode="External"/><Relationship Id="rId6" Type="http://schemas.openxmlformats.org/officeDocument/2006/relationships/image" Target="../media/image1.emf"/><Relationship Id="rId5" Type="http://schemas.openxmlformats.org/officeDocument/2006/relationships/package" Target="../embeddings/Microsoft_Visio_Drawing.vsdx"/><Relationship Id="rId4" Type="http://schemas.openxmlformats.org/officeDocument/2006/relationships/vmlDrawing" Target="../drawings/vmlDrawing1.vm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2.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B115"/>
  <sheetViews>
    <sheetView tabSelected="1" zoomScale="80" zoomScaleNormal="80" workbookViewId="0">
      <selection activeCell="I75" sqref="I75"/>
    </sheetView>
  </sheetViews>
  <sheetFormatPr defaultColWidth="9.125" defaultRowHeight="13.5" x14ac:dyDescent="0.15"/>
  <cols>
    <col min="1" max="7" width="9.125" style="188"/>
    <col min="8" max="8" width="9.125" style="189"/>
    <col min="9" max="9" width="9.5" style="188" bestFit="1" customWidth="1"/>
    <col min="10" max="23" width="9.125" style="188"/>
    <col min="24" max="24" width="8.875" style="188" customWidth="1"/>
    <col min="25" max="25" width="3.25" style="188" customWidth="1"/>
    <col min="26" max="27" width="9.125" style="188"/>
    <col min="28" max="28" width="2.125" style="188" customWidth="1"/>
    <col min="29" max="16384" width="9.125" style="188"/>
  </cols>
  <sheetData>
    <row r="1" spans="1:28" ht="32.25" x14ac:dyDescent="0.15">
      <c r="A1" s="182"/>
      <c r="B1" s="183"/>
      <c r="C1" s="183"/>
      <c r="D1" s="185"/>
      <c r="E1" s="185" t="s">
        <v>178</v>
      </c>
      <c r="F1" s="183"/>
      <c r="G1" s="183"/>
      <c r="H1" s="183"/>
      <c r="I1" s="183"/>
      <c r="J1" s="183"/>
      <c r="K1" s="183"/>
      <c r="L1" s="183"/>
      <c r="M1" s="183"/>
      <c r="N1" s="183"/>
      <c r="O1" s="183"/>
      <c r="P1" s="183"/>
      <c r="Q1" s="183"/>
      <c r="R1" s="184"/>
      <c r="S1" s="184"/>
      <c r="T1" s="184"/>
      <c r="U1" s="184"/>
      <c r="V1" s="184"/>
      <c r="W1" s="184"/>
      <c r="X1" s="184"/>
      <c r="Y1" s="184"/>
      <c r="Z1" s="184"/>
      <c r="AA1" s="184"/>
      <c r="AB1" s="186"/>
    </row>
    <row r="2" spans="1:28" x14ac:dyDescent="0.15">
      <c r="A2" s="3"/>
      <c r="B2" s="4"/>
      <c r="C2" s="4"/>
      <c r="D2" s="4"/>
      <c r="E2" s="4"/>
      <c r="F2" s="4"/>
      <c r="G2" s="5"/>
      <c r="H2" s="30"/>
      <c r="I2" s="6"/>
      <c r="J2" s="4"/>
      <c r="K2" s="4"/>
      <c r="L2" s="4"/>
      <c r="M2" s="4"/>
      <c r="N2" s="4"/>
      <c r="O2" s="4"/>
      <c r="P2" s="4"/>
      <c r="Q2" s="4"/>
      <c r="R2" s="186"/>
      <c r="S2" s="186"/>
      <c r="T2" s="186"/>
      <c r="U2" s="186"/>
      <c r="V2" s="186"/>
      <c r="W2" s="186"/>
      <c r="X2" s="186"/>
      <c r="Y2" s="186"/>
      <c r="Z2" s="186"/>
      <c r="AA2" s="186"/>
      <c r="AB2" s="186"/>
    </row>
    <row r="3" spans="1:28" ht="14.25" x14ac:dyDescent="0.15">
      <c r="A3" s="7" t="s">
        <v>175</v>
      </c>
      <c r="B3" s="4"/>
      <c r="C3" s="4"/>
      <c r="D3" s="8"/>
      <c r="E3" s="9"/>
      <c r="F3" s="10" t="s">
        <v>176</v>
      </c>
      <c r="G3" s="5"/>
      <c r="H3" s="30"/>
      <c r="I3" s="6"/>
      <c r="J3" s="235" t="s">
        <v>717</v>
      </c>
      <c r="K3" s="235"/>
      <c r="L3" s="235"/>
      <c r="M3" s="235"/>
      <c r="N3" s="4"/>
      <c r="O3" s="230" t="s">
        <v>177</v>
      </c>
      <c r="P3" s="230"/>
      <c r="Q3" s="4"/>
      <c r="R3" s="186"/>
      <c r="S3" s="186"/>
      <c r="T3" s="186"/>
      <c r="U3" s="186"/>
      <c r="V3" s="186"/>
      <c r="W3" s="186"/>
      <c r="X3" s="186"/>
      <c r="Y3" s="186"/>
      <c r="Z3" s="186"/>
      <c r="AA3" s="186"/>
      <c r="AB3" s="186"/>
    </row>
    <row r="4" spans="1:28" ht="14.25" thickBot="1" x14ac:dyDescent="0.2">
      <c r="A4" s="11"/>
      <c r="B4" s="12"/>
      <c r="C4" s="12"/>
      <c r="D4" s="12"/>
      <c r="E4" s="12"/>
      <c r="F4" s="12"/>
      <c r="G4" s="13"/>
      <c r="H4" s="31"/>
      <c r="I4" s="14"/>
      <c r="J4" s="12"/>
      <c r="K4" s="12"/>
      <c r="L4" s="12"/>
      <c r="M4" s="12"/>
      <c r="N4" s="12"/>
      <c r="O4" s="12"/>
      <c r="P4" s="12"/>
      <c r="Q4" s="12"/>
      <c r="R4" s="223"/>
      <c r="S4" s="223"/>
      <c r="T4" s="223"/>
      <c r="U4" s="223"/>
      <c r="V4" s="223"/>
      <c r="W4" s="223"/>
      <c r="X4" s="223"/>
      <c r="Y4" s="223"/>
      <c r="Z4" s="223"/>
      <c r="AA4" s="223"/>
      <c r="AB4" s="186"/>
    </row>
    <row r="5" spans="1:28" x14ac:dyDescent="0.15">
      <c r="A5" s="158"/>
      <c r="B5" s="158"/>
      <c r="C5" s="158"/>
      <c r="D5" s="158"/>
      <c r="E5" s="158"/>
      <c r="F5" s="158"/>
      <c r="G5" s="158"/>
      <c r="H5" s="159"/>
      <c r="I5" s="158"/>
      <c r="J5" s="158"/>
      <c r="K5" s="158"/>
      <c r="L5" s="158"/>
      <c r="M5" s="158"/>
      <c r="N5" s="158"/>
      <c r="O5" s="158"/>
      <c r="P5" s="158"/>
      <c r="Q5" s="158"/>
      <c r="R5" s="158"/>
      <c r="S5" s="158"/>
      <c r="T5" s="158"/>
      <c r="U5" s="158"/>
      <c r="V5" s="158"/>
      <c r="W5" s="158"/>
      <c r="X5" s="158"/>
      <c r="Y5" s="158"/>
      <c r="Z5" s="158"/>
      <c r="AA5" s="158"/>
      <c r="AB5" s="186"/>
    </row>
    <row r="6" spans="1:28" ht="19.5" thickBot="1" x14ac:dyDescent="0.25">
      <c r="A6" s="177" t="s">
        <v>348</v>
      </c>
      <c r="B6" s="158"/>
      <c r="C6" s="158"/>
      <c r="D6" s="158"/>
      <c r="E6" s="158"/>
      <c r="F6" s="158"/>
      <c r="G6" s="158"/>
      <c r="H6" s="159"/>
      <c r="I6" s="158"/>
      <c r="J6" s="158"/>
      <c r="K6" s="158"/>
      <c r="L6" s="158"/>
      <c r="M6" s="158"/>
      <c r="N6" s="158"/>
      <c r="O6" s="158"/>
      <c r="P6" s="158"/>
      <c r="Q6" s="158"/>
      <c r="R6" s="158"/>
      <c r="S6" s="158"/>
      <c r="T6" s="158"/>
      <c r="U6" s="158"/>
      <c r="V6" s="158"/>
      <c r="W6" s="158"/>
      <c r="X6" s="158"/>
      <c r="Y6" s="158"/>
      <c r="Z6" s="158"/>
      <c r="AA6" s="158"/>
      <c r="AB6" s="186"/>
    </row>
    <row r="7" spans="1:28" ht="16.5" x14ac:dyDescent="0.25">
      <c r="A7" s="153"/>
      <c r="B7" s="154"/>
      <c r="C7" s="154"/>
      <c r="D7" s="154"/>
      <c r="E7" s="154"/>
      <c r="F7" s="154"/>
      <c r="G7" s="154"/>
      <c r="H7" s="155" t="s">
        <v>181</v>
      </c>
      <c r="I7" s="210">
        <v>18</v>
      </c>
      <c r="J7" s="156" t="s">
        <v>34</v>
      </c>
      <c r="K7" s="158"/>
      <c r="L7" s="158"/>
      <c r="M7" s="158"/>
      <c r="N7" s="158"/>
      <c r="O7" s="158"/>
      <c r="P7" s="158"/>
      <c r="Q7" s="158"/>
      <c r="R7" s="158"/>
      <c r="S7" s="158"/>
      <c r="T7" s="158"/>
      <c r="U7" s="158"/>
      <c r="V7" s="158"/>
      <c r="W7" s="158"/>
      <c r="X7" s="158"/>
      <c r="Y7" s="158"/>
      <c r="Z7" s="158"/>
      <c r="AA7" s="158"/>
      <c r="AB7" s="186"/>
    </row>
    <row r="8" spans="1:28" ht="16.5" x14ac:dyDescent="0.25">
      <c r="A8" s="157"/>
      <c r="B8" s="158"/>
      <c r="C8" s="158"/>
      <c r="D8" s="158"/>
      <c r="E8" s="158"/>
      <c r="F8" s="158"/>
      <c r="G8" s="158"/>
      <c r="H8" s="159" t="s">
        <v>708</v>
      </c>
      <c r="I8" s="211">
        <v>20</v>
      </c>
      <c r="J8" s="160" t="s">
        <v>34</v>
      </c>
      <c r="K8" s="158"/>
      <c r="L8" s="158"/>
      <c r="M8" s="158"/>
      <c r="N8" s="158"/>
      <c r="O8" s="158"/>
      <c r="P8" s="158"/>
      <c r="Q8" s="158"/>
      <c r="R8" s="158"/>
      <c r="S8" s="158"/>
      <c r="T8" s="158"/>
      <c r="U8" s="158"/>
      <c r="V8" s="158"/>
      <c r="W8" s="158"/>
      <c r="X8" s="158"/>
      <c r="Y8" s="158"/>
      <c r="Z8" s="158"/>
      <c r="AA8" s="158"/>
      <c r="AB8" s="186"/>
    </row>
    <row r="9" spans="1:28" ht="16.5" x14ac:dyDescent="0.25">
      <c r="A9" s="157"/>
      <c r="B9" s="158"/>
      <c r="C9" s="158"/>
      <c r="D9" s="158"/>
      <c r="E9" s="158"/>
      <c r="F9" s="158"/>
      <c r="G9" s="158"/>
      <c r="H9" s="159" t="s">
        <v>179</v>
      </c>
      <c r="I9" s="211">
        <v>60</v>
      </c>
      <c r="J9" s="160" t="s">
        <v>34</v>
      </c>
      <c r="K9" s="158"/>
      <c r="L9" s="158"/>
      <c r="M9" s="158"/>
      <c r="N9" s="158"/>
      <c r="O9" s="158"/>
      <c r="P9" s="158"/>
      <c r="Q9" s="158"/>
      <c r="R9" s="158"/>
      <c r="S9" s="158"/>
      <c r="T9" s="158"/>
      <c r="U9" s="158"/>
      <c r="V9" s="158"/>
      <c r="W9" s="158"/>
      <c r="X9" s="158"/>
      <c r="Y9" s="158"/>
      <c r="Z9" s="158"/>
      <c r="AA9" s="158"/>
      <c r="AB9" s="186"/>
    </row>
    <row r="10" spans="1:28" ht="16.5" x14ac:dyDescent="0.25">
      <c r="A10" s="157"/>
      <c r="B10" s="158"/>
      <c r="C10" s="158"/>
      <c r="D10" s="158"/>
      <c r="E10" s="158"/>
      <c r="F10" s="158"/>
      <c r="G10" s="158"/>
      <c r="H10" s="159" t="s">
        <v>182</v>
      </c>
      <c r="I10" s="211">
        <v>60</v>
      </c>
      <c r="J10" s="160" t="s">
        <v>34</v>
      </c>
      <c r="K10" s="158"/>
      <c r="L10" s="158"/>
      <c r="M10" s="158"/>
      <c r="N10" s="158"/>
      <c r="O10" s="158"/>
      <c r="P10" s="158"/>
      <c r="Q10" s="158"/>
      <c r="R10" s="158"/>
      <c r="S10" s="158"/>
      <c r="T10" s="158"/>
      <c r="U10" s="158"/>
      <c r="V10" s="158"/>
      <c r="W10" s="158"/>
      <c r="X10" s="158"/>
      <c r="Y10" s="158"/>
      <c r="Z10" s="158"/>
      <c r="AA10" s="158"/>
      <c r="AB10" s="186"/>
    </row>
    <row r="11" spans="1:28" ht="16.5" x14ac:dyDescent="0.25">
      <c r="A11" s="157"/>
      <c r="B11" s="158"/>
      <c r="C11" s="158"/>
      <c r="D11" s="158"/>
      <c r="E11" s="158"/>
      <c r="F11" s="158"/>
      <c r="G11" s="158"/>
      <c r="H11" s="159" t="s">
        <v>186</v>
      </c>
      <c r="I11" s="211">
        <v>7.52</v>
      </c>
      <c r="J11" s="160" t="s">
        <v>33</v>
      </c>
      <c r="K11" s="158"/>
      <c r="L11" s="158"/>
      <c r="M11" s="158"/>
      <c r="N11" s="158"/>
      <c r="O11" s="231"/>
      <c r="P11" s="231"/>
      <c r="Q11" s="231"/>
      <c r="R11" s="158"/>
      <c r="S11" s="158"/>
      <c r="T11" s="158"/>
      <c r="U11" s="158"/>
      <c r="V11" s="158"/>
      <c r="W11" s="158"/>
      <c r="X11" s="158"/>
      <c r="Y11" s="158"/>
      <c r="Z11" s="158"/>
      <c r="AA11" s="158"/>
      <c r="AB11" s="186"/>
    </row>
    <row r="12" spans="1:28" ht="16.5" x14ac:dyDescent="0.25">
      <c r="A12" s="157"/>
      <c r="B12" s="158"/>
      <c r="C12" s="158"/>
      <c r="D12" s="158"/>
      <c r="E12" s="158"/>
      <c r="F12" s="158"/>
      <c r="G12" s="158"/>
      <c r="H12" s="159" t="s">
        <v>183</v>
      </c>
      <c r="I12" s="211">
        <v>2</v>
      </c>
      <c r="J12" s="160"/>
      <c r="K12" s="158"/>
      <c r="L12" s="158"/>
      <c r="M12" s="158"/>
      <c r="N12" s="158"/>
      <c r="O12" s="231"/>
      <c r="P12" s="231"/>
      <c r="Q12" s="231"/>
      <c r="R12" s="158"/>
      <c r="S12" s="158"/>
      <c r="T12" s="158"/>
      <c r="U12" s="158"/>
      <c r="V12" s="158"/>
      <c r="W12" s="158"/>
      <c r="X12" s="158"/>
      <c r="Y12" s="158"/>
      <c r="Z12" s="158"/>
      <c r="AA12" s="158"/>
      <c r="AB12" s="186"/>
    </row>
    <row r="13" spans="1:28" x14ac:dyDescent="0.15">
      <c r="A13" s="157"/>
      <c r="B13" s="158"/>
      <c r="C13" s="158"/>
      <c r="D13" s="158"/>
      <c r="E13" s="158"/>
      <c r="F13" s="158"/>
      <c r="G13" s="158"/>
      <c r="H13" s="159" t="s">
        <v>559</v>
      </c>
      <c r="I13" s="150" t="s">
        <v>567</v>
      </c>
      <c r="J13" s="160"/>
      <c r="K13" s="158"/>
      <c r="L13" s="158"/>
      <c r="M13" s="158"/>
      <c r="N13" s="158"/>
      <c r="O13" s="181"/>
      <c r="P13" s="181"/>
      <c r="Q13" s="181"/>
      <c r="R13" s="158"/>
      <c r="S13" s="158"/>
      <c r="T13" s="158"/>
      <c r="U13" s="158"/>
      <c r="V13" s="158"/>
      <c r="W13" s="158"/>
      <c r="X13" s="158"/>
      <c r="Y13" s="158"/>
      <c r="Z13" s="158"/>
      <c r="AA13" s="158"/>
      <c r="AB13" s="186"/>
    </row>
    <row r="14" spans="1:28" ht="14.25" x14ac:dyDescent="0.2">
      <c r="A14" s="157"/>
      <c r="B14" s="158"/>
      <c r="C14" s="158"/>
      <c r="D14" s="158"/>
      <c r="E14" s="158"/>
      <c r="F14" s="158"/>
      <c r="G14" s="158"/>
      <c r="H14" s="104" t="s">
        <v>560</v>
      </c>
      <c r="I14" s="192">
        <f>I10*I15</f>
        <v>225.6</v>
      </c>
      <c r="J14" s="160" t="s">
        <v>563</v>
      </c>
      <c r="K14" s="158"/>
      <c r="L14" s="158"/>
      <c r="M14" s="158"/>
      <c r="N14" s="158"/>
      <c r="O14" s="181"/>
      <c r="P14" s="181"/>
      <c r="Q14" s="181"/>
      <c r="R14" s="158"/>
      <c r="S14" s="158"/>
      <c r="T14" s="158"/>
      <c r="U14" s="158"/>
      <c r="V14" s="158"/>
      <c r="W14" s="158"/>
      <c r="X14" s="158"/>
      <c r="Y14" s="158"/>
      <c r="Z14" s="158"/>
      <c r="AA14" s="158"/>
      <c r="AB14" s="186"/>
    </row>
    <row r="15" spans="1:28" ht="16.5" x14ac:dyDescent="0.25">
      <c r="A15" s="157"/>
      <c r="B15" s="158"/>
      <c r="C15" s="158"/>
      <c r="D15" s="158"/>
      <c r="E15" s="158"/>
      <c r="F15" s="158"/>
      <c r="G15" s="158"/>
      <c r="H15" s="159" t="s">
        <v>187</v>
      </c>
      <c r="I15" s="192">
        <f>Calculations!B12</f>
        <v>3.76</v>
      </c>
      <c r="J15" s="160" t="s">
        <v>33</v>
      </c>
      <c r="K15" s="158"/>
      <c r="L15" s="158"/>
      <c r="M15" s="158"/>
      <c r="N15" s="158"/>
      <c r="O15" s="158"/>
      <c r="P15" s="158"/>
      <c r="Q15" s="158"/>
      <c r="R15" s="158"/>
      <c r="S15" s="158"/>
      <c r="T15" s="158"/>
      <c r="U15" s="158"/>
      <c r="V15" s="158"/>
      <c r="W15" s="158"/>
      <c r="X15" s="158"/>
      <c r="Y15" s="158"/>
      <c r="Z15" s="158"/>
      <c r="AA15" s="158"/>
      <c r="AB15" s="186"/>
    </row>
    <row r="16" spans="1:28" ht="14.25" x14ac:dyDescent="0.2">
      <c r="A16" s="157"/>
      <c r="B16" s="158"/>
      <c r="C16" s="158"/>
      <c r="D16" s="158"/>
      <c r="E16" s="158"/>
      <c r="F16" s="158"/>
      <c r="G16" s="158"/>
      <c r="H16" s="104" t="s">
        <v>561</v>
      </c>
      <c r="I16" s="192">
        <f>I15*I12*I10</f>
        <v>451.2</v>
      </c>
      <c r="J16" s="160" t="s">
        <v>563</v>
      </c>
      <c r="K16" s="158"/>
      <c r="L16" s="158"/>
      <c r="M16" s="158"/>
      <c r="N16" s="158"/>
      <c r="O16" s="158"/>
      <c r="P16" s="158"/>
      <c r="Q16" s="158"/>
      <c r="R16" s="158"/>
      <c r="S16" s="158"/>
      <c r="T16" s="158"/>
      <c r="U16" s="158"/>
      <c r="V16" s="158"/>
      <c r="W16" s="158"/>
      <c r="X16" s="158"/>
      <c r="Y16" s="158"/>
      <c r="Z16" s="158"/>
      <c r="AA16" s="158"/>
      <c r="AB16" s="186"/>
    </row>
    <row r="17" spans="1:28" ht="14.25" thickBot="1" x14ac:dyDescent="0.2">
      <c r="A17" s="161"/>
      <c r="B17" s="162"/>
      <c r="C17" s="162"/>
      <c r="D17" s="162"/>
      <c r="E17" s="162"/>
      <c r="F17" s="162"/>
      <c r="G17" s="162"/>
      <c r="H17" s="164" t="s">
        <v>184</v>
      </c>
      <c r="I17" s="212">
        <v>130</v>
      </c>
      <c r="J17" s="163" t="s">
        <v>185</v>
      </c>
      <c r="K17" s="158"/>
      <c r="L17" s="158"/>
      <c r="M17" s="158"/>
      <c r="N17" s="158"/>
      <c r="O17" s="158"/>
      <c r="P17" s="158"/>
      <c r="Q17" s="158"/>
      <c r="R17" s="158"/>
      <c r="S17" s="158"/>
      <c r="T17" s="158"/>
      <c r="U17" s="158"/>
      <c r="V17" s="158"/>
      <c r="W17" s="158"/>
      <c r="X17" s="158"/>
      <c r="Y17" s="158"/>
      <c r="Z17" s="158"/>
      <c r="AA17" s="158"/>
      <c r="AB17" s="186"/>
    </row>
    <row r="18" spans="1:28" x14ac:dyDescent="0.15">
      <c r="A18" s="158"/>
      <c r="B18" s="158"/>
      <c r="C18" s="158"/>
      <c r="D18" s="158"/>
      <c r="E18" s="158"/>
      <c r="F18" s="158"/>
      <c r="G18" s="158"/>
      <c r="H18" s="159"/>
      <c r="I18" s="158"/>
      <c r="J18" s="158"/>
      <c r="K18" s="158"/>
      <c r="L18" s="158"/>
      <c r="M18" s="158"/>
      <c r="N18" s="158"/>
      <c r="O18" s="158"/>
      <c r="P18" s="158"/>
      <c r="Q18" s="158"/>
      <c r="R18" s="158"/>
      <c r="S18" s="158"/>
      <c r="T18" s="158"/>
      <c r="U18" s="158"/>
      <c r="V18" s="158"/>
      <c r="W18" s="158"/>
      <c r="X18" s="158"/>
      <c r="Y18" s="158"/>
      <c r="Z18" s="158"/>
      <c r="AA18" s="158"/>
      <c r="AB18" s="186"/>
    </row>
    <row r="19" spans="1:28" ht="19.5" thickBot="1" x14ac:dyDescent="0.25">
      <c r="A19" s="177" t="s">
        <v>349</v>
      </c>
      <c r="B19" s="158"/>
      <c r="C19" s="158"/>
      <c r="D19" s="158"/>
      <c r="E19" s="158"/>
      <c r="F19" s="158"/>
      <c r="G19" s="158"/>
      <c r="H19" s="159"/>
      <c r="I19" s="158"/>
      <c r="J19" s="158"/>
      <c r="K19" s="158"/>
      <c r="L19" s="158"/>
      <c r="M19" s="158"/>
      <c r="N19" s="158"/>
      <c r="O19" s="158"/>
      <c r="P19" s="158"/>
      <c r="Q19" s="158"/>
      <c r="R19" s="158"/>
      <c r="S19" s="158"/>
      <c r="T19" s="158"/>
      <c r="U19" s="158"/>
      <c r="V19" s="158"/>
      <c r="W19" s="158"/>
      <c r="X19" s="158"/>
      <c r="Y19" s="158"/>
      <c r="Z19" s="158"/>
      <c r="AA19" s="158"/>
      <c r="AB19" s="186"/>
    </row>
    <row r="20" spans="1:28" ht="16.5" x14ac:dyDescent="0.15">
      <c r="A20" s="153"/>
      <c r="B20" s="154"/>
      <c r="C20" s="154"/>
      <c r="D20" s="154"/>
      <c r="E20" s="154"/>
      <c r="F20" s="154"/>
      <c r="G20" s="179"/>
      <c r="H20" s="180" t="s">
        <v>189</v>
      </c>
      <c r="I20" s="193">
        <f>Calculations!B24/1000</f>
        <v>69.230769230769241</v>
      </c>
      <c r="J20" s="178" t="s">
        <v>190</v>
      </c>
      <c r="K20" s="158"/>
      <c r="L20" s="158"/>
      <c r="M20" s="158"/>
      <c r="N20" s="158"/>
      <c r="O20" s="158"/>
      <c r="P20" s="158"/>
      <c r="Q20" s="158"/>
      <c r="R20" s="158"/>
      <c r="S20" s="158"/>
      <c r="T20" s="158"/>
      <c r="U20" s="158"/>
      <c r="V20" s="158"/>
      <c r="W20" s="158"/>
      <c r="X20" s="158"/>
      <c r="Y20" s="158"/>
      <c r="Z20" s="158"/>
      <c r="AA20" s="158"/>
      <c r="AB20" s="186"/>
    </row>
    <row r="21" spans="1:28" x14ac:dyDescent="0.15">
      <c r="A21" s="157"/>
      <c r="B21" s="158"/>
      <c r="C21" s="158"/>
      <c r="D21" s="158"/>
      <c r="E21" s="158"/>
      <c r="F21" s="158"/>
      <c r="G21" s="158"/>
      <c r="H21" s="159" t="s">
        <v>191</v>
      </c>
      <c r="I21" s="192">
        <f>Calculations!B26/1000</f>
        <v>182</v>
      </c>
      <c r="J21" s="160" t="s">
        <v>185</v>
      </c>
      <c r="K21" s="158"/>
      <c r="L21" s="158"/>
      <c r="M21" s="158"/>
      <c r="N21" s="158"/>
      <c r="O21" s="158"/>
      <c r="P21" s="158"/>
      <c r="Q21" s="158"/>
      <c r="R21" s="158"/>
      <c r="S21" s="158"/>
      <c r="T21" s="158"/>
      <c r="U21" s="158"/>
      <c r="V21" s="158"/>
      <c r="W21" s="158"/>
      <c r="X21" s="158"/>
      <c r="Y21" s="158"/>
      <c r="Z21" s="158"/>
      <c r="AA21" s="158"/>
      <c r="AB21" s="186"/>
    </row>
    <row r="22" spans="1:28" ht="14.25" thickBot="1" x14ac:dyDescent="0.2">
      <c r="A22" s="161"/>
      <c r="B22" s="162"/>
      <c r="C22" s="162"/>
      <c r="D22" s="162"/>
      <c r="E22" s="162"/>
      <c r="F22" s="162"/>
      <c r="G22" s="162"/>
      <c r="H22" s="164" t="s">
        <v>192</v>
      </c>
      <c r="I22" s="194">
        <f>Calculations!B27/1000</f>
        <v>104</v>
      </c>
      <c r="J22" s="163" t="s">
        <v>185</v>
      </c>
      <c r="K22" s="158"/>
      <c r="L22" s="158"/>
      <c r="M22" s="158"/>
      <c r="N22" s="158"/>
      <c r="O22" s="158"/>
      <c r="P22" s="158"/>
      <c r="Q22" s="158"/>
      <c r="R22" s="158"/>
      <c r="S22" s="158"/>
      <c r="T22" s="158"/>
      <c r="U22" s="158"/>
      <c r="V22" s="158"/>
      <c r="W22" s="158"/>
      <c r="X22" s="158"/>
      <c r="Y22" s="158"/>
      <c r="Z22" s="158"/>
      <c r="AA22" s="158"/>
      <c r="AB22" s="186"/>
    </row>
    <row r="23" spans="1:28" x14ac:dyDescent="0.15">
      <c r="A23" s="158"/>
      <c r="B23" s="158"/>
      <c r="C23" s="158"/>
      <c r="D23" s="158"/>
      <c r="E23" s="158"/>
      <c r="F23" s="158"/>
      <c r="G23" s="158"/>
      <c r="H23" s="159"/>
      <c r="I23" s="158"/>
      <c r="J23" s="158"/>
      <c r="K23" s="158"/>
      <c r="L23" s="158"/>
      <c r="M23" s="158"/>
      <c r="N23" s="158"/>
      <c r="O23" s="158"/>
      <c r="P23" s="158"/>
      <c r="Q23" s="158"/>
      <c r="R23" s="158"/>
      <c r="S23" s="158"/>
      <c r="T23" s="158"/>
      <c r="U23" s="158"/>
      <c r="V23" s="158"/>
      <c r="W23" s="158"/>
      <c r="X23" s="158"/>
      <c r="Y23" s="158"/>
      <c r="Z23" s="158"/>
      <c r="AA23" s="158"/>
      <c r="AB23" s="186"/>
    </row>
    <row r="24" spans="1:28" ht="19.5" thickBot="1" x14ac:dyDescent="0.25">
      <c r="A24" s="177" t="s">
        <v>240</v>
      </c>
      <c r="B24" s="158"/>
      <c r="C24" s="158"/>
      <c r="D24" s="158"/>
      <c r="E24" s="158"/>
      <c r="F24" s="158"/>
      <c r="G24" s="158"/>
      <c r="H24" s="159"/>
      <c r="I24" s="158"/>
      <c r="J24" s="158"/>
      <c r="K24" s="158"/>
      <c r="L24" s="158"/>
      <c r="M24" s="158"/>
      <c r="N24" s="158"/>
      <c r="O24" s="158"/>
      <c r="P24" s="158"/>
      <c r="Q24" s="158"/>
      <c r="R24" s="158"/>
      <c r="S24" s="158"/>
      <c r="T24" s="158"/>
      <c r="U24" s="158"/>
      <c r="V24" s="158"/>
      <c r="W24" s="158"/>
      <c r="X24" s="158"/>
      <c r="Y24" s="158"/>
      <c r="Z24" s="158"/>
      <c r="AA24" s="158"/>
      <c r="AB24" s="186"/>
    </row>
    <row r="25" spans="1:28" x14ac:dyDescent="0.15">
      <c r="A25" s="153"/>
      <c r="B25" s="154"/>
      <c r="C25" s="154"/>
      <c r="D25" s="154"/>
      <c r="E25" s="154"/>
      <c r="F25" s="154"/>
      <c r="G25" s="154"/>
      <c r="H25" s="155" t="s">
        <v>292</v>
      </c>
      <c r="I25" s="210">
        <v>30</v>
      </c>
      <c r="J25" s="156" t="s">
        <v>188</v>
      </c>
      <c r="K25" s="158"/>
      <c r="L25" s="158"/>
      <c r="M25" s="158"/>
      <c r="N25" s="158"/>
      <c r="O25" s="158"/>
      <c r="P25" s="158"/>
      <c r="Q25" s="158"/>
      <c r="R25" s="158"/>
      <c r="S25" s="158"/>
      <c r="T25" s="158"/>
      <c r="U25" s="158"/>
      <c r="V25" s="158"/>
      <c r="W25" s="158"/>
      <c r="X25" s="158"/>
      <c r="Y25" s="158"/>
      <c r="Z25" s="158"/>
      <c r="AA25" s="158"/>
      <c r="AB25" s="186"/>
    </row>
    <row r="26" spans="1:28" ht="16.5" x14ac:dyDescent="0.25">
      <c r="A26" s="157"/>
      <c r="B26" s="158"/>
      <c r="C26" s="158"/>
      <c r="D26" s="158"/>
      <c r="E26" s="158"/>
      <c r="F26" s="158"/>
      <c r="G26" s="158"/>
      <c r="H26" s="159" t="s">
        <v>291</v>
      </c>
      <c r="I26" s="221">
        <f>Calculations!B41*(10^6)</f>
        <v>28.490028490028493</v>
      </c>
      <c r="J26" s="160" t="s">
        <v>249</v>
      </c>
      <c r="K26" s="158"/>
      <c r="L26" s="158"/>
      <c r="M26" s="158"/>
      <c r="N26" s="158"/>
      <c r="O26" s="158"/>
      <c r="P26" s="158"/>
      <c r="Q26" s="158"/>
      <c r="R26" s="158"/>
      <c r="S26" s="158"/>
      <c r="T26" s="158"/>
      <c r="U26" s="158"/>
      <c r="V26" s="158"/>
      <c r="W26" s="158"/>
      <c r="X26" s="158"/>
      <c r="Y26" s="158"/>
      <c r="Z26" s="158"/>
      <c r="AA26" s="158"/>
      <c r="AB26" s="186"/>
    </row>
    <row r="27" spans="1:28" ht="16.5" x14ac:dyDescent="0.25">
      <c r="A27" s="157"/>
      <c r="B27" s="158"/>
      <c r="C27" s="158"/>
      <c r="D27" s="158"/>
      <c r="E27" s="158"/>
      <c r="F27" s="158"/>
      <c r="G27" s="158"/>
      <c r="H27" s="159" t="s">
        <v>290</v>
      </c>
      <c r="I27" s="211">
        <v>10</v>
      </c>
      <c r="J27" s="160" t="s">
        <v>249</v>
      </c>
      <c r="K27" s="158"/>
      <c r="L27" s="158"/>
      <c r="M27" s="158"/>
      <c r="N27" s="158"/>
      <c r="O27" s="158"/>
      <c r="P27" s="158"/>
      <c r="Q27" s="158"/>
      <c r="R27" s="158"/>
      <c r="S27" s="158"/>
      <c r="T27" s="158"/>
      <c r="U27" s="158"/>
      <c r="V27" s="158"/>
      <c r="W27" s="158"/>
      <c r="X27" s="158"/>
      <c r="Y27" s="158"/>
      <c r="Z27" s="158"/>
      <c r="AA27" s="158"/>
      <c r="AB27" s="186"/>
    </row>
    <row r="28" spans="1:28" ht="16.5" x14ac:dyDescent="0.25">
      <c r="A28" s="157"/>
      <c r="B28" s="158"/>
      <c r="C28" s="158"/>
      <c r="D28" s="158"/>
      <c r="E28" s="158"/>
      <c r="F28" s="158"/>
      <c r="G28" s="158"/>
      <c r="H28" s="159" t="s">
        <v>683</v>
      </c>
      <c r="I28" s="211">
        <v>2.0499999999999998</v>
      </c>
      <c r="J28" s="160" t="s">
        <v>307</v>
      </c>
      <c r="K28" s="158"/>
      <c r="L28" s="158"/>
      <c r="M28" s="158"/>
      <c r="N28" s="158"/>
      <c r="O28" s="158"/>
      <c r="P28" s="158"/>
      <c r="Q28" s="158"/>
      <c r="R28" s="158"/>
      <c r="S28" s="158"/>
      <c r="T28" s="158"/>
      <c r="U28" s="158"/>
      <c r="V28" s="158"/>
      <c r="W28" s="158"/>
      <c r="X28" s="158"/>
      <c r="Y28" s="158"/>
      <c r="Z28" s="158"/>
      <c r="AA28" s="158"/>
      <c r="AB28" s="186"/>
    </row>
    <row r="29" spans="1:28" ht="16.5" x14ac:dyDescent="0.25">
      <c r="A29" s="157"/>
      <c r="B29" s="158"/>
      <c r="C29" s="158"/>
      <c r="D29" s="158"/>
      <c r="E29" s="158"/>
      <c r="F29" s="158"/>
      <c r="G29" s="158"/>
      <c r="H29" s="159" t="s">
        <v>285</v>
      </c>
      <c r="I29" s="217">
        <f>Calculations!B45</f>
        <v>13.333333333333334</v>
      </c>
      <c r="J29" s="160" t="s">
        <v>33</v>
      </c>
      <c r="K29" s="158"/>
      <c r="L29" s="158"/>
      <c r="M29" s="158"/>
      <c r="N29" s="158"/>
      <c r="O29" s="158"/>
      <c r="P29" s="158"/>
      <c r="Q29" s="158"/>
      <c r="R29" s="158"/>
      <c r="S29" s="158"/>
      <c r="T29" s="158"/>
      <c r="U29" s="158"/>
      <c r="V29" s="158"/>
      <c r="W29" s="158"/>
      <c r="X29" s="158"/>
      <c r="Y29" s="158"/>
      <c r="Z29" s="158"/>
      <c r="AA29" s="158"/>
      <c r="AB29" s="186"/>
    </row>
    <row r="30" spans="1:28" ht="16.5" x14ac:dyDescent="0.25">
      <c r="A30" s="157"/>
      <c r="B30" s="158"/>
      <c r="C30" s="158"/>
      <c r="D30" s="158"/>
      <c r="E30" s="158"/>
      <c r="F30" s="158"/>
      <c r="G30" s="158"/>
      <c r="H30" s="159" t="s">
        <v>282</v>
      </c>
      <c r="I30" s="217">
        <f>Calculations!B57</f>
        <v>18.179487179487179</v>
      </c>
      <c r="J30" s="160" t="s">
        <v>33</v>
      </c>
      <c r="K30" s="158"/>
      <c r="L30" s="158"/>
      <c r="M30" s="158"/>
      <c r="N30" s="158"/>
      <c r="O30" s="158"/>
      <c r="P30" s="158"/>
      <c r="Q30" s="158"/>
      <c r="R30" s="158"/>
      <c r="S30" s="158"/>
      <c r="T30" s="158"/>
      <c r="U30" s="158"/>
      <c r="V30" s="158"/>
      <c r="W30" s="158"/>
      <c r="X30" s="158"/>
      <c r="Y30" s="158"/>
      <c r="Z30" s="158"/>
      <c r="AA30" s="158"/>
      <c r="AB30" s="186"/>
    </row>
    <row r="31" spans="1:28" x14ac:dyDescent="0.15">
      <c r="A31" s="157"/>
      <c r="B31" s="158"/>
      <c r="C31" s="158"/>
      <c r="D31" s="158"/>
      <c r="E31" s="158"/>
      <c r="F31" s="158"/>
      <c r="G31" s="158"/>
      <c r="H31" s="159"/>
      <c r="I31" s="217"/>
      <c r="J31" s="160"/>
      <c r="K31" s="158"/>
      <c r="L31" s="158"/>
      <c r="M31" s="158"/>
      <c r="N31" s="158"/>
      <c r="O31" s="158"/>
      <c r="P31" s="158"/>
      <c r="Q31" s="158"/>
      <c r="R31" s="158"/>
      <c r="S31" s="158"/>
      <c r="T31" s="158"/>
      <c r="U31" s="158"/>
      <c r="V31" s="158"/>
      <c r="W31" s="158"/>
      <c r="X31" s="158"/>
      <c r="Y31" s="158"/>
      <c r="Z31" s="158"/>
      <c r="AA31" s="158"/>
      <c r="AB31" s="186"/>
    </row>
    <row r="32" spans="1:28" ht="16.5" x14ac:dyDescent="0.25">
      <c r="A32" s="157"/>
      <c r="B32" s="158"/>
      <c r="C32" s="158"/>
      <c r="D32" s="158"/>
      <c r="E32" s="158"/>
      <c r="F32" s="158"/>
      <c r="G32" s="158"/>
      <c r="H32" s="159" t="s">
        <v>286</v>
      </c>
      <c r="I32" s="217">
        <f>Calculations!B46</f>
        <v>12.000000000000002</v>
      </c>
      <c r="J32" s="160" t="s">
        <v>33</v>
      </c>
      <c r="K32" s="158"/>
      <c r="L32" s="158"/>
      <c r="M32" s="158"/>
      <c r="N32" s="158"/>
      <c r="O32" s="158"/>
      <c r="P32" s="158"/>
      <c r="Q32" s="158"/>
      <c r="R32" s="158"/>
      <c r="S32" s="158"/>
      <c r="T32" s="158"/>
      <c r="U32" s="158"/>
      <c r="V32" s="158"/>
      <c r="W32" s="158"/>
      <c r="X32" s="158"/>
      <c r="Y32" s="158"/>
      <c r="Z32" s="158"/>
      <c r="AA32" s="158"/>
      <c r="AB32" s="186"/>
    </row>
    <row r="33" spans="1:28" ht="16.5" x14ac:dyDescent="0.25">
      <c r="A33" s="157"/>
      <c r="B33" s="158"/>
      <c r="C33" s="158"/>
      <c r="D33" s="158"/>
      <c r="E33" s="158"/>
      <c r="F33" s="158"/>
      <c r="G33" s="158"/>
      <c r="H33" s="159" t="s">
        <v>284</v>
      </c>
      <c r="I33" s="217">
        <f>Calculations!B58</f>
        <v>17.128205128205131</v>
      </c>
      <c r="J33" s="160" t="s">
        <v>33</v>
      </c>
      <c r="K33" s="158"/>
      <c r="L33" s="158"/>
      <c r="M33" s="158"/>
      <c r="N33" s="158"/>
      <c r="O33" s="158"/>
      <c r="P33" s="158"/>
      <c r="Q33" s="158"/>
      <c r="R33" s="158"/>
      <c r="S33" s="158"/>
      <c r="T33" s="158"/>
      <c r="U33" s="158"/>
      <c r="V33" s="158"/>
      <c r="W33" s="158"/>
      <c r="X33" s="158"/>
      <c r="Y33" s="158"/>
      <c r="Z33" s="158"/>
      <c r="AA33" s="158"/>
      <c r="AB33" s="186"/>
    </row>
    <row r="34" spans="1:28" x14ac:dyDescent="0.15">
      <c r="A34" s="157"/>
      <c r="B34" s="158"/>
      <c r="C34" s="158"/>
      <c r="D34" s="158"/>
      <c r="E34" s="158"/>
      <c r="F34" s="158"/>
      <c r="G34" s="158"/>
      <c r="H34" s="159"/>
      <c r="I34" s="217"/>
      <c r="J34" s="160"/>
      <c r="K34" s="158"/>
      <c r="L34" s="158"/>
      <c r="M34" s="158"/>
      <c r="N34" s="158"/>
      <c r="O34" s="158"/>
      <c r="P34" s="158"/>
      <c r="Q34" s="158"/>
      <c r="R34" s="158"/>
      <c r="S34" s="158"/>
      <c r="T34" s="158"/>
      <c r="U34" s="158"/>
      <c r="V34" s="158"/>
      <c r="W34" s="158"/>
      <c r="X34" s="158"/>
      <c r="Y34" s="158"/>
      <c r="Z34" s="158"/>
      <c r="AA34" s="158"/>
      <c r="AB34" s="186"/>
    </row>
    <row r="35" spans="1:28" ht="16.5" x14ac:dyDescent="0.25">
      <c r="A35" s="157"/>
      <c r="B35" s="158"/>
      <c r="C35" s="158"/>
      <c r="D35" s="158"/>
      <c r="E35" s="158"/>
      <c r="F35" s="158"/>
      <c r="G35" s="158"/>
      <c r="H35" s="159" t="s">
        <v>287</v>
      </c>
      <c r="I35" s="217">
        <f>Calculations!B47</f>
        <v>4</v>
      </c>
      <c r="J35" s="160" t="s">
        <v>33</v>
      </c>
      <c r="K35" s="158"/>
      <c r="L35" s="158"/>
      <c r="M35" s="158"/>
      <c r="N35" s="158"/>
      <c r="O35" s="158"/>
      <c r="P35" s="158"/>
      <c r="Q35" s="158"/>
      <c r="R35" s="158"/>
      <c r="S35" s="158"/>
      <c r="T35" s="158"/>
      <c r="U35" s="158"/>
      <c r="V35" s="158"/>
      <c r="W35" s="158"/>
      <c r="X35" s="158"/>
      <c r="Y35" s="158"/>
      <c r="Z35" s="158"/>
      <c r="AA35" s="158"/>
      <c r="AB35" s="186"/>
    </row>
    <row r="36" spans="1:28" ht="17.25" thickBot="1" x14ac:dyDescent="0.3">
      <c r="A36" s="161"/>
      <c r="B36" s="162"/>
      <c r="C36" s="162"/>
      <c r="D36" s="162"/>
      <c r="E36" s="162"/>
      <c r="F36" s="162"/>
      <c r="G36" s="162"/>
      <c r="H36" s="164" t="s">
        <v>283</v>
      </c>
      <c r="I36" s="219">
        <f>Calculations!B59</f>
        <v>4</v>
      </c>
      <c r="J36" s="163" t="s">
        <v>33</v>
      </c>
      <c r="K36" s="158"/>
      <c r="L36" s="158"/>
      <c r="M36" s="158"/>
      <c r="N36" s="158"/>
      <c r="O36" s="158"/>
      <c r="P36" s="158"/>
      <c r="Q36" s="158"/>
      <c r="R36" s="158"/>
      <c r="S36" s="158"/>
      <c r="T36" s="158"/>
      <c r="U36" s="158"/>
      <c r="V36" s="158"/>
      <c r="W36" s="158"/>
      <c r="X36" s="158"/>
      <c r="Y36" s="158"/>
      <c r="Z36" s="158"/>
      <c r="AA36" s="158"/>
      <c r="AB36" s="186"/>
    </row>
    <row r="37" spans="1:28" x14ac:dyDescent="0.15">
      <c r="A37" s="158"/>
      <c r="B37" s="158"/>
      <c r="C37" s="158"/>
      <c r="D37" s="158"/>
      <c r="E37" s="158"/>
      <c r="F37" s="158"/>
      <c r="G37" s="158"/>
      <c r="H37" s="159"/>
      <c r="I37" s="158"/>
      <c r="J37" s="158"/>
      <c r="K37" s="158"/>
      <c r="L37" s="158"/>
      <c r="M37" s="158"/>
      <c r="N37" s="158"/>
      <c r="O37" s="158"/>
      <c r="P37" s="158"/>
      <c r="Q37" s="158"/>
      <c r="R37" s="158"/>
      <c r="S37" s="158"/>
      <c r="T37" s="158"/>
      <c r="U37" s="158"/>
      <c r="V37" s="158"/>
      <c r="W37" s="158"/>
      <c r="X37" s="158"/>
      <c r="Y37" s="158"/>
      <c r="Z37" s="158"/>
      <c r="AA37" s="158"/>
      <c r="AB37" s="186"/>
    </row>
    <row r="38" spans="1:28" ht="19.5" thickBot="1" x14ac:dyDescent="0.25">
      <c r="A38" s="177" t="s">
        <v>289</v>
      </c>
      <c r="B38" s="158"/>
      <c r="C38" s="158"/>
      <c r="D38" s="158"/>
      <c r="E38" s="158"/>
      <c r="F38" s="158"/>
      <c r="G38" s="158"/>
      <c r="H38" s="159"/>
      <c r="I38" s="158"/>
      <c r="J38" s="158"/>
      <c r="K38" s="158"/>
      <c r="L38" s="158"/>
      <c r="M38" s="158"/>
      <c r="N38" s="158"/>
      <c r="O38" s="158"/>
      <c r="P38" s="158"/>
      <c r="Q38" s="158"/>
      <c r="R38" s="158"/>
      <c r="S38" s="158"/>
      <c r="T38" s="158"/>
      <c r="U38" s="158"/>
      <c r="V38" s="158"/>
      <c r="W38" s="158"/>
      <c r="X38" s="158"/>
      <c r="Y38" s="158"/>
      <c r="Z38" s="158"/>
      <c r="AA38" s="158"/>
      <c r="AB38" s="186"/>
    </row>
    <row r="39" spans="1:28" ht="16.5" x14ac:dyDescent="0.25">
      <c r="A39" s="153"/>
      <c r="B39" s="154"/>
      <c r="C39" s="154"/>
      <c r="D39" s="154"/>
      <c r="E39" s="154"/>
      <c r="F39" s="154"/>
      <c r="G39" s="154"/>
      <c r="H39" s="155" t="s">
        <v>293</v>
      </c>
      <c r="I39" s="210">
        <v>25</v>
      </c>
      <c r="J39" s="156" t="s">
        <v>188</v>
      </c>
      <c r="K39" s="158"/>
      <c r="L39" s="158"/>
      <c r="M39" s="158"/>
      <c r="N39" s="158"/>
      <c r="O39" s="158"/>
      <c r="P39" s="158"/>
      <c r="Q39" s="158"/>
      <c r="R39" s="158"/>
      <c r="S39" s="158"/>
      <c r="T39" s="158"/>
      <c r="U39" s="158"/>
      <c r="V39" s="158"/>
      <c r="W39" s="158"/>
      <c r="X39" s="158"/>
      <c r="Y39" s="158"/>
      <c r="Z39" s="158"/>
      <c r="AA39" s="158"/>
      <c r="AB39" s="186"/>
    </row>
    <row r="40" spans="1:28" ht="16.5" x14ac:dyDescent="0.25">
      <c r="A40" s="157"/>
      <c r="B40" s="158"/>
      <c r="C40" s="158"/>
      <c r="D40" s="158"/>
      <c r="E40" s="158"/>
      <c r="F40" s="158"/>
      <c r="G40" s="158"/>
      <c r="H40" s="159" t="s">
        <v>303</v>
      </c>
      <c r="I40" s="217">
        <f>Calculations!B83</f>
        <v>22.724358974358974</v>
      </c>
      <c r="J40" s="160" t="s">
        <v>33</v>
      </c>
      <c r="K40" s="158"/>
      <c r="L40" s="158"/>
      <c r="M40" s="158"/>
      <c r="N40" s="158"/>
      <c r="O40" s="158"/>
      <c r="P40" s="158"/>
      <c r="Q40" s="158"/>
      <c r="R40" s="158"/>
      <c r="S40" s="158"/>
      <c r="T40" s="158"/>
      <c r="U40" s="158"/>
      <c r="V40" s="158"/>
      <c r="W40" s="158"/>
      <c r="X40" s="158"/>
      <c r="Y40" s="158"/>
      <c r="Z40" s="158"/>
      <c r="AA40" s="158"/>
      <c r="AB40" s="186"/>
    </row>
    <row r="41" spans="1:28" ht="16.5" x14ac:dyDescent="0.25">
      <c r="A41" s="157"/>
      <c r="B41" s="158"/>
      <c r="C41" s="158"/>
      <c r="D41" s="158"/>
      <c r="E41" s="158"/>
      <c r="F41" s="158"/>
      <c r="G41" s="158"/>
      <c r="H41" s="159" t="s">
        <v>304</v>
      </c>
      <c r="I41" s="217">
        <f>Calculations!B86*1000</f>
        <v>3.3004231311706627</v>
      </c>
      <c r="J41" s="160" t="s">
        <v>305</v>
      </c>
      <c r="K41" s="158"/>
      <c r="L41" s="158"/>
      <c r="M41" s="158"/>
      <c r="N41" s="158"/>
      <c r="O41" s="158"/>
      <c r="P41" s="158"/>
      <c r="Q41" s="158"/>
      <c r="R41" s="158"/>
      <c r="S41" s="158"/>
      <c r="T41" s="158"/>
      <c r="U41" s="158"/>
      <c r="V41" s="158"/>
      <c r="W41" s="158"/>
      <c r="X41" s="158"/>
      <c r="Y41" s="158"/>
      <c r="Z41" s="158"/>
      <c r="AA41" s="158"/>
      <c r="AB41" s="186"/>
    </row>
    <row r="42" spans="1:28" ht="16.5" x14ac:dyDescent="0.25">
      <c r="A42" s="157"/>
      <c r="B42" s="158"/>
      <c r="C42" s="158"/>
      <c r="D42" s="158"/>
      <c r="E42" s="158"/>
      <c r="F42" s="158"/>
      <c r="G42" s="158"/>
      <c r="H42" s="159" t="s">
        <v>306</v>
      </c>
      <c r="I42" s="211">
        <v>2</v>
      </c>
      <c r="J42" s="160" t="s">
        <v>307</v>
      </c>
      <c r="K42" s="158"/>
      <c r="L42" s="158"/>
      <c r="M42" s="158"/>
      <c r="N42" s="158"/>
      <c r="O42" s="158"/>
      <c r="P42" s="158"/>
      <c r="Q42" s="158"/>
      <c r="R42" s="158"/>
      <c r="S42" s="158"/>
      <c r="T42" s="158"/>
      <c r="U42" s="158"/>
      <c r="V42" s="158"/>
      <c r="W42" s="158"/>
      <c r="X42" s="158"/>
      <c r="Y42" s="158"/>
      <c r="Z42" s="158"/>
      <c r="AA42" s="158"/>
      <c r="AB42" s="186"/>
    </row>
    <row r="43" spans="1:28" ht="16.5" x14ac:dyDescent="0.25">
      <c r="A43" s="157"/>
      <c r="B43" s="158"/>
      <c r="C43" s="158"/>
      <c r="D43" s="158"/>
      <c r="E43" s="158"/>
      <c r="F43" s="158"/>
      <c r="G43" s="158"/>
      <c r="H43" s="159" t="s">
        <v>311</v>
      </c>
      <c r="I43" s="192">
        <f>Calculations!B89</f>
        <v>37.5</v>
      </c>
      <c r="J43" s="160" t="s">
        <v>33</v>
      </c>
      <c r="K43" s="158"/>
      <c r="L43" s="158"/>
      <c r="M43" s="158"/>
      <c r="N43" s="158"/>
      <c r="O43" s="158"/>
      <c r="P43" s="158"/>
      <c r="Q43" s="158"/>
      <c r="R43" s="158"/>
      <c r="S43" s="158"/>
      <c r="T43" s="158"/>
      <c r="U43" s="158"/>
      <c r="V43" s="158"/>
      <c r="W43" s="158"/>
      <c r="X43" s="158"/>
      <c r="Y43" s="158"/>
      <c r="Z43" s="158"/>
      <c r="AA43" s="158"/>
      <c r="AB43" s="186"/>
    </row>
    <row r="44" spans="1:28" x14ac:dyDescent="0.15">
      <c r="A44" s="157"/>
      <c r="B44" s="158"/>
      <c r="C44" s="158"/>
      <c r="D44" s="158"/>
      <c r="E44" s="158"/>
      <c r="F44" s="158"/>
      <c r="G44" s="158"/>
      <c r="H44" s="159"/>
      <c r="I44" s="192"/>
      <c r="J44" s="160"/>
      <c r="K44" s="158"/>
      <c r="L44" s="158"/>
      <c r="M44" s="158"/>
      <c r="N44" s="158"/>
      <c r="O44" s="158"/>
      <c r="P44" s="158"/>
      <c r="Q44" s="158"/>
      <c r="R44" s="158"/>
      <c r="S44" s="158"/>
      <c r="T44" s="158"/>
      <c r="U44" s="158"/>
      <c r="V44" s="158"/>
      <c r="W44" s="158"/>
      <c r="X44" s="158"/>
      <c r="Y44" s="158"/>
      <c r="Z44" s="158"/>
      <c r="AA44" s="158"/>
      <c r="AB44" s="186"/>
    </row>
    <row r="45" spans="1:28" ht="16.5" x14ac:dyDescent="0.25">
      <c r="A45" s="157"/>
      <c r="B45" s="158"/>
      <c r="C45" s="158"/>
      <c r="D45" s="158"/>
      <c r="E45" s="158"/>
      <c r="F45" s="158"/>
      <c r="G45" s="158"/>
      <c r="H45" s="159" t="s">
        <v>319</v>
      </c>
      <c r="I45" s="217">
        <f>Calculations!B93</f>
        <v>19.592307692307692</v>
      </c>
      <c r="J45" s="160" t="s">
        <v>33</v>
      </c>
      <c r="K45" s="158"/>
      <c r="L45" s="158"/>
      <c r="M45" s="158"/>
      <c r="N45" s="158"/>
      <c r="O45" s="158"/>
      <c r="P45" s="158"/>
      <c r="Q45" s="158"/>
      <c r="R45" s="158"/>
      <c r="S45" s="158"/>
      <c r="T45" s="158"/>
      <c r="U45" s="158"/>
      <c r="V45" s="158"/>
      <c r="W45" s="158"/>
      <c r="X45" s="158"/>
      <c r="Y45" s="158"/>
      <c r="Z45" s="158"/>
      <c r="AA45" s="158"/>
      <c r="AB45" s="186"/>
    </row>
    <row r="46" spans="1:28" ht="16.5" x14ac:dyDescent="0.25">
      <c r="A46" s="157"/>
      <c r="B46" s="158"/>
      <c r="C46" s="158"/>
      <c r="D46" s="158"/>
      <c r="E46" s="158"/>
      <c r="F46" s="158"/>
      <c r="G46" s="158"/>
      <c r="H46" s="159" t="s">
        <v>318</v>
      </c>
      <c r="I46" s="217">
        <f>Calculations!B94</f>
        <v>21.581196581196579</v>
      </c>
      <c r="J46" s="160" t="s">
        <v>33</v>
      </c>
      <c r="K46" s="158"/>
      <c r="L46" s="158"/>
      <c r="M46" s="158"/>
      <c r="N46" s="158"/>
      <c r="O46" s="158"/>
      <c r="P46" s="158"/>
      <c r="Q46" s="158"/>
      <c r="R46" s="158"/>
      <c r="S46" s="158"/>
      <c r="T46" s="158"/>
      <c r="U46" s="158"/>
      <c r="V46" s="158"/>
      <c r="W46" s="158"/>
      <c r="X46" s="158"/>
      <c r="Y46" s="158"/>
      <c r="Z46" s="158"/>
      <c r="AA46" s="158"/>
      <c r="AB46" s="186"/>
    </row>
    <row r="47" spans="1:28" ht="17.25" thickBot="1" x14ac:dyDescent="0.3">
      <c r="A47" s="161"/>
      <c r="B47" s="162"/>
      <c r="C47" s="162"/>
      <c r="D47" s="162"/>
      <c r="E47" s="162"/>
      <c r="F47" s="162"/>
      <c r="G47" s="162"/>
      <c r="H47" s="164" t="s">
        <v>320</v>
      </c>
      <c r="I47" s="219">
        <f>Calculations!B95</f>
        <v>75</v>
      </c>
      <c r="J47" s="163" t="s">
        <v>33</v>
      </c>
      <c r="K47" s="158"/>
      <c r="L47" s="158"/>
      <c r="M47" s="158"/>
      <c r="N47" s="158"/>
      <c r="O47" s="158"/>
      <c r="P47" s="158"/>
      <c r="Q47" s="158"/>
      <c r="R47" s="158"/>
      <c r="S47" s="158"/>
      <c r="T47" s="158"/>
      <c r="U47" s="158"/>
      <c r="V47" s="158"/>
      <c r="W47" s="158"/>
      <c r="X47" s="158"/>
      <c r="Y47" s="158"/>
      <c r="Z47" s="158"/>
      <c r="AA47" s="158"/>
      <c r="AB47" s="186"/>
    </row>
    <row r="48" spans="1:28" x14ac:dyDescent="0.15">
      <c r="A48" s="158"/>
      <c r="B48" s="158"/>
      <c r="C48" s="158"/>
      <c r="D48" s="158"/>
      <c r="E48" s="158"/>
      <c r="F48" s="158"/>
      <c r="G48" s="158"/>
      <c r="H48" s="159"/>
      <c r="I48" s="158"/>
      <c r="J48" s="158"/>
      <c r="K48" s="158"/>
      <c r="L48" s="158"/>
      <c r="M48" s="158"/>
      <c r="N48" s="158"/>
      <c r="O48" s="158"/>
      <c r="P48" s="158"/>
      <c r="Q48" s="158"/>
      <c r="R48" s="158"/>
      <c r="S48" s="158"/>
      <c r="T48" s="158"/>
      <c r="U48" s="158"/>
      <c r="V48" s="158"/>
      <c r="W48" s="158"/>
      <c r="X48" s="158"/>
      <c r="Y48" s="158"/>
      <c r="Z48" s="158"/>
      <c r="AA48" s="158"/>
      <c r="AB48" s="186"/>
    </row>
    <row r="49" spans="1:28" ht="19.5" thickBot="1" x14ac:dyDescent="0.25">
      <c r="A49" s="177" t="s">
        <v>323</v>
      </c>
      <c r="B49" s="158"/>
      <c r="C49" s="158"/>
      <c r="D49" s="158"/>
      <c r="E49" s="158"/>
      <c r="F49" s="158"/>
      <c r="G49" s="158"/>
      <c r="H49" s="159"/>
      <c r="I49" s="158"/>
      <c r="J49" s="158"/>
      <c r="K49" s="158"/>
      <c r="L49" s="158"/>
      <c r="M49" s="158"/>
      <c r="N49" s="158"/>
      <c r="O49" s="158"/>
      <c r="P49" s="158"/>
      <c r="Q49" s="158"/>
      <c r="R49" s="158"/>
      <c r="S49" s="158"/>
      <c r="T49" s="158"/>
      <c r="U49" s="158"/>
      <c r="V49" s="158"/>
      <c r="W49" s="158"/>
      <c r="X49" s="158"/>
      <c r="Y49" s="158"/>
      <c r="Z49" s="158"/>
      <c r="AA49" s="158"/>
      <c r="AB49" s="186"/>
    </row>
    <row r="50" spans="1:28" ht="16.5" x14ac:dyDescent="0.25">
      <c r="A50" s="153"/>
      <c r="B50" s="154"/>
      <c r="C50" s="154"/>
      <c r="D50" s="154"/>
      <c r="E50" s="154"/>
      <c r="F50" s="154"/>
      <c r="G50" s="154"/>
      <c r="H50" s="155" t="s">
        <v>324</v>
      </c>
      <c r="I50" s="210">
        <v>1</v>
      </c>
      <c r="J50" s="156"/>
      <c r="K50" s="158"/>
      <c r="L50" s="158"/>
      <c r="M50" s="158"/>
      <c r="N50" s="158"/>
      <c r="O50" s="158"/>
      <c r="P50" s="158"/>
      <c r="Q50" s="158"/>
      <c r="R50" s="158"/>
      <c r="S50" s="158"/>
      <c r="T50" s="158"/>
      <c r="U50" s="158"/>
      <c r="V50" s="158"/>
      <c r="W50" s="158"/>
      <c r="X50" s="158"/>
      <c r="Y50" s="158"/>
      <c r="Z50" s="158"/>
      <c r="AA50" s="158"/>
      <c r="AB50" s="186"/>
    </row>
    <row r="51" spans="1:28" ht="16.5" x14ac:dyDescent="0.25">
      <c r="A51" s="157"/>
      <c r="B51" s="158"/>
      <c r="C51" s="158"/>
      <c r="D51" s="158"/>
      <c r="E51" s="158"/>
      <c r="F51" s="158"/>
      <c r="G51" s="158"/>
      <c r="H51" s="159" t="s">
        <v>674</v>
      </c>
      <c r="I51" s="217">
        <f>Calculations!B99/1000</f>
        <v>39.461538461538453</v>
      </c>
      <c r="J51" s="160" t="s">
        <v>330</v>
      </c>
      <c r="K51" s="158"/>
      <c r="L51" s="158"/>
      <c r="M51" s="158"/>
      <c r="N51" s="158"/>
      <c r="O51" s="158"/>
      <c r="P51" s="158"/>
      <c r="Q51" s="158"/>
      <c r="R51" s="158"/>
      <c r="S51" s="158"/>
      <c r="T51" s="158"/>
      <c r="U51" s="158"/>
      <c r="V51" s="158"/>
      <c r="W51" s="158"/>
      <c r="X51" s="158"/>
      <c r="Y51" s="158"/>
      <c r="Z51" s="158"/>
      <c r="AA51" s="158"/>
      <c r="AB51" s="186"/>
    </row>
    <row r="52" spans="1:28" ht="16.5" x14ac:dyDescent="0.25">
      <c r="A52" s="157"/>
      <c r="B52" s="158"/>
      <c r="C52" s="158"/>
      <c r="D52" s="158"/>
      <c r="E52" s="158"/>
      <c r="F52" s="158"/>
      <c r="G52" s="158"/>
      <c r="H52" s="159" t="s">
        <v>673</v>
      </c>
      <c r="I52" s="217">
        <f>Calculations!B100/1000</f>
        <v>71.428571428571431</v>
      </c>
      <c r="J52" s="160" t="s">
        <v>330</v>
      </c>
      <c r="K52" s="158"/>
      <c r="L52" s="158"/>
      <c r="M52" s="158"/>
      <c r="N52" s="158"/>
      <c r="O52" s="158"/>
      <c r="P52" s="158"/>
      <c r="Q52" s="158"/>
      <c r="R52" s="158"/>
      <c r="S52" s="158"/>
      <c r="T52" s="158"/>
      <c r="U52" s="158"/>
      <c r="V52" s="158"/>
      <c r="W52" s="158"/>
      <c r="X52" s="158"/>
      <c r="Y52" s="158"/>
      <c r="Z52" s="158"/>
      <c r="AA52" s="158"/>
      <c r="AB52" s="186"/>
    </row>
    <row r="53" spans="1:28" ht="17.25" thickBot="1" x14ac:dyDescent="0.3">
      <c r="A53" s="161"/>
      <c r="B53" s="162"/>
      <c r="C53" s="162"/>
      <c r="D53" s="162"/>
      <c r="E53" s="162"/>
      <c r="F53" s="162"/>
      <c r="G53" s="162"/>
      <c r="H53" s="164" t="s">
        <v>672</v>
      </c>
      <c r="I53" s="212">
        <v>40.200000000000003</v>
      </c>
      <c r="J53" s="163" t="s">
        <v>330</v>
      </c>
      <c r="K53" s="158"/>
      <c r="L53" s="158"/>
      <c r="M53" s="158"/>
      <c r="N53" s="158"/>
      <c r="O53" s="158"/>
      <c r="P53" s="158"/>
      <c r="Q53" s="158"/>
      <c r="R53" s="158"/>
      <c r="S53" s="158"/>
      <c r="T53" s="158"/>
      <c r="U53" s="158"/>
      <c r="V53" s="158"/>
      <c r="W53" s="158"/>
      <c r="X53" s="158"/>
      <c r="Y53" s="158"/>
      <c r="Z53" s="158"/>
      <c r="AA53" s="158"/>
      <c r="AB53" s="186"/>
    </row>
    <row r="54" spans="1:28" x14ac:dyDescent="0.15">
      <c r="A54" s="158"/>
      <c r="B54" s="158"/>
      <c r="C54" s="158"/>
      <c r="D54" s="158"/>
      <c r="E54" s="158"/>
      <c r="F54" s="158"/>
      <c r="G54" s="158"/>
      <c r="H54" s="159"/>
      <c r="I54" s="158"/>
      <c r="J54" s="158"/>
      <c r="K54" s="158"/>
      <c r="L54" s="158"/>
      <c r="M54" s="158"/>
      <c r="N54" s="158"/>
      <c r="O54" s="158"/>
      <c r="P54" s="158"/>
      <c r="Q54" s="158"/>
      <c r="R54" s="158"/>
      <c r="S54" s="158"/>
      <c r="T54" s="158"/>
      <c r="U54" s="158"/>
      <c r="V54" s="158"/>
      <c r="W54" s="158"/>
      <c r="X54" s="158"/>
      <c r="Y54" s="158"/>
      <c r="Z54" s="158"/>
      <c r="AA54" s="158"/>
      <c r="AB54" s="186"/>
    </row>
    <row r="55" spans="1:28" ht="24" thickBot="1" x14ac:dyDescent="0.4">
      <c r="A55" s="177" t="s">
        <v>552</v>
      </c>
      <c r="B55" s="158"/>
      <c r="C55" s="158"/>
      <c r="D55" s="158"/>
      <c r="E55" s="158"/>
      <c r="F55" s="158"/>
      <c r="G55" s="158"/>
      <c r="H55" s="159"/>
      <c r="I55" s="158"/>
      <c r="J55" s="158"/>
      <c r="K55" s="158"/>
      <c r="L55" s="158"/>
      <c r="M55" s="158"/>
      <c r="N55" s="158"/>
      <c r="O55" s="158"/>
      <c r="P55" s="158"/>
      <c r="Q55" s="158"/>
      <c r="R55" s="158"/>
      <c r="S55" s="158"/>
      <c r="T55" s="158"/>
      <c r="U55" s="158"/>
      <c r="V55" s="158"/>
      <c r="W55" s="158"/>
      <c r="X55" s="158"/>
      <c r="Y55" s="158"/>
      <c r="Z55" s="158"/>
      <c r="AA55" s="158"/>
      <c r="AB55" s="186"/>
    </row>
    <row r="56" spans="1:28" x14ac:dyDescent="0.15">
      <c r="A56" s="153"/>
      <c r="B56" s="154"/>
      <c r="C56" s="154"/>
      <c r="D56" s="154"/>
      <c r="E56" s="154"/>
      <c r="F56" s="154"/>
      <c r="G56" s="154"/>
      <c r="H56" s="155" t="s">
        <v>351</v>
      </c>
      <c r="I56" s="210">
        <v>24</v>
      </c>
      <c r="J56" s="156" t="s">
        <v>352</v>
      </c>
      <c r="K56" s="158"/>
      <c r="L56" s="158"/>
      <c r="M56" s="158"/>
      <c r="N56" s="158"/>
      <c r="O56" s="158"/>
      <c r="P56" s="158"/>
      <c r="Q56" s="158"/>
      <c r="R56" s="158"/>
      <c r="S56" s="158"/>
      <c r="T56" s="158"/>
      <c r="U56" s="158"/>
      <c r="V56" s="158"/>
      <c r="W56" s="158"/>
      <c r="X56" s="158"/>
      <c r="Y56" s="158"/>
      <c r="Z56" s="158"/>
      <c r="AA56" s="158"/>
      <c r="AB56" s="186"/>
    </row>
    <row r="57" spans="1:28" x14ac:dyDescent="0.15">
      <c r="A57" s="157"/>
      <c r="B57" s="158"/>
      <c r="C57" s="158"/>
      <c r="D57" s="158"/>
      <c r="E57" s="158"/>
      <c r="F57" s="158"/>
      <c r="G57" s="158"/>
      <c r="H57" s="159" t="s">
        <v>685</v>
      </c>
      <c r="I57" s="195">
        <f>Calculations!B112*(10^6)</f>
        <v>2314.102564102564</v>
      </c>
      <c r="J57" s="160" t="s">
        <v>355</v>
      </c>
      <c r="K57" s="158"/>
      <c r="L57" s="158"/>
      <c r="M57" s="158"/>
      <c r="N57" s="158"/>
      <c r="O57" s="158"/>
      <c r="P57" s="158"/>
      <c r="Q57" s="158"/>
      <c r="R57" s="158"/>
      <c r="S57" s="158"/>
      <c r="T57" s="158"/>
      <c r="U57" s="158"/>
      <c r="V57" s="158"/>
      <c r="W57" s="158"/>
      <c r="X57" s="158"/>
      <c r="Y57" s="158"/>
      <c r="Z57" s="158"/>
      <c r="AA57" s="158"/>
      <c r="AB57" s="186"/>
    </row>
    <row r="58" spans="1:28" ht="16.5" x14ac:dyDescent="0.25">
      <c r="A58" s="157"/>
      <c r="B58" s="158"/>
      <c r="C58" s="158"/>
      <c r="D58" s="158"/>
      <c r="E58" s="158"/>
      <c r="F58" s="158"/>
      <c r="G58" s="158"/>
      <c r="H58" s="159" t="s">
        <v>361</v>
      </c>
      <c r="I58" s="211">
        <v>3640</v>
      </c>
      <c r="J58" s="160" t="s">
        <v>355</v>
      </c>
      <c r="K58" s="158"/>
      <c r="L58" s="158"/>
      <c r="M58" s="158"/>
      <c r="N58" s="158"/>
      <c r="O58" s="158"/>
      <c r="P58" s="158"/>
      <c r="Q58" s="158"/>
      <c r="R58" s="158"/>
      <c r="S58" s="158"/>
      <c r="T58" s="158"/>
      <c r="U58" s="158"/>
      <c r="V58" s="158"/>
      <c r="W58" s="158"/>
      <c r="X58" s="158"/>
      <c r="Y58" s="158"/>
      <c r="Z58" s="158"/>
      <c r="AA58" s="158"/>
      <c r="AB58" s="186"/>
    </row>
    <row r="59" spans="1:28" ht="17.25" thickBot="1" x14ac:dyDescent="0.3">
      <c r="A59" s="161"/>
      <c r="B59" s="162"/>
      <c r="C59" s="162"/>
      <c r="D59" s="162"/>
      <c r="E59" s="162"/>
      <c r="F59" s="162"/>
      <c r="G59" s="162"/>
      <c r="H59" s="164" t="s">
        <v>360</v>
      </c>
      <c r="I59" s="212">
        <v>15</v>
      </c>
      <c r="J59" s="163" t="s">
        <v>307</v>
      </c>
      <c r="K59" s="158"/>
      <c r="L59" s="158"/>
      <c r="M59" s="158"/>
      <c r="N59" s="158"/>
      <c r="O59" s="158"/>
      <c r="P59" s="158"/>
      <c r="Q59" s="158"/>
      <c r="R59" s="158"/>
      <c r="S59" s="158"/>
      <c r="T59" s="158"/>
      <c r="U59" s="158"/>
      <c r="V59" s="158"/>
      <c r="W59" s="158"/>
      <c r="X59" s="158"/>
      <c r="Y59" s="158"/>
      <c r="Z59" s="158"/>
      <c r="AA59" s="158"/>
      <c r="AB59" s="186"/>
    </row>
    <row r="60" spans="1:28" x14ac:dyDescent="0.15">
      <c r="A60" s="158"/>
      <c r="B60" s="158"/>
      <c r="C60" s="158"/>
      <c r="D60" s="158"/>
      <c r="E60" s="158"/>
      <c r="F60" s="158"/>
      <c r="G60" s="158"/>
      <c r="H60" s="159"/>
      <c r="I60" s="158"/>
      <c r="J60" s="158"/>
      <c r="K60" s="158"/>
      <c r="L60" s="158"/>
      <c r="M60" s="158"/>
      <c r="N60" s="158"/>
      <c r="O60" s="158"/>
      <c r="P60" s="158"/>
      <c r="Q60" s="158"/>
      <c r="R60" s="158"/>
      <c r="S60" s="158"/>
      <c r="T60" s="158"/>
      <c r="U60" s="158"/>
      <c r="V60" s="158"/>
      <c r="W60" s="158"/>
      <c r="X60" s="158"/>
      <c r="Y60" s="158"/>
      <c r="Z60" s="158"/>
      <c r="AA60" s="158"/>
      <c r="AB60" s="186"/>
    </row>
    <row r="61" spans="1:28" ht="19.5" thickBot="1" x14ac:dyDescent="0.25">
      <c r="A61" s="177" t="s">
        <v>556</v>
      </c>
      <c r="B61" s="158"/>
      <c r="C61" s="158"/>
      <c r="D61" s="158"/>
      <c r="E61" s="158"/>
      <c r="F61" s="158"/>
      <c r="G61" s="158"/>
      <c r="H61" s="159"/>
      <c r="I61" s="158"/>
      <c r="J61" s="158"/>
      <c r="K61" s="158"/>
      <c r="L61" s="158"/>
      <c r="M61" s="158"/>
      <c r="N61" s="158"/>
      <c r="O61" s="158"/>
      <c r="P61" s="158"/>
      <c r="Q61" s="158"/>
      <c r="R61" s="158"/>
      <c r="S61" s="158"/>
      <c r="T61" s="158"/>
      <c r="U61" s="158"/>
      <c r="V61" s="158"/>
      <c r="W61" s="158"/>
      <c r="X61" s="158"/>
      <c r="Y61" s="158"/>
      <c r="Z61" s="158"/>
      <c r="AA61" s="158"/>
      <c r="AB61" s="186"/>
    </row>
    <row r="62" spans="1:28" ht="16.5" x14ac:dyDescent="0.25">
      <c r="A62" s="153"/>
      <c r="B62" s="154"/>
      <c r="C62" s="154"/>
      <c r="D62" s="154"/>
      <c r="E62" s="154"/>
      <c r="F62" s="154"/>
      <c r="G62" s="154"/>
      <c r="H62" s="155" t="s">
        <v>373</v>
      </c>
      <c r="I62" s="210">
        <v>28.8</v>
      </c>
      <c r="J62" s="156" t="s">
        <v>330</v>
      </c>
      <c r="K62" s="158"/>
      <c r="L62" s="158"/>
      <c r="M62" s="158"/>
      <c r="N62" s="158"/>
      <c r="O62" s="158"/>
      <c r="P62" s="158"/>
      <c r="Q62" s="158"/>
      <c r="R62" s="158"/>
      <c r="S62" s="158"/>
      <c r="T62" s="158"/>
      <c r="U62" s="158"/>
      <c r="V62" s="158"/>
      <c r="W62" s="158"/>
      <c r="X62" s="158"/>
      <c r="Y62" s="158"/>
      <c r="Z62" s="158"/>
      <c r="AA62" s="158"/>
      <c r="AB62" s="186"/>
    </row>
    <row r="63" spans="1:28" ht="16.5" x14ac:dyDescent="0.25">
      <c r="A63" s="157"/>
      <c r="B63" s="158"/>
      <c r="C63" s="158"/>
      <c r="D63" s="158"/>
      <c r="E63" s="158"/>
      <c r="F63" s="158"/>
      <c r="G63" s="158"/>
      <c r="H63" s="159" t="s">
        <v>374</v>
      </c>
      <c r="I63" s="217">
        <f>Calculations!B161/1000</f>
        <v>0.58775510204081638</v>
      </c>
      <c r="J63" s="160" t="s">
        <v>330</v>
      </c>
      <c r="K63" s="158"/>
      <c r="L63" s="158"/>
      <c r="M63" s="158"/>
      <c r="N63" s="158"/>
      <c r="O63" s="158"/>
      <c r="P63" s="158"/>
      <c r="Q63" s="158"/>
      <c r="R63" s="158"/>
      <c r="S63" s="158"/>
      <c r="T63" s="158"/>
      <c r="U63" s="158"/>
      <c r="V63" s="158"/>
      <c r="W63" s="158"/>
      <c r="X63" s="158"/>
      <c r="Y63" s="158"/>
      <c r="Z63" s="158"/>
      <c r="AA63" s="158"/>
      <c r="AB63" s="186"/>
    </row>
    <row r="64" spans="1:28" ht="17.25" thickBot="1" x14ac:dyDescent="0.3">
      <c r="A64" s="161"/>
      <c r="B64" s="162"/>
      <c r="C64" s="162"/>
      <c r="D64" s="162"/>
      <c r="E64" s="162"/>
      <c r="F64" s="162"/>
      <c r="G64" s="162"/>
      <c r="H64" s="164" t="s">
        <v>375</v>
      </c>
      <c r="I64" s="212">
        <v>0.57599999999999996</v>
      </c>
      <c r="J64" s="163" t="s">
        <v>330</v>
      </c>
      <c r="K64" s="158"/>
      <c r="L64" s="158"/>
      <c r="M64" s="158"/>
      <c r="N64" s="158"/>
      <c r="O64" s="158"/>
      <c r="P64" s="158"/>
      <c r="Q64" s="158"/>
      <c r="R64" s="158"/>
      <c r="S64" s="158"/>
      <c r="T64" s="158"/>
      <c r="U64" s="158"/>
      <c r="V64" s="158"/>
      <c r="W64" s="158"/>
      <c r="X64" s="158"/>
      <c r="Y64" s="158"/>
      <c r="Z64" s="158"/>
      <c r="AA64" s="158"/>
      <c r="AB64" s="186"/>
    </row>
    <row r="65" spans="1:28" x14ac:dyDescent="0.15">
      <c r="A65" s="158"/>
      <c r="B65" s="158"/>
      <c r="C65" s="158"/>
      <c r="D65" s="158"/>
      <c r="E65" s="158"/>
      <c r="F65" s="158"/>
      <c r="G65" s="158"/>
      <c r="H65" s="159"/>
      <c r="I65" s="158"/>
      <c r="J65" s="158"/>
      <c r="K65" s="158"/>
      <c r="L65" s="158"/>
      <c r="M65" s="158"/>
      <c r="N65" s="158"/>
      <c r="O65" s="158"/>
      <c r="P65" s="158"/>
      <c r="Q65" s="158"/>
      <c r="R65" s="158"/>
      <c r="S65" s="158"/>
      <c r="T65" s="158"/>
      <c r="U65" s="158"/>
      <c r="V65" s="158"/>
      <c r="W65" s="158"/>
      <c r="X65" s="158"/>
      <c r="Y65" s="158"/>
      <c r="Z65" s="158"/>
      <c r="AA65" s="158"/>
      <c r="AB65" s="186"/>
    </row>
    <row r="66" spans="1:28" ht="19.5" thickBot="1" x14ac:dyDescent="0.25">
      <c r="A66" s="177" t="s">
        <v>555</v>
      </c>
      <c r="B66" s="158"/>
      <c r="C66" s="158"/>
      <c r="D66" s="158"/>
      <c r="E66" s="158"/>
      <c r="F66" s="158"/>
      <c r="G66" s="158"/>
      <c r="H66" s="159"/>
      <c r="I66" s="158"/>
      <c r="J66" s="158"/>
      <c r="K66" s="158"/>
      <c r="L66" s="158"/>
      <c r="M66" s="158"/>
      <c r="N66" s="158"/>
      <c r="O66" s="158"/>
      <c r="P66" s="158"/>
      <c r="Q66" s="158"/>
      <c r="R66" s="158"/>
      <c r="S66" s="158"/>
      <c r="T66" s="158"/>
      <c r="U66" s="158"/>
      <c r="V66" s="158"/>
      <c r="W66" s="158"/>
      <c r="X66" s="158"/>
      <c r="Y66" s="158"/>
      <c r="Z66" s="158"/>
      <c r="AA66" s="158"/>
      <c r="AB66" s="186"/>
    </row>
    <row r="67" spans="1:28" ht="16.5" x14ac:dyDescent="0.25">
      <c r="A67" s="153"/>
      <c r="B67" s="154"/>
      <c r="C67" s="154"/>
      <c r="D67" s="154"/>
      <c r="E67" s="154"/>
      <c r="F67" s="154"/>
      <c r="G67" s="154"/>
      <c r="H67" s="155" t="s">
        <v>557</v>
      </c>
      <c r="I67" s="210">
        <v>2</v>
      </c>
      <c r="J67" s="156" t="s">
        <v>553</v>
      </c>
      <c r="K67" s="158"/>
      <c r="L67" s="158"/>
      <c r="M67" s="158"/>
      <c r="N67" s="158"/>
      <c r="O67" s="158"/>
      <c r="P67" s="158"/>
      <c r="Q67" s="158"/>
      <c r="R67" s="158"/>
      <c r="S67" s="158"/>
      <c r="T67" s="158"/>
      <c r="U67" s="158"/>
      <c r="V67" s="158"/>
      <c r="W67" s="158"/>
      <c r="X67" s="158"/>
      <c r="Y67" s="158"/>
      <c r="Z67" s="158"/>
      <c r="AA67" s="158"/>
      <c r="AB67" s="186"/>
    </row>
    <row r="68" spans="1:28" ht="16.5" x14ac:dyDescent="0.25">
      <c r="A68" s="157"/>
      <c r="B68" s="158"/>
      <c r="C68" s="158"/>
      <c r="D68" s="158"/>
      <c r="E68" s="158"/>
      <c r="F68" s="158"/>
      <c r="G68" s="158"/>
      <c r="H68" s="159" t="s">
        <v>558</v>
      </c>
      <c r="I68" s="192" t="e">
        <f>aTSSmax</f>
        <v>#DIV/0!</v>
      </c>
      <c r="J68" s="160" t="s">
        <v>553</v>
      </c>
      <c r="K68" s="158"/>
      <c r="L68" s="158"/>
      <c r="M68" s="158"/>
      <c r="N68" s="158"/>
      <c r="O68" s="158"/>
      <c r="P68" s="158"/>
      <c r="Q68" s="158"/>
      <c r="R68" s="158"/>
      <c r="S68" s="158"/>
      <c r="T68" s="158"/>
      <c r="U68" s="158"/>
      <c r="V68" s="158"/>
      <c r="W68" s="158"/>
      <c r="X68" s="158"/>
      <c r="Y68" s="158"/>
      <c r="Z68" s="158"/>
      <c r="AA68" s="158"/>
      <c r="AB68" s="186"/>
    </row>
    <row r="69" spans="1:28" ht="17.25" thickBot="1" x14ac:dyDescent="0.3">
      <c r="A69" s="161"/>
      <c r="B69" s="162"/>
      <c r="C69" s="162"/>
      <c r="D69" s="162"/>
      <c r="E69" s="162"/>
      <c r="F69" s="162"/>
      <c r="G69" s="162"/>
      <c r="H69" s="173" t="s">
        <v>554</v>
      </c>
      <c r="I69" s="194" t="e">
        <f>arCss</f>
        <v>#DIV/0!</v>
      </c>
      <c r="J69" s="163" t="s">
        <v>394</v>
      </c>
      <c r="K69" s="158"/>
      <c r="L69" s="158"/>
      <c r="M69" s="158"/>
      <c r="N69" s="158"/>
      <c r="O69" s="158"/>
      <c r="P69" s="158"/>
      <c r="Q69" s="158"/>
      <c r="R69" s="158"/>
      <c r="S69" s="158"/>
      <c r="T69" s="158"/>
      <c r="U69" s="158"/>
      <c r="V69" s="158"/>
      <c r="W69" s="158"/>
      <c r="X69" s="158"/>
      <c r="Y69" s="158"/>
      <c r="Z69" s="158"/>
      <c r="AA69" s="158"/>
      <c r="AB69" s="186"/>
    </row>
    <row r="70" spans="1:28" x14ac:dyDescent="0.15">
      <c r="A70" s="158"/>
      <c r="B70" s="158"/>
      <c r="C70" s="158"/>
      <c r="D70" s="158"/>
      <c r="E70" s="158"/>
      <c r="F70" s="158"/>
      <c r="G70" s="158"/>
      <c r="H70" s="171"/>
      <c r="I70" s="158"/>
      <c r="J70" s="158"/>
      <c r="K70" s="158"/>
      <c r="L70" s="158"/>
      <c r="M70" s="158"/>
      <c r="N70" s="158"/>
      <c r="O70" s="158"/>
      <c r="P70" s="158"/>
      <c r="Q70" s="158"/>
      <c r="R70" s="158"/>
      <c r="S70" s="158"/>
      <c r="T70" s="158"/>
      <c r="U70" s="158"/>
      <c r="V70" s="158"/>
      <c r="W70" s="158"/>
      <c r="X70" s="158"/>
      <c r="Y70" s="158"/>
      <c r="Z70" s="158"/>
      <c r="AA70" s="158"/>
      <c r="AB70" s="186"/>
    </row>
    <row r="71" spans="1:28" ht="19.5" thickBot="1" x14ac:dyDescent="0.25">
      <c r="A71" s="177" t="s">
        <v>680</v>
      </c>
      <c r="B71" s="158"/>
      <c r="C71" s="158"/>
      <c r="D71" s="158"/>
      <c r="E71" s="158"/>
      <c r="F71" s="158"/>
      <c r="G71" s="158"/>
      <c r="H71" s="171"/>
      <c r="I71" s="158"/>
      <c r="J71" s="158"/>
      <c r="K71" s="158"/>
      <c r="L71" s="158"/>
      <c r="M71" s="158"/>
      <c r="N71" s="158"/>
      <c r="O71" s="158"/>
      <c r="P71" s="158"/>
      <c r="Q71" s="158"/>
      <c r="R71" s="158"/>
      <c r="S71" s="158"/>
      <c r="T71" s="158"/>
      <c r="U71" s="158"/>
      <c r="V71" s="158"/>
      <c r="W71" s="158"/>
      <c r="X71" s="158"/>
      <c r="Y71" s="158"/>
      <c r="Z71" s="158"/>
      <c r="AA71" s="158"/>
      <c r="AB71" s="186"/>
    </row>
    <row r="72" spans="1:28" ht="16.5" x14ac:dyDescent="0.25">
      <c r="A72" s="232" t="s">
        <v>675</v>
      </c>
      <c r="B72" s="233"/>
      <c r="C72" s="233"/>
      <c r="D72" s="233"/>
      <c r="E72" s="233"/>
      <c r="F72" s="233"/>
      <c r="G72" s="233"/>
      <c r="H72" s="234"/>
      <c r="I72" s="210">
        <v>8.3000000000000007</v>
      </c>
      <c r="J72" s="149" t="s">
        <v>34</v>
      </c>
      <c r="K72" s="158"/>
      <c r="L72" s="158"/>
      <c r="M72" s="158"/>
      <c r="N72" s="158"/>
      <c r="O72" s="158"/>
      <c r="P72" s="158"/>
      <c r="Q72" s="158"/>
      <c r="R72" s="158"/>
      <c r="S72" s="158"/>
      <c r="T72" s="158"/>
      <c r="U72" s="158"/>
      <c r="V72" s="158"/>
      <c r="W72" s="158"/>
      <c r="X72" s="158"/>
      <c r="Y72" s="158"/>
      <c r="Z72" s="158"/>
      <c r="AA72" s="158"/>
      <c r="AB72" s="186"/>
    </row>
    <row r="73" spans="1:28" ht="16.5" x14ac:dyDescent="0.25">
      <c r="A73" s="224" t="s">
        <v>676</v>
      </c>
      <c r="B73" s="225"/>
      <c r="C73" s="225"/>
      <c r="D73" s="225"/>
      <c r="E73" s="225"/>
      <c r="F73" s="225"/>
      <c r="G73" s="225"/>
      <c r="H73" s="226"/>
      <c r="I73" s="211">
        <v>7.85</v>
      </c>
      <c r="J73" s="47" t="s">
        <v>34</v>
      </c>
      <c r="K73" s="158"/>
      <c r="L73" s="158"/>
      <c r="M73" s="158"/>
      <c r="N73" s="158"/>
      <c r="O73" s="158"/>
      <c r="P73" s="158"/>
      <c r="Q73" s="158"/>
      <c r="R73" s="158"/>
      <c r="S73" s="158"/>
      <c r="T73" s="158"/>
      <c r="U73" s="158"/>
      <c r="V73" s="158"/>
      <c r="W73" s="158"/>
      <c r="X73" s="158"/>
      <c r="Y73" s="158"/>
      <c r="Z73" s="158"/>
      <c r="AA73" s="158"/>
      <c r="AB73" s="186"/>
    </row>
    <row r="74" spans="1:28" ht="16.5" x14ac:dyDescent="0.25">
      <c r="A74" s="224" t="s">
        <v>677</v>
      </c>
      <c r="B74" s="225"/>
      <c r="C74" s="225"/>
      <c r="D74" s="225"/>
      <c r="E74" s="225"/>
      <c r="F74" s="225"/>
      <c r="G74" s="225"/>
      <c r="H74" s="226"/>
      <c r="I74" s="151">
        <f>aRUV_upper</f>
        <v>45.000000000000099</v>
      </c>
      <c r="J74" s="46" t="s">
        <v>330</v>
      </c>
      <c r="K74" s="158"/>
      <c r="L74" s="158"/>
      <c r="M74" s="158"/>
      <c r="N74" s="158"/>
      <c r="O74" s="158"/>
      <c r="P74" s="158"/>
      <c r="Q74" s="158"/>
      <c r="R74" s="158"/>
      <c r="S74" s="158"/>
      <c r="T74" s="158"/>
      <c r="U74" s="158"/>
      <c r="V74" s="158"/>
      <c r="W74" s="158"/>
      <c r="X74" s="158"/>
      <c r="Y74" s="158"/>
      <c r="Z74" s="158"/>
      <c r="AA74" s="158"/>
      <c r="AB74" s="186"/>
    </row>
    <row r="75" spans="1:28" ht="16.5" x14ac:dyDescent="0.25">
      <c r="A75" s="224" t="s">
        <v>678</v>
      </c>
      <c r="B75" s="225"/>
      <c r="C75" s="225"/>
      <c r="D75" s="225"/>
      <c r="E75" s="225"/>
      <c r="F75" s="225"/>
      <c r="G75" s="225"/>
      <c r="H75" s="226"/>
      <c r="I75" s="211">
        <v>47.5</v>
      </c>
      <c r="J75" s="46" t="s">
        <v>330</v>
      </c>
      <c r="K75" s="158"/>
      <c r="L75" s="158"/>
      <c r="M75" s="158"/>
      <c r="N75" s="158"/>
      <c r="O75" s="158"/>
      <c r="P75" s="158"/>
      <c r="Q75" s="158"/>
      <c r="R75" s="158"/>
      <c r="S75" s="158"/>
      <c r="T75" s="158"/>
      <c r="U75" s="158"/>
      <c r="V75" s="158"/>
      <c r="W75" s="158"/>
      <c r="X75" s="158"/>
      <c r="Y75" s="158"/>
      <c r="Z75" s="158"/>
      <c r="AA75" s="158"/>
      <c r="AB75" s="186"/>
    </row>
    <row r="76" spans="1:28" ht="17.25" thickBot="1" x14ac:dyDescent="0.3">
      <c r="A76" s="227" t="s">
        <v>679</v>
      </c>
      <c r="B76" s="228"/>
      <c r="C76" s="228"/>
      <c r="D76" s="228"/>
      <c r="E76" s="228"/>
      <c r="F76" s="228"/>
      <c r="G76" s="228"/>
      <c r="H76" s="229"/>
      <c r="I76" s="222">
        <f>aRUV_lower</f>
        <v>8.0281690140845061</v>
      </c>
      <c r="J76" s="152" t="s">
        <v>330</v>
      </c>
      <c r="K76" s="158"/>
      <c r="L76" s="158"/>
      <c r="M76" s="158"/>
      <c r="N76" s="158"/>
      <c r="O76" s="158"/>
      <c r="P76" s="158"/>
      <c r="Q76" s="158"/>
      <c r="R76" s="158"/>
      <c r="S76" s="158"/>
      <c r="T76" s="158"/>
      <c r="U76" s="158"/>
      <c r="V76" s="158"/>
      <c r="W76" s="158"/>
      <c r="X76" s="158"/>
      <c r="Y76" s="158"/>
      <c r="Z76" s="158"/>
      <c r="AA76" s="158"/>
      <c r="AB76" s="186"/>
    </row>
    <row r="77" spans="1:28" x14ac:dyDescent="0.15">
      <c r="A77" s="158"/>
      <c r="B77" s="158"/>
      <c r="C77" s="158"/>
      <c r="D77" s="158"/>
      <c r="E77" s="158"/>
      <c r="F77" s="158"/>
      <c r="G77" s="158"/>
      <c r="H77" s="159"/>
      <c r="I77" s="158"/>
      <c r="J77" s="158"/>
      <c r="K77" s="158"/>
      <c r="L77" s="158"/>
      <c r="M77" s="158"/>
      <c r="N77" s="158"/>
      <c r="O77" s="158"/>
      <c r="P77" s="158"/>
      <c r="Q77" s="158"/>
      <c r="R77" s="158"/>
      <c r="S77" s="158"/>
      <c r="T77" s="158"/>
      <c r="U77" s="158"/>
      <c r="V77" s="158"/>
      <c r="W77" s="158"/>
      <c r="X77" s="158"/>
      <c r="Y77" s="158"/>
      <c r="Z77" s="158"/>
      <c r="AA77" s="158"/>
      <c r="AB77" s="186"/>
    </row>
    <row r="78" spans="1:28" ht="19.5" thickBot="1" x14ac:dyDescent="0.25">
      <c r="A78" s="177" t="s">
        <v>372</v>
      </c>
      <c r="B78" s="158"/>
      <c r="C78" s="158"/>
      <c r="D78" s="158"/>
      <c r="E78" s="158"/>
      <c r="F78" s="158"/>
      <c r="G78" s="158"/>
      <c r="H78" s="159"/>
      <c r="I78" s="158"/>
      <c r="J78" s="158"/>
      <c r="K78" s="158"/>
      <c r="L78" s="158"/>
      <c r="M78" s="158"/>
      <c r="N78" s="158"/>
      <c r="O78" s="158"/>
      <c r="P78" s="158"/>
      <c r="Q78" s="158"/>
      <c r="R78" s="158"/>
      <c r="S78" s="158"/>
      <c r="T78" s="158"/>
      <c r="U78" s="158"/>
      <c r="V78" s="158"/>
      <c r="W78" s="158"/>
      <c r="X78" s="158"/>
      <c r="Y78" s="158"/>
      <c r="Z78" s="158"/>
      <c r="AA78" s="158"/>
      <c r="AB78" s="186"/>
    </row>
    <row r="79" spans="1:28" x14ac:dyDescent="0.15">
      <c r="A79" s="153"/>
      <c r="B79" s="154"/>
      <c r="C79" s="154"/>
      <c r="D79" s="154"/>
      <c r="E79" s="154"/>
      <c r="F79" s="154"/>
      <c r="G79" s="154"/>
      <c r="H79" s="155" t="s">
        <v>430</v>
      </c>
      <c r="I79" s="220">
        <f>Calculations!B167/1000</f>
        <v>4.5714717696608229</v>
      </c>
      <c r="J79" s="156" t="s">
        <v>185</v>
      </c>
      <c r="K79" s="158"/>
      <c r="L79" s="158"/>
      <c r="M79" s="158"/>
      <c r="N79" s="158"/>
      <c r="O79" s="158"/>
      <c r="P79" s="158"/>
      <c r="Q79" s="158"/>
      <c r="R79" s="158"/>
      <c r="S79" s="158"/>
      <c r="T79" s="158"/>
      <c r="U79" s="158"/>
      <c r="V79" s="158"/>
      <c r="W79" s="158"/>
      <c r="X79" s="158"/>
      <c r="Y79" s="158"/>
      <c r="Z79" s="158"/>
      <c r="AA79" s="158"/>
      <c r="AB79" s="186"/>
    </row>
    <row r="80" spans="1:28" x14ac:dyDescent="0.15">
      <c r="A80" s="157"/>
      <c r="B80" s="158"/>
      <c r="C80" s="158"/>
      <c r="D80" s="158"/>
      <c r="E80" s="158"/>
      <c r="F80" s="158"/>
      <c r="G80" s="158"/>
      <c r="H80" s="159" t="s">
        <v>429</v>
      </c>
      <c r="I80" s="211">
        <v>1.36</v>
      </c>
      <c r="J80" s="160" t="s">
        <v>185</v>
      </c>
      <c r="K80" s="158"/>
      <c r="L80" s="158"/>
      <c r="M80" s="158"/>
      <c r="N80" s="158"/>
      <c r="O80" s="158"/>
      <c r="P80" s="158"/>
      <c r="Q80" s="158"/>
      <c r="R80" s="158"/>
      <c r="S80" s="158"/>
      <c r="T80" s="158"/>
      <c r="U80" s="158"/>
      <c r="V80" s="158"/>
      <c r="W80" s="158"/>
      <c r="X80" s="158"/>
      <c r="Y80" s="158"/>
      <c r="Z80" s="158"/>
      <c r="AA80" s="158"/>
      <c r="AB80" s="186"/>
    </row>
    <row r="81" spans="1:28" x14ac:dyDescent="0.15">
      <c r="A81" s="157"/>
      <c r="B81" s="158"/>
      <c r="C81" s="158"/>
      <c r="D81" s="158"/>
      <c r="E81" s="158"/>
      <c r="F81" s="158"/>
      <c r="G81" s="158"/>
      <c r="H81" s="159"/>
      <c r="I81" s="192"/>
      <c r="J81" s="160"/>
      <c r="K81" s="158"/>
      <c r="L81" s="158"/>
      <c r="M81" s="158"/>
      <c r="N81" s="158"/>
      <c r="O81" s="158"/>
      <c r="P81" s="158"/>
      <c r="Q81" s="158"/>
      <c r="R81" s="158"/>
      <c r="S81" s="158"/>
      <c r="T81" s="158"/>
      <c r="U81" s="158"/>
      <c r="V81" s="158"/>
      <c r="W81" s="158"/>
      <c r="X81" s="158"/>
      <c r="Y81" s="158"/>
      <c r="Z81" s="158"/>
      <c r="AA81" s="158"/>
      <c r="AB81" s="186"/>
    </row>
    <row r="82" spans="1:28" ht="16.5" x14ac:dyDescent="0.25">
      <c r="A82" s="157"/>
      <c r="B82" s="158"/>
      <c r="C82" s="158"/>
      <c r="D82" s="158"/>
      <c r="E82" s="158"/>
      <c r="F82" s="158"/>
      <c r="G82" s="158" t="s">
        <v>472</v>
      </c>
      <c r="H82" s="159"/>
      <c r="I82" s="150">
        <f>VIN_TYP</f>
        <v>20</v>
      </c>
      <c r="J82" s="160" t="s">
        <v>34</v>
      </c>
      <c r="K82" s="158"/>
      <c r="L82" s="158"/>
      <c r="M82" s="158"/>
      <c r="N82" s="158"/>
      <c r="O82" s="158"/>
      <c r="P82" s="158"/>
      <c r="Q82" s="158"/>
      <c r="R82" s="158"/>
      <c r="S82" s="158"/>
      <c r="T82" s="158"/>
      <c r="U82" s="158"/>
      <c r="V82" s="158"/>
      <c r="W82" s="158"/>
      <c r="X82" s="158"/>
      <c r="Y82" s="158"/>
      <c r="Z82" s="158"/>
      <c r="AA82" s="158"/>
      <c r="AB82" s="186"/>
    </row>
    <row r="83" spans="1:28" ht="14.25" thickBot="1" x14ac:dyDescent="0.2">
      <c r="A83" s="157"/>
      <c r="B83" s="158"/>
      <c r="C83" s="158"/>
      <c r="D83" s="158"/>
      <c r="E83" s="158"/>
      <c r="F83" s="158"/>
      <c r="G83" s="158"/>
      <c r="H83" s="159"/>
      <c r="I83" s="194"/>
      <c r="J83" s="160"/>
      <c r="K83" s="158"/>
      <c r="L83" s="158"/>
      <c r="M83" s="158"/>
      <c r="N83" s="158"/>
      <c r="O83" s="158"/>
      <c r="P83" s="158"/>
      <c r="Q83" s="158"/>
      <c r="R83" s="158"/>
      <c r="S83" s="158"/>
      <c r="T83" s="158"/>
      <c r="U83" s="158"/>
      <c r="V83" s="158"/>
      <c r="W83" s="158"/>
      <c r="X83" s="158"/>
      <c r="Y83" s="158"/>
      <c r="Z83" s="158"/>
      <c r="AA83" s="158"/>
      <c r="AB83" s="186"/>
    </row>
    <row r="84" spans="1:28" ht="14.25" thickBot="1" x14ac:dyDescent="0.2">
      <c r="A84" s="157"/>
      <c r="B84" s="158"/>
      <c r="C84" s="158"/>
      <c r="D84" s="158"/>
      <c r="E84" s="158"/>
      <c r="F84" s="51"/>
      <c r="G84" s="52" t="s">
        <v>431</v>
      </c>
      <c r="H84" s="52"/>
      <c r="I84" s="53" t="s">
        <v>432</v>
      </c>
      <c r="J84" s="54"/>
      <c r="K84" s="158"/>
      <c r="L84" s="158"/>
      <c r="M84" s="158"/>
      <c r="N84" s="158"/>
      <c r="O84" s="158"/>
      <c r="P84" s="158"/>
      <c r="Q84" s="158"/>
      <c r="R84" s="158"/>
      <c r="S84" s="158"/>
      <c r="T84" s="158"/>
      <c r="U84" s="158"/>
      <c r="V84" s="158"/>
      <c r="W84" s="158"/>
      <c r="X84" s="158"/>
      <c r="Y84" s="158"/>
      <c r="Z84" s="158"/>
      <c r="AA84" s="158"/>
      <c r="AB84" s="186"/>
    </row>
    <row r="85" spans="1:28" ht="17.25" thickBot="1" x14ac:dyDescent="0.3">
      <c r="A85" s="157"/>
      <c r="B85" s="158"/>
      <c r="C85" s="158"/>
      <c r="D85" s="158"/>
      <c r="E85" s="158"/>
      <c r="F85" s="170" t="s">
        <v>433</v>
      </c>
      <c r="G85" s="44">
        <f>Calculations!B169/1000</f>
        <v>53.746611609600002</v>
      </c>
      <c r="H85" s="45" t="s">
        <v>330</v>
      </c>
      <c r="I85" s="213">
        <v>56</v>
      </c>
      <c r="J85" s="46" t="s">
        <v>330</v>
      </c>
      <c r="K85" s="158"/>
      <c r="L85" s="158"/>
      <c r="M85" s="158"/>
      <c r="N85" s="158"/>
      <c r="O85" s="158"/>
      <c r="P85" s="158"/>
      <c r="Q85" s="158"/>
      <c r="R85" s="158"/>
      <c r="S85" s="158"/>
      <c r="T85" s="158"/>
      <c r="U85" s="158"/>
      <c r="V85" s="158"/>
      <c r="W85" s="158"/>
      <c r="X85" s="158"/>
      <c r="Y85" s="158"/>
      <c r="Z85" s="158"/>
      <c r="AA85" s="158"/>
      <c r="AB85" s="186"/>
    </row>
    <row r="86" spans="1:28" ht="17.25" thickBot="1" x14ac:dyDescent="0.3">
      <c r="A86" s="157"/>
      <c r="B86" s="158"/>
      <c r="C86" s="158"/>
      <c r="D86" s="158"/>
      <c r="E86" s="158"/>
      <c r="F86" s="170" t="s">
        <v>434</v>
      </c>
      <c r="G86" s="44">
        <f>Calculations!B170*10^9</f>
        <v>540.36063524238796</v>
      </c>
      <c r="H86" s="45" t="s">
        <v>394</v>
      </c>
      <c r="I86" s="213">
        <v>470</v>
      </c>
      <c r="J86" s="47" t="s">
        <v>394</v>
      </c>
      <c r="K86" s="158"/>
      <c r="L86" s="158"/>
      <c r="M86" s="158"/>
      <c r="N86" s="158"/>
      <c r="O86" s="158"/>
      <c r="P86" s="158"/>
      <c r="Q86" s="158"/>
      <c r="R86" s="158"/>
      <c r="S86" s="158"/>
      <c r="T86" s="158"/>
      <c r="U86" s="158"/>
      <c r="V86" s="158"/>
      <c r="W86" s="158"/>
      <c r="X86" s="158"/>
      <c r="Y86" s="158"/>
      <c r="Z86" s="158"/>
      <c r="AA86" s="158"/>
      <c r="AB86" s="186"/>
    </row>
    <row r="87" spans="1:28" ht="17.25" thickBot="1" x14ac:dyDescent="0.3">
      <c r="A87" s="161"/>
      <c r="B87" s="162"/>
      <c r="C87" s="162"/>
      <c r="D87" s="162"/>
      <c r="E87" s="162"/>
      <c r="F87" s="172" t="s">
        <v>435</v>
      </c>
      <c r="G87" s="48">
        <f>Calculations!B171*10^12</f>
        <v>1017.7914421669633</v>
      </c>
      <c r="H87" s="49" t="s">
        <v>395</v>
      </c>
      <c r="I87" s="212">
        <v>1000</v>
      </c>
      <c r="J87" s="50" t="s">
        <v>395</v>
      </c>
      <c r="K87" s="158"/>
      <c r="L87" s="158"/>
      <c r="M87" s="158"/>
      <c r="N87" s="158"/>
      <c r="O87" s="158"/>
      <c r="P87" s="158"/>
      <c r="Q87" s="158"/>
      <c r="R87" s="158"/>
      <c r="S87" s="158"/>
      <c r="T87" s="158"/>
      <c r="U87" s="158"/>
      <c r="V87" s="158"/>
      <c r="W87" s="158"/>
      <c r="X87" s="158"/>
      <c r="Y87" s="158"/>
      <c r="Z87" s="158"/>
      <c r="AA87" s="158"/>
      <c r="AB87" s="186"/>
    </row>
    <row r="88" spans="1:28" x14ac:dyDescent="0.15">
      <c r="A88" s="158"/>
      <c r="B88" s="158"/>
      <c r="C88" s="158"/>
      <c r="D88" s="158"/>
      <c r="E88" s="158"/>
      <c r="F88" s="158"/>
      <c r="G88" s="158"/>
      <c r="H88" s="159"/>
      <c r="I88" s="158"/>
      <c r="J88" s="158"/>
      <c r="K88" s="158"/>
      <c r="L88" s="158"/>
      <c r="M88" s="158"/>
      <c r="N88" s="158"/>
      <c r="O88" s="158"/>
      <c r="P88" s="158"/>
      <c r="Q88" s="158"/>
      <c r="R88" s="158"/>
      <c r="S88" s="158"/>
      <c r="T88" s="158"/>
      <c r="U88" s="158"/>
      <c r="V88" s="158"/>
      <c r="W88" s="158"/>
      <c r="X88" s="158"/>
      <c r="Y88" s="158"/>
      <c r="Z88" s="158"/>
      <c r="AA88" s="158"/>
      <c r="AB88" s="186"/>
    </row>
    <row r="89" spans="1:28" ht="21" x14ac:dyDescent="0.2">
      <c r="A89" s="191" t="s">
        <v>436</v>
      </c>
      <c r="B89" s="190"/>
      <c r="C89" s="190"/>
    </row>
    <row r="90" spans="1:28" x14ac:dyDescent="0.15">
      <c r="A90" s="158"/>
      <c r="B90" s="158"/>
      <c r="C90" s="158"/>
      <c r="D90" s="158"/>
      <c r="E90" s="158"/>
      <c r="F90" s="158"/>
      <c r="G90" s="158"/>
      <c r="H90" s="159"/>
      <c r="I90" s="159"/>
      <c r="J90" s="158"/>
      <c r="K90" s="159"/>
      <c r="L90" s="159"/>
      <c r="M90" s="158"/>
      <c r="N90" s="158"/>
      <c r="O90" s="158"/>
      <c r="P90" s="158"/>
      <c r="Q90" s="158"/>
      <c r="R90" s="158"/>
      <c r="S90" s="158"/>
      <c r="T90" s="158"/>
      <c r="U90" s="158"/>
      <c r="V90" s="158"/>
      <c r="W90" s="158"/>
      <c r="X90" s="158"/>
      <c r="Y90" s="158"/>
      <c r="Z90" s="158"/>
      <c r="AA90" s="158"/>
      <c r="AB90" s="186"/>
    </row>
    <row r="91" spans="1:28" x14ac:dyDescent="0.15">
      <c r="A91" s="158"/>
      <c r="B91" s="158"/>
      <c r="C91" s="158"/>
      <c r="D91" s="158"/>
      <c r="E91" s="158"/>
      <c r="F91" s="158"/>
      <c r="G91" s="158"/>
      <c r="H91" s="159"/>
      <c r="I91" s="158"/>
      <c r="J91" s="158"/>
      <c r="K91" s="158"/>
      <c r="L91" s="158"/>
      <c r="M91" s="158"/>
      <c r="N91" s="158"/>
      <c r="O91" s="158"/>
      <c r="P91" s="158"/>
      <c r="Q91" s="158"/>
      <c r="R91" s="158"/>
      <c r="S91" s="158"/>
      <c r="T91" s="158"/>
      <c r="U91" s="158"/>
      <c r="V91" s="158"/>
      <c r="W91" s="158"/>
      <c r="X91" s="158"/>
      <c r="Y91" s="158"/>
      <c r="Z91" s="158"/>
      <c r="AA91" s="158"/>
      <c r="AB91" s="186"/>
    </row>
    <row r="92" spans="1:28" ht="14.25" thickBot="1" x14ac:dyDescent="0.2">
      <c r="A92" s="176" t="s">
        <v>437</v>
      </c>
      <c r="B92" s="158"/>
      <c r="C92" s="158"/>
      <c r="D92" s="158"/>
      <c r="E92" s="158"/>
      <c r="F92" s="158"/>
      <c r="G92" s="158"/>
      <c r="H92" s="159"/>
      <c r="I92" s="158"/>
      <c r="J92" s="158"/>
      <c r="K92" s="158"/>
      <c r="L92" s="158"/>
      <c r="M92" s="158"/>
      <c r="N92" s="158"/>
      <c r="O92" s="158"/>
      <c r="P92" s="158"/>
      <c r="Q92" s="158"/>
      <c r="R92" s="158"/>
      <c r="S92" s="158"/>
      <c r="T92" s="158"/>
      <c r="U92" s="158"/>
      <c r="V92" s="158"/>
      <c r="W92" s="158"/>
      <c r="X92" s="158"/>
      <c r="Y92" s="158"/>
      <c r="Z92" s="158"/>
      <c r="AA92" s="158"/>
      <c r="AB92" s="186"/>
    </row>
    <row r="93" spans="1:28" ht="15.75" x14ac:dyDescent="0.3">
      <c r="A93" s="111"/>
      <c r="B93" s="112"/>
      <c r="C93" s="112"/>
      <c r="D93" s="112"/>
      <c r="E93" s="112"/>
      <c r="F93" s="112"/>
      <c r="G93" s="113" t="s">
        <v>582</v>
      </c>
      <c r="H93" s="214">
        <v>1</v>
      </c>
      <c r="I93" s="114" t="s">
        <v>583</v>
      </c>
      <c r="J93" s="158"/>
      <c r="K93" s="158"/>
      <c r="L93" s="158"/>
      <c r="M93" s="158"/>
      <c r="N93" s="158"/>
      <c r="O93" s="158"/>
      <c r="P93" s="158"/>
      <c r="Q93" s="158"/>
      <c r="R93" s="158"/>
      <c r="S93" s="158"/>
      <c r="T93" s="158"/>
      <c r="U93" s="158"/>
      <c r="V93" s="158"/>
      <c r="W93" s="158"/>
      <c r="X93" s="158"/>
      <c r="Y93" s="158"/>
      <c r="Z93" s="158"/>
      <c r="AA93" s="158"/>
      <c r="AB93" s="186"/>
    </row>
    <row r="94" spans="1:28" ht="15.75" x14ac:dyDescent="0.3">
      <c r="A94" s="115"/>
      <c r="B94" s="116"/>
      <c r="C94" s="116"/>
      <c r="D94" s="116"/>
      <c r="E94" s="116"/>
      <c r="F94" s="116"/>
      <c r="G94" s="117" t="s">
        <v>584</v>
      </c>
      <c r="H94" s="215">
        <v>10</v>
      </c>
      <c r="I94" s="118" t="s">
        <v>585</v>
      </c>
      <c r="J94" s="158"/>
      <c r="K94" s="158"/>
      <c r="L94" s="158"/>
      <c r="M94" s="158"/>
      <c r="N94" s="158"/>
      <c r="O94" s="158"/>
      <c r="P94" s="158"/>
      <c r="Q94" s="158"/>
      <c r="R94" s="158"/>
      <c r="S94" s="158"/>
      <c r="T94" s="158"/>
      <c r="U94" s="158"/>
      <c r="V94" s="158"/>
      <c r="W94" s="158"/>
      <c r="X94" s="158"/>
      <c r="Y94" s="158"/>
      <c r="Z94" s="158"/>
      <c r="AA94" s="158"/>
      <c r="AB94" s="186"/>
    </row>
    <row r="95" spans="1:28" ht="15.75" x14ac:dyDescent="0.3">
      <c r="A95" s="115"/>
      <c r="B95" s="116"/>
      <c r="C95" s="116"/>
      <c r="D95" s="116"/>
      <c r="E95" s="116"/>
      <c r="F95" s="116"/>
      <c r="G95" s="117" t="s">
        <v>586</v>
      </c>
      <c r="H95" s="215">
        <v>2.4</v>
      </c>
      <c r="I95" s="118" t="s">
        <v>585</v>
      </c>
      <c r="J95" s="158"/>
      <c r="K95" s="158"/>
      <c r="L95" s="158"/>
      <c r="M95" s="158"/>
      <c r="N95" s="158"/>
      <c r="O95" s="158"/>
      <c r="P95" s="158"/>
      <c r="Q95" s="158"/>
      <c r="R95" s="158"/>
      <c r="S95" s="158"/>
      <c r="T95" s="158"/>
      <c r="U95" s="158"/>
      <c r="V95" s="158"/>
      <c r="W95" s="158"/>
      <c r="X95" s="158"/>
      <c r="Y95" s="158"/>
      <c r="Z95" s="158"/>
      <c r="AA95" s="158"/>
      <c r="AB95" s="186"/>
    </row>
    <row r="96" spans="1:28" ht="15.75" x14ac:dyDescent="0.3">
      <c r="A96" s="119"/>
      <c r="B96" s="116"/>
      <c r="C96" s="116"/>
      <c r="D96" s="116"/>
      <c r="E96" s="116"/>
      <c r="F96" s="116"/>
      <c r="G96" s="117" t="s">
        <v>587</v>
      </c>
      <c r="H96" s="215">
        <v>4.5</v>
      </c>
      <c r="I96" s="118" t="s">
        <v>585</v>
      </c>
      <c r="J96" s="158"/>
      <c r="K96" s="158"/>
      <c r="L96" s="158"/>
      <c r="M96" s="158"/>
      <c r="N96" s="158"/>
      <c r="O96" s="158"/>
      <c r="P96" s="158"/>
      <c r="Q96" s="158"/>
      <c r="R96" s="158"/>
      <c r="S96" s="158"/>
      <c r="T96" s="158"/>
      <c r="U96" s="158"/>
      <c r="V96" s="158"/>
      <c r="W96" s="158"/>
      <c r="X96" s="158"/>
      <c r="Y96" s="158"/>
      <c r="Z96" s="158"/>
      <c r="AA96" s="158"/>
      <c r="AB96" s="186"/>
    </row>
    <row r="97" spans="1:28" ht="15.75" x14ac:dyDescent="0.3">
      <c r="A97" s="119"/>
      <c r="B97" s="116"/>
      <c r="C97" s="116"/>
      <c r="D97" s="116"/>
      <c r="E97" s="116"/>
      <c r="F97" s="116"/>
      <c r="G97" s="117" t="s">
        <v>588</v>
      </c>
      <c r="H97" s="215">
        <v>0</v>
      </c>
      <c r="I97" s="118" t="s">
        <v>589</v>
      </c>
      <c r="J97" s="158"/>
      <c r="K97" s="158"/>
      <c r="L97" s="158"/>
      <c r="M97" s="158"/>
      <c r="N97" s="158"/>
      <c r="O97" s="158"/>
      <c r="P97" s="158"/>
      <c r="Q97" s="158"/>
      <c r="R97" s="158"/>
      <c r="S97" s="158"/>
      <c r="T97" s="158"/>
      <c r="U97" s="158"/>
      <c r="V97" s="158"/>
      <c r="W97" s="158"/>
      <c r="X97" s="158"/>
      <c r="Y97" s="158"/>
      <c r="Z97" s="158"/>
      <c r="AA97" s="158"/>
      <c r="AB97" s="186"/>
    </row>
    <row r="98" spans="1:28" ht="16.5" thickBot="1" x14ac:dyDescent="0.35">
      <c r="A98" s="120"/>
      <c r="B98" s="121"/>
      <c r="C98" s="121"/>
      <c r="D98" s="121"/>
      <c r="E98" s="121"/>
      <c r="F98" s="121"/>
      <c r="G98" s="122" t="s">
        <v>590</v>
      </c>
      <c r="H98" s="216">
        <v>1.7</v>
      </c>
      <c r="I98" s="123" t="s">
        <v>34</v>
      </c>
      <c r="J98" s="158"/>
      <c r="K98" s="158"/>
      <c r="L98" s="158"/>
      <c r="M98" s="158"/>
      <c r="N98" s="158"/>
      <c r="O98" s="158"/>
      <c r="P98" s="158"/>
      <c r="Q98" s="158"/>
      <c r="R98" s="158"/>
      <c r="S98" s="158"/>
      <c r="T98" s="158"/>
      <c r="U98" s="158"/>
      <c r="V98" s="158"/>
      <c r="W98" s="158"/>
      <c r="X98" s="158"/>
      <c r="Y98" s="158"/>
      <c r="Z98" s="158"/>
      <c r="AA98" s="158"/>
      <c r="AB98" s="186"/>
    </row>
    <row r="99" spans="1:28" x14ac:dyDescent="0.15">
      <c r="A99" s="158"/>
      <c r="B99" s="158"/>
      <c r="C99" s="158"/>
      <c r="D99" s="158"/>
      <c r="E99" s="158"/>
      <c r="F99" s="158"/>
      <c r="G99" s="158"/>
      <c r="H99" s="159"/>
      <c r="I99" s="158"/>
      <c r="J99" s="158"/>
      <c r="K99" s="158"/>
      <c r="L99" s="158"/>
      <c r="M99" s="158"/>
      <c r="N99" s="158"/>
      <c r="O99" s="158"/>
      <c r="P99" s="158"/>
      <c r="Q99" s="158"/>
      <c r="R99" s="158"/>
      <c r="S99" s="158"/>
      <c r="T99" s="158"/>
      <c r="U99" s="158"/>
      <c r="V99" s="158"/>
      <c r="W99" s="158"/>
      <c r="X99" s="158"/>
      <c r="Y99" s="158"/>
      <c r="Z99" s="158"/>
      <c r="AA99" s="158"/>
      <c r="AB99" s="186"/>
    </row>
    <row r="100" spans="1:28" ht="17.25" thickBot="1" x14ac:dyDescent="0.3">
      <c r="A100" s="65" t="s">
        <v>438</v>
      </c>
      <c r="B100" s="158"/>
      <c r="C100" s="158"/>
      <c r="D100" s="158"/>
      <c r="E100" s="158"/>
      <c r="F100" s="158"/>
      <c r="G100" s="158"/>
      <c r="H100" s="159"/>
      <c r="I100" s="158"/>
      <c r="J100" s="158"/>
      <c r="K100" s="158"/>
      <c r="L100" s="158"/>
      <c r="M100" s="158"/>
      <c r="N100" s="158"/>
      <c r="O100" s="158"/>
      <c r="P100" s="158"/>
      <c r="Q100" s="158"/>
      <c r="R100" s="158"/>
      <c r="S100" s="158"/>
      <c r="T100" s="158"/>
      <c r="U100" s="158"/>
      <c r="V100" s="158"/>
      <c r="W100" s="158"/>
      <c r="X100" s="158"/>
      <c r="Y100" s="158"/>
      <c r="Z100" s="158"/>
      <c r="AA100" s="158"/>
      <c r="AB100" s="186"/>
    </row>
    <row r="101" spans="1:28" ht="15.75" x14ac:dyDescent="0.3">
      <c r="A101" s="111"/>
      <c r="B101" s="112"/>
      <c r="C101" s="112"/>
      <c r="D101" s="112"/>
      <c r="E101" s="112"/>
      <c r="F101" s="112"/>
      <c r="G101" s="113" t="s">
        <v>591</v>
      </c>
      <c r="H101" s="214">
        <v>1</v>
      </c>
      <c r="I101" s="114" t="s">
        <v>583</v>
      </c>
      <c r="J101" s="158"/>
      <c r="K101" s="158"/>
      <c r="L101" s="158"/>
      <c r="M101" s="158"/>
      <c r="N101" s="158"/>
      <c r="O101" s="158"/>
      <c r="P101" s="158"/>
      <c r="Q101" s="158"/>
      <c r="R101" s="158"/>
      <c r="S101" s="158"/>
      <c r="T101" s="158"/>
      <c r="U101" s="158"/>
      <c r="V101" s="158"/>
      <c r="W101" s="158"/>
      <c r="X101" s="158"/>
      <c r="Y101" s="158"/>
      <c r="Z101" s="158"/>
      <c r="AA101" s="158"/>
      <c r="AB101" s="186"/>
    </row>
    <row r="102" spans="1:28" ht="15.75" x14ac:dyDescent="0.3">
      <c r="A102" s="119"/>
      <c r="B102" s="116"/>
      <c r="C102" s="116"/>
      <c r="D102" s="116"/>
      <c r="E102" s="116"/>
      <c r="F102" s="116"/>
      <c r="G102" s="117" t="s">
        <v>592</v>
      </c>
      <c r="H102" s="215">
        <v>10</v>
      </c>
      <c r="I102" s="118" t="s">
        <v>585</v>
      </c>
      <c r="J102" s="158"/>
      <c r="K102" s="158"/>
      <c r="L102" s="158"/>
      <c r="M102" s="158"/>
      <c r="N102" s="158"/>
      <c r="O102" s="158"/>
      <c r="P102" s="158"/>
      <c r="Q102" s="158"/>
      <c r="R102" s="158"/>
      <c r="S102" s="158"/>
      <c r="T102" s="158"/>
      <c r="U102" s="158"/>
      <c r="V102" s="158"/>
      <c r="W102" s="158"/>
      <c r="X102" s="158"/>
      <c r="Y102" s="158"/>
      <c r="Z102" s="158"/>
      <c r="AA102" s="158"/>
      <c r="AB102" s="186"/>
    </row>
    <row r="103" spans="1:28" ht="15.75" x14ac:dyDescent="0.3">
      <c r="A103" s="119"/>
      <c r="B103" s="116"/>
      <c r="C103" s="116"/>
      <c r="D103" s="116"/>
      <c r="E103" s="116"/>
      <c r="F103" s="116"/>
      <c r="G103" s="117" t="s">
        <v>593</v>
      </c>
      <c r="H103" s="215">
        <v>2.4</v>
      </c>
      <c r="I103" s="118" t="s">
        <v>585</v>
      </c>
      <c r="J103" s="158"/>
      <c r="K103" s="158"/>
      <c r="L103" s="158"/>
      <c r="M103" s="158"/>
      <c r="N103" s="158"/>
      <c r="O103" s="158"/>
      <c r="P103" s="158"/>
      <c r="Q103" s="158"/>
      <c r="R103" s="158"/>
      <c r="S103" s="158"/>
      <c r="T103" s="158"/>
      <c r="U103" s="158"/>
      <c r="V103" s="158"/>
      <c r="W103" s="158"/>
      <c r="X103" s="158"/>
      <c r="Y103" s="158"/>
      <c r="Z103" s="158"/>
      <c r="AA103" s="158"/>
      <c r="AB103" s="186"/>
    </row>
    <row r="104" spans="1:28" ht="15.75" x14ac:dyDescent="0.3">
      <c r="A104" s="119"/>
      <c r="B104" s="116"/>
      <c r="C104" s="116"/>
      <c r="D104" s="116"/>
      <c r="E104" s="116"/>
      <c r="F104" s="116"/>
      <c r="G104" s="117" t="s">
        <v>594</v>
      </c>
      <c r="H104" s="215">
        <v>4.5</v>
      </c>
      <c r="I104" s="118" t="s">
        <v>585</v>
      </c>
      <c r="J104" s="158"/>
      <c r="K104" s="158"/>
      <c r="L104" s="158"/>
      <c r="M104" s="158"/>
      <c r="N104" s="158"/>
      <c r="O104" s="158"/>
      <c r="P104" s="158"/>
      <c r="Q104" s="158"/>
      <c r="R104" s="158"/>
      <c r="S104" s="158"/>
      <c r="T104" s="158"/>
      <c r="U104" s="158"/>
      <c r="V104" s="158"/>
      <c r="W104" s="158"/>
      <c r="X104" s="158"/>
      <c r="Y104" s="158"/>
      <c r="Z104" s="158"/>
      <c r="AA104" s="158"/>
      <c r="AB104" s="186"/>
    </row>
    <row r="105" spans="1:28" ht="15.75" x14ac:dyDescent="0.3">
      <c r="A105" s="119"/>
      <c r="B105" s="116"/>
      <c r="C105" s="116"/>
      <c r="D105" s="116"/>
      <c r="E105" s="116"/>
      <c r="F105" s="116"/>
      <c r="G105" s="117" t="s">
        <v>595</v>
      </c>
      <c r="H105" s="215">
        <v>0</v>
      </c>
      <c r="I105" s="118" t="s">
        <v>589</v>
      </c>
      <c r="J105" s="158"/>
      <c r="K105" s="158"/>
      <c r="L105" s="158"/>
      <c r="M105" s="158"/>
      <c r="N105" s="158"/>
      <c r="O105" s="158"/>
      <c r="P105" s="158"/>
      <c r="Q105" s="158"/>
      <c r="R105" s="158"/>
      <c r="S105" s="158"/>
      <c r="T105" s="158"/>
      <c r="U105" s="158"/>
      <c r="V105" s="158"/>
      <c r="W105" s="158"/>
      <c r="X105" s="158"/>
      <c r="Y105" s="158"/>
      <c r="Z105" s="158"/>
      <c r="AA105" s="158"/>
      <c r="AB105" s="186"/>
    </row>
    <row r="106" spans="1:28" ht="15.75" x14ac:dyDescent="0.3">
      <c r="A106" s="119"/>
      <c r="B106" s="116"/>
      <c r="C106" s="116"/>
      <c r="D106" s="116"/>
      <c r="E106" s="116"/>
      <c r="F106" s="116"/>
      <c r="G106" s="117" t="s">
        <v>596</v>
      </c>
      <c r="H106" s="215">
        <v>1.7</v>
      </c>
      <c r="I106" s="118" t="s">
        <v>34</v>
      </c>
      <c r="J106" s="158"/>
      <c r="K106" s="158"/>
      <c r="L106" s="158"/>
      <c r="M106" s="158"/>
      <c r="N106" s="158"/>
      <c r="O106" s="158"/>
      <c r="P106" s="158"/>
      <c r="Q106" s="158"/>
      <c r="R106" s="158"/>
      <c r="S106" s="158"/>
      <c r="T106" s="158"/>
      <c r="U106" s="158"/>
      <c r="V106" s="158"/>
      <c r="W106" s="158"/>
      <c r="X106" s="158"/>
      <c r="Y106" s="158"/>
      <c r="Z106" s="158"/>
      <c r="AA106" s="158"/>
      <c r="AB106" s="186"/>
    </row>
    <row r="107" spans="1:28" ht="16.5" x14ac:dyDescent="0.25">
      <c r="A107" s="119"/>
      <c r="B107" s="116"/>
      <c r="C107" s="116"/>
      <c r="D107" s="116"/>
      <c r="E107" s="116"/>
      <c r="F107" s="116"/>
      <c r="G107" s="124" t="s">
        <v>597</v>
      </c>
      <c r="H107" s="215">
        <v>33</v>
      </c>
      <c r="I107" s="125" t="s">
        <v>585</v>
      </c>
      <c r="J107" s="158"/>
      <c r="K107" s="158"/>
      <c r="L107" s="158"/>
      <c r="M107" s="158"/>
      <c r="N107" s="158"/>
      <c r="O107" s="158"/>
      <c r="P107" s="158"/>
      <c r="Q107" s="158"/>
      <c r="R107" s="158"/>
      <c r="S107" s="158"/>
      <c r="T107" s="158"/>
      <c r="U107" s="158"/>
      <c r="V107" s="158"/>
      <c r="W107" s="158"/>
      <c r="X107" s="158"/>
      <c r="Y107" s="158"/>
      <c r="Z107" s="158"/>
      <c r="AA107" s="158"/>
      <c r="AB107" s="186"/>
    </row>
    <row r="108" spans="1:28" ht="17.25" thickBot="1" x14ac:dyDescent="0.3">
      <c r="A108" s="120"/>
      <c r="B108" s="121"/>
      <c r="C108" s="121"/>
      <c r="D108" s="121"/>
      <c r="E108" s="121"/>
      <c r="F108" s="121"/>
      <c r="G108" s="126" t="s">
        <v>598</v>
      </c>
      <c r="H108" s="216">
        <v>0.8</v>
      </c>
      <c r="I108" s="127" t="s">
        <v>34</v>
      </c>
      <c r="J108" s="158"/>
      <c r="K108" s="158"/>
      <c r="L108" s="158"/>
      <c r="M108" s="158"/>
      <c r="N108" s="158"/>
      <c r="O108" s="158"/>
      <c r="P108" s="158"/>
      <c r="Q108" s="158"/>
      <c r="R108" s="158"/>
      <c r="S108" s="158"/>
      <c r="T108" s="158"/>
      <c r="U108" s="158"/>
      <c r="V108" s="158"/>
      <c r="W108" s="158"/>
      <c r="X108" s="158"/>
      <c r="Y108" s="158"/>
      <c r="Z108" s="158"/>
      <c r="AA108" s="158"/>
      <c r="AB108" s="186"/>
    </row>
    <row r="109" spans="1:28" x14ac:dyDescent="0.15">
      <c r="A109" s="158"/>
      <c r="B109" s="158"/>
      <c r="C109" s="158"/>
      <c r="D109" s="158"/>
      <c r="E109" s="158"/>
      <c r="F109" s="158"/>
      <c r="G109" s="158"/>
      <c r="H109" s="159"/>
      <c r="I109" s="158"/>
      <c r="J109" s="158"/>
      <c r="K109" s="158"/>
      <c r="L109" s="158"/>
      <c r="M109" s="158"/>
      <c r="N109" s="158"/>
      <c r="O109" s="158"/>
      <c r="P109" s="158"/>
      <c r="Q109" s="158"/>
      <c r="R109" s="158"/>
      <c r="S109" s="158"/>
      <c r="T109" s="158"/>
      <c r="U109" s="158"/>
      <c r="V109" s="158"/>
      <c r="W109" s="158"/>
      <c r="X109" s="158"/>
      <c r="Y109" s="158"/>
      <c r="Z109" s="158"/>
      <c r="AA109" s="158"/>
      <c r="AB109" s="186"/>
    </row>
    <row r="110" spans="1:28" x14ac:dyDescent="0.15">
      <c r="A110" s="158"/>
      <c r="B110" s="158"/>
      <c r="C110" s="158"/>
      <c r="D110" s="158"/>
      <c r="E110" s="158"/>
      <c r="F110" s="158"/>
      <c r="G110" s="158"/>
      <c r="H110" s="159"/>
      <c r="I110" s="158"/>
      <c r="J110" s="158"/>
      <c r="K110" s="158"/>
      <c r="L110" s="158"/>
      <c r="M110" s="158"/>
      <c r="N110" s="158"/>
      <c r="O110" s="158"/>
      <c r="P110" s="158"/>
      <c r="Q110" s="158"/>
      <c r="R110" s="158"/>
      <c r="S110" s="158"/>
      <c r="T110" s="158"/>
      <c r="U110" s="158"/>
      <c r="V110" s="158"/>
      <c r="W110" s="158"/>
      <c r="X110" s="158"/>
      <c r="Y110" s="158"/>
      <c r="Z110" s="158"/>
      <c r="AA110" s="158"/>
      <c r="AB110" s="186"/>
    </row>
    <row r="111" spans="1:28" x14ac:dyDescent="0.15">
      <c r="A111" s="158"/>
      <c r="B111" s="158"/>
      <c r="C111" s="158"/>
      <c r="D111" s="158"/>
      <c r="E111" s="158"/>
      <c r="F111" s="158"/>
      <c r="G111" s="158"/>
      <c r="H111" s="159"/>
      <c r="I111" s="158"/>
      <c r="J111" s="158"/>
      <c r="K111" s="158"/>
      <c r="L111" s="158"/>
      <c r="M111" s="158"/>
      <c r="N111" s="158"/>
      <c r="O111" s="158"/>
      <c r="P111" s="158"/>
      <c r="Q111" s="158"/>
      <c r="R111" s="158"/>
      <c r="S111" s="158"/>
      <c r="T111" s="158"/>
      <c r="U111" s="158"/>
      <c r="V111" s="158"/>
      <c r="W111" s="158"/>
      <c r="X111" s="158"/>
      <c r="Y111" s="158"/>
      <c r="Z111" s="158"/>
      <c r="AA111" s="158"/>
      <c r="AB111" s="186"/>
    </row>
    <row r="112" spans="1:28" x14ac:dyDescent="0.15">
      <c r="A112" s="158"/>
      <c r="B112" s="158"/>
      <c r="C112" s="158"/>
      <c r="D112" s="158"/>
      <c r="E112" s="158"/>
      <c r="F112" s="158"/>
      <c r="G112" s="158"/>
      <c r="H112" s="159"/>
      <c r="I112" s="158"/>
      <c r="J112" s="158"/>
      <c r="K112" s="158"/>
      <c r="L112" s="158"/>
      <c r="M112" s="158"/>
      <c r="N112" s="158"/>
      <c r="O112" s="158"/>
      <c r="P112" s="158"/>
      <c r="Q112" s="158"/>
      <c r="R112" s="158"/>
      <c r="S112" s="158"/>
      <c r="T112" s="158"/>
      <c r="U112" s="158"/>
      <c r="V112" s="158"/>
      <c r="W112" s="158"/>
      <c r="X112" s="158"/>
      <c r="Y112" s="158"/>
      <c r="Z112" s="158"/>
      <c r="AA112" s="158"/>
      <c r="AB112" s="186"/>
    </row>
    <row r="113" spans="1:28" x14ac:dyDescent="0.15">
      <c r="A113" s="158"/>
      <c r="B113" s="158"/>
      <c r="C113" s="158"/>
      <c r="D113" s="158"/>
      <c r="E113" s="158"/>
      <c r="F113" s="158"/>
      <c r="G113" s="158"/>
      <c r="H113" s="159"/>
      <c r="I113" s="158"/>
      <c r="J113" s="158"/>
      <c r="K113" s="158"/>
      <c r="L113" s="158"/>
      <c r="M113" s="158"/>
      <c r="N113" s="158"/>
      <c r="O113" s="158"/>
      <c r="P113" s="158"/>
      <c r="Q113" s="158"/>
      <c r="R113" s="158"/>
      <c r="S113" s="158"/>
      <c r="T113" s="158"/>
      <c r="U113" s="158"/>
      <c r="V113" s="158"/>
      <c r="W113" s="158"/>
      <c r="X113" s="158"/>
      <c r="Y113" s="158"/>
      <c r="Z113" s="158"/>
      <c r="AA113" s="158"/>
      <c r="AB113" s="186"/>
    </row>
    <row r="114" spans="1:28" x14ac:dyDescent="0.15">
      <c r="A114" s="158"/>
      <c r="B114" s="158"/>
      <c r="C114" s="158"/>
      <c r="D114" s="158"/>
      <c r="E114" s="158"/>
      <c r="F114" s="158"/>
      <c r="G114" s="158"/>
      <c r="H114" s="159"/>
      <c r="I114" s="158"/>
      <c r="J114" s="158"/>
      <c r="K114" s="158"/>
      <c r="L114" s="158"/>
      <c r="M114" s="158"/>
      <c r="N114" s="158"/>
      <c r="O114" s="158"/>
      <c r="P114" s="158"/>
      <c r="Q114" s="158"/>
      <c r="R114" s="158"/>
      <c r="S114" s="158"/>
      <c r="T114" s="158"/>
      <c r="U114" s="158"/>
      <c r="V114" s="158"/>
      <c r="W114" s="158"/>
      <c r="X114" s="158"/>
      <c r="Y114" s="158"/>
      <c r="Z114" s="158"/>
      <c r="AA114" s="158"/>
      <c r="AB114" s="186"/>
    </row>
    <row r="115" spans="1:28" x14ac:dyDescent="0.15">
      <c r="A115" s="186"/>
      <c r="B115" s="186"/>
      <c r="C115" s="186"/>
      <c r="D115" s="186"/>
      <c r="E115" s="186"/>
      <c r="F115" s="186"/>
      <c r="G115" s="186"/>
      <c r="H115" s="187"/>
      <c r="I115" s="186"/>
      <c r="J115" s="186"/>
      <c r="K115" s="186"/>
      <c r="L115" s="186"/>
      <c r="M115" s="186"/>
      <c r="N115" s="186"/>
      <c r="O115" s="186"/>
      <c r="P115" s="186"/>
      <c r="Q115" s="186"/>
      <c r="R115" s="186"/>
      <c r="S115" s="186"/>
      <c r="T115" s="186"/>
      <c r="U115" s="186"/>
      <c r="V115" s="186"/>
      <c r="W115" s="186"/>
      <c r="X115" s="186"/>
      <c r="Y115" s="186"/>
      <c r="Z115" s="186"/>
      <c r="AA115" s="186"/>
      <c r="AB115" s="186"/>
    </row>
  </sheetData>
  <sheetProtection algorithmName="SHA-512" hashValue="Ka6Afmuadv2X8bVSE4ZhoeITaTc8gf1/z94imKNtjlk2WMv002oPdUAKYLBOMCdzV0jmInS2E7DxYH/qRsDWRw==" saltValue="l7TacuIv/VaA/5vNsy5b4Q==" spinCount="100000" sheet="1" objects="1" scenarios="1" selectLockedCells="1"/>
  <mergeCells count="8">
    <mergeCell ref="A74:H74"/>
    <mergeCell ref="A75:H75"/>
    <mergeCell ref="A76:H76"/>
    <mergeCell ref="O3:P3"/>
    <mergeCell ref="O11:Q12"/>
    <mergeCell ref="A72:H72"/>
    <mergeCell ref="A73:H73"/>
    <mergeCell ref="J3:M3"/>
  </mergeCells>
  <phoneticPr fontId="48"/>
  <conditionalFormatting sqref="I7:I9">
    <cfRule type="cellIs" dxfId="6" priority="5" operator="lessThan">
      <formula>3</formula>
    </cfRule>
    <cfRule type="cellIs" dxfId="5" priority="6" operator="greaterThan">
      <formula>65</formula>
    </cfRule>
    <cfRule type="cellIs" dxfId="4" priority="7" operator="lessThan">
      <formula>4.5</formula>
    </cfRule>
  </conditionalFormatting>
  <conditionalFormatting sqref="I8">
    <cfRule type="cellIs" dxfId="3" priority="1" operator="notBetween">
      <formula>$I$7</formula>
      <formula>$I$9</formula>
    </cfRule>
  </conditionalFormatting>
  <conditionalFormatting sqref="I17">
    <cfRule type="cellIs" dxfId="2" priority="4" operator="notBetween">
      <formula>50</formula>
      <formula>1000</formula>
    </cfRule>
  </conditionalFormatting>
  <conditionalFormatting sqref="I50">
    <cfRule type="cellIs" dxfId="1" priority="3" operator="notBetween">
      <formula>0.5</formula>
      <formula>3</formula>
    </cfRule>
  </conditionalFormatting>
  <conditionalFormatting sqref="I82">
    <cfRule type="cellIs" dxfId="0" priority="2" operator="notBetween">
      <formula>$I$7</formula>
      <formula>$I$9</formula>
    </cfRule>
  </conditionalFormatting>
  <hyperlinks>
    <hyperlink ref="J3" r:id="rId1" xr:uid="{40D41915-AD4F-4E7B-91A1-2F85CA026379}"/>
    <hyperlink ref="O3:P3" location="Licenses!A1" display="TERMS OF USE" xr:uid="{F00D3575-3104-4C63-B094-9F08012F0DB7}"/>
  </hyperlinks>
  <pageMargins left="0.7" right="0.7" top="0.75" bottom="0.75" header="0.3" footer="0.3"/>
  <pageSetup orientation="portrait" r:id="rId2"/>
  <drawing r:id="rId3"/>
  <legacyDrawing r:id="rId4"/>
  <oleObjects>
    <mc:AlternateContent xmlns:mc="http://schemas.openxmlformats.org/markup-compatibility/2006">
      <mc:Choice Requires="x14">
        <oleObject progId="Visio.Drawing.15" shapeId="2062" r:id="rId5">
          <objectPr defaultSize="0" autoPict="0" r:id="rId6">
            <anchor moveWithCells="1">
              <from>
                <xdr:col>10</xdr:col>
                <xdr:colOff>276225</xdr:colOff>
                <xdr:row>5</xdr:row>
                <xdr:rowOff>66675</xdr:rowOff>
              </from>
              <to>
                <xdr:col>25</xdr:col>
                <xdr:colOff>514350</xdr:colOff>
                <xdr:row>27</xdr:row>
                <xdr:rowOff>38100</xdr:rowOff>
              </to>
            </anchor>
          </objectPr>
        </oleObject>
      </mc:Choice>
      <mc:Fallback>
        <oleObject progId="Visio.Drawing.15" shapeId="2062" r:id="rId5"/>
      </mc:Fallback>
    </mc:AlternateContent>
  </oleObjects>
  <mc:AlternateContent xmlns:mc="http://schemas.openxmlformats.org/markup-compatibility/2006">
    <mc:Choice Requires="x14">
      <controls>
        <mc:AlternateContent xmlns:mc="http://schemas.openxmlformats.org/markup-compatibility/2006">
          <mc:Choice Requires="x14">
            <control shapeId="2075" r:id="rId7" name="Spinner 27">
              <controlPr defaultSize="0" autoPict="0">
                <anchor moveWithCells="1" sizeWithCells="1">
                  <from>
                    <xdr:col>9</xdr:col>
                    <xdr:colOff>133350</xdr:colOff>
                    <xdr:row>80</xdr:row>
                    <xdr:rowOff>152400</xdr:rowOff>
                  </from>
                  <to>
                    <xdr:col>9</xdr:col>
                    <xdr:colOff>304800</xdr:colOff>
                    <xdr:row>82</xdr:row>
                    <xdr:rowOff>66675</xdr:rowOff>
                  </to>
                </anchor>
              </controlPr>
            </control>
          </mc:Choice>
        </mc:AlternateContent>
        <mc:AlternateContent xmlns:mc="http://schemas.openxmlformats.org/markup-compatibility/2006">
          <mc:Choice Requires="x14">
            <control shapeId="2091" r:id="rId8" name="Drop Down 43">
              <controlPr defaultSize="0" autoLine="0" autoPict="0">
                <anchor>
                  <from>
                    <xdr:col>12</xdr:col>
                    <xdr:colOff>0</xdr:colOff>
                    <xdr:row>89</xdr:row>
                    <xdr:rowOff>0</xdr:rowOff>
                  </from>
                  <to>
                    <xdr:col>14</xdr:col>
                    <xdr:colOff>161925</xdr:colOff>
                    <xdr:row>90</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2F3D447B-A757-4EB2-AA47-816583436E12}">
          <x14:formula1>
            <xm:f>Calculations!$K$17:$K$19</xm:f>
          </x14:formula1>
          <xm:sqref>I13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23481-6ED4-4AF3-8CF3-D53A39A884D0}">
  <sheetPr codeName="Sheet6"/>
  <dimension ref="A1:AM47"/>
  <sheetViews>
    <sheetView workbookViewId="0">
      <selection activeCell="A126" sqref="A126"/>
    </sheetView>
  </sheetViews>
  <sheetFormatPr defaultColWidth="9.125" defaultRowHeight="14.25" x14ac:dyDescent="0.2"/>
  <cols>
    <col min="1" max="1" width="25.75" style="201" bestFit="1" customWidth="1"/>
    <col min="2" max="2" width="56.625" style="202" customWidth="1"/>
    <col min="3" max="11" width="9.125" style="197"/>
    <col min="12" max="12" width="20.375" style="197" customWidth="1"/>
    <col min="13" max="16384" width="9.125" style="197"/>
  </cols>
  <sheetData>
    <row r="1" spans="1:12" x14ac:dyDescent="0.2">
      <c r="A1" s="236"/>
      <c r="B1" s="236"/>
      <c r="C1" s="236"/>
      <c r="D1" s="236"/>
      <c r="E1" s="236"/>
      <c r="F1" s="236"/>
      <c r="G1" s="236"/>
      <c r="H1" s="236"/>
      <c r="I1" s="236"/>
      <c r="J1" s="236"/>
      <c r="K1" s="236"/>
      <c r="L1" s="236"/>
    </row>
    <row r="2" spans="1:12" x14ac:dyDescent="0.2">
      <c r="A2" s="236"/>
      <c r="B2" s="236"/>
      <c r="C2" s="236"/>
      <c r="D2" s="236"/>
      <c r="E2" s="236"/>
      <c r="F2" s="236"/>
      <c r="G2" s="236"/>
      <c r="H2" s="236"/>
      <c r="I2" s="236"/>
      <c r="J2" s="236"/>
      <c r="K2" s="236"/>
      <c r="L2" s="236"/>
    </row>
    <row r="3" spans="1:12" x14ac:dyDescent="0.2">
      <c r="A3" s="236"/>
      <c r="B3" s="236"/>
      <c r="C3" s="236"/>
      <c r="D3" s="236"/>
      <c r="E3" s="236"/>
      <c r="F3" s="236"/>
      <c r="G3" s="236"/>
      <c r="H3" s="236"/>
      <c r="I3" s="236"/>
      <c r="J3" s="236"/>
      <c r="K3" s="236"/>
      <c r="L3" s="236"/>
    </row>
    <row r="4" spans="1:12" x14ac:dyDescent="0.2">
      <c r="A4" s="237"/>
      <c r="B4" s="237"/>
      <c r="C4" s="237"/>
      <c r="D4" s="237"/>
      <c r="E4" s="237"/>
      <c r="F4" s="237"/>
      <c r="G4" s="237"/>
      <c r="H4" s="237"/>
      <c r="I4" s="237"/>
      <c r="J4" s="237"/>
      <c r="K4" s="237"/>
      <c r="L4" s="237"/>
    </row>
    <row r="5" spans="1:12" x14ac:dyDescent="0.2">
      <c r="A5" s="203" t="s">
        <v>709</v>
      </c>
      <c r="B5" s="204" t="s">
        <v>720</v>
      </c>
      <c r="C5" s="205"/>
      <c r="D5" s="205"/>
      <c r="E5" s="205"/>
      <c r="F5" s="205"/>
      <c r="G5" s="205"/>
      <c r="H5" s="205"/>
      <c r="I5" s="205"/>
      <c r="J5" s="205"/>
      <c r="K5" s="206"/>
      <c r="L5" s="207"/>
    </row>
    <row r="6" spans="1:12" x14ac:dyDescent="0.2">
      <c r="A6" s="203"/>
      <c r="B6" s="208"/>
      <c r="C6" s="205"/>
      <c r="D6" s="205"/>
      <c r="E6" s="205"/>
      <c r="F6" s="205"/>
      <c r="G6" s="205"/>
      <c r="H6" s="205"/>
      <c r="I6" s="205"/>
      <c r="J6" s="207"/>
      <c r="K6" s="207"/>
      <c r="L6" s="207"/>
    </row>
    <row r="35" spans="1:39" x14ac:dyDescent="0.2">
      <c r="A35" s="196" t="s">
        <v>710</v>
      </c>
      <c r="B35" s="209"/>
      <c r="C35" s="205"/>
      <c r="D35" s="205"/>
      <c r="E35" s="205"/>
      <c r="F35" s="205"/>
      <c r="G35" s="205"/>
      <c r="H35" s="205"/>
      <c r="I35" s="205"/>
      <c r="J35" s="205"/>
      <c r="K35" s="205"/>
    </row>
    <row r="36" spans="1:39" x14ac:dyDescent="0.2">
      <c r="A36" s="175" t="s">
        <v>711</v>
      </c>
      <c r="B36" s="238" t="s">
        <v>712</v>
      </c>
      <c r="C36" s="238"/>
      <c r="D36" s="238"/>
      <c r="E36" s="238"/>
      <c r="F36" s="238"/>
      <c r="G36" s="238"/>
      <c r="H36" s="238"/>
      <c r="I36" s="238"/>
      <c r="J36" s="238"/>
      <c r="K36" s="238"/>
    </row>
    <row r="37" spans="1:39" x14ac:dyDescent="0.2">
      <c r="A37" s="196" t="s">
        <v>713</v>
      </c>
      <c r="B37" s="239" t="s">
        <v>714</v>
      </c>
      <c r="C37" s="239"/>
      <c r="D37" s="239"/>
      <c r="E37" s="239"/>
      <c r="F37" s="239"/>
      <c r="G37" s="239"/>
      <c r="H37" s="239"/>
      <c r="I37" s="239"/>
      <c r="J37" s="239"/>
      <c r="K37" s="239"/>
    </row>
    <row r="38" spans="1:39" x14ac:dyDescent="0.2">
      <c r="A38" s="198" t="s">
        <v>720</v>
      </c>
      <c r="B38" s="240" t="s">
        <v>721</v>
      </c>
      <c r="C38" s="240"/>
      <c r="D38" s="240"/>
      <c r="E38" s="240"/>
      <c r="F38" s="240"/>
      <c r="G38" s="240"/>
      <c r="H38" s="240"/>
      <c r="I38" s="240"/>
      <c r="J38" s="240"/>
      <c r="K38" s="240"/>
    </row>
    <row r="39" spans="1:39" x14ac:dyDescent="0.2">
      <c r="A39" s="198"/>
      <c r="B39" s="199"/>
      <c r="C39" s="199"/>
      <c r="D39" s="199"/>
      <c r="E39" s="199"/>
      <c r="F39" s="199"/>
      <c r="G39" s="199"/>
      <c r="H39" s="199"/>
      <c r="I39" s="199"/>
      <c r="J39" s="199"/>
      <c r="K39" s="199"/>
    </row>
    <row r="40" spans="1:39" x14ac:dyDescent="0.2">
      <c r="A40" s="198"/>
      <c r="B40" s="199"/>
      <c r="C40" s="199"/>
      <c r="D40" s="199"/>
      <c r="E40" s="199"/>
      <c r="F40" s="199"/>
      <c r="G40" s="199"/>
      <c r="H40" s="199"/>
      <c r="I40" s="199"/>
      <c r="J40" s="199"/>
      <c r="K40" s="199"/>
    </row>
    <row r="41" spans="1:39" x14ac:dyDescent="0.2">
      <c r="A41" s="198"/>
      <c r="B41" s="199"/>
      <c r="C41" s="199"/>
      <c r="D41" s="199"/>
      <c r="E41" s="199"/>
      <c r="F41" s="199"/>
      <c r="G41" s="199"/>
      <c r="H41" s="199"/>
      <c r="I41" s="199"/>
      <c r="J41" s="199"/>
      <c r="K41" s="199"/>
    </row>
    <row r="42" spans="1:39" x14ac:dyDescent="0.2">
      <c r="A42" s="198"/>
      <c r="B42" s="199"/>
      <c r="C42" s="199"/>
      <c r="D42" s="199"/>
      <c r="E42" s="199"/>
      <c r="F42" s="199"/>
      <c r="G42" s="199"/>
      <c r="H42" s="199"/>
      <c r="I42" s="199"/>
      <c r="J42" s="199"/>
      <c r="K42" s="199"/>
    </row>
    <row r="43" spans="1:39" x14ac:dyDescent="0.2">
      <c r="A43" s="198"/>
      <c r="B43" s="199"/>
      <c r="C43" s="199"/>
      <c r="D43" s="199"/>
      <c r="E43" s="199"/>
      <c r="F43" s="199"/>
      <c r="G43" s="199"/>
      <c r="H43" s="199"/>
      <c r="I43" s="199"/>
      <c r="J43" s="199"/>
      <c r="K43" s="199"/>
    </row>
    <row r="44" spans="1:39" ht="15" x14ac:dyDescent="0.2">
      <c r="A44" s="198"/>
      <c r="B44" s="199"/>
      <c r="C44" s="199"/>
      <c r="D44" s="199"/>
      <c r="E44" s="199"/>
      <c r="F44" s="199"/>
      <c r="G44" s="199"/>
      <c r="H44" s="199"/>
      <c r="I44" s="199"/>
      <c r="J44" s="199"/>
      <c r="K44" s="199"/>
      <c r="L44" s="200"/>
      <c r="M44" s="200"/>
      <c r="N44" s="200"/>
      <c r="O44" s="200"/>
      <c r="P44" s="200"/>
      <c r="Q44" s="200"/>
      <c r="R44" s="200"/>
      <c r="S44" s="200"/>
      <c r="T44" s="200"/>
      <c r="U44" s="200"/>
      <c r="V44" s="200"/>
      <c r="W44" s="200"/>
      <c r="X44" s="200"/>
      <c r="Y44" s="200"/>
      <c r="Z44" s="200"/>
      <c r="AA44" s="200"/>
      <c r="AB44" s="200"/>
      <c r="AC44" s="200"/>
      <c r="AD44" s="200"/>
      <c r="AE44" s="200"/>
      <c r="AF44" s="200"/>
      <c r="AG44" s="200"/>
      <c r="AH44" s="200"/>
      <c r="AI44" s="200"/>
      <c r="AJ44" s="200"/>
      <c r="AK44" s="200"/>
      <c r="AL44" s="200"/>
      <c r="AM44" s="200"/>
    </row>
    <row r="45" spans="1:39" x14ac:dyDescent="0.2">
      <c r="A45" s="198"/>
      <c r="B45" s="199"/>
      <c r="C45" s="199"/>
      <c r="D45" s="199"/>
      <c r="E45" s="199"/>
      <c r="F45" s="199"/>
      <c r="G45" s="199"/>
      <c r="H45" s="199"/>
      <c r="I45" s="199"/>
      <c r="J45" s="199"/>
      <c r="K45" s="199"/>
    </row>
    <row r="46" spans="1:39" x14ac:dyDescent="0.2">
      <c r="A46" s="198"/>
      <c r="B46" s="199"/>
      <c r="C46" s="199"/>
      <c r="D46" s="199"/>
      <c r="E46" s="199"/>
      <c r="F46" s="199"/>
      <c r="G46" s="199"/>
      <c r="H46" s="199"/>
      <c r="I46" s="199"/>
      <c r="J46" s="199"/>
      <c r="K46" s="199"/>
    </row>
    <row r="47" spans="1:39" x14ac:dyDescent="0.2">
      <c r="A47" s="198"/>
      <c r="B47" s="199"/>
    </row>
  </sheetData>
  <sheetProtection algorithmName="SHA-512" hashValue="3gDwocgaDJWvZOua/gjEKjja+EzoarY1CuxpWEYUHMH6jrFjL3lgewiiiMYRa0kuGNKIZ/SXBxch41MMcDlagg==" saltValue="a98cEv7C8JfjLmtawczAag==" spinCount="100000" sheet="1" objects="1" scenarios="1" selectLockedCells="1"/>
  <mergeCells count="5">
    <mergeCell ref="A1:L3"/>
    <mergeCell ref="A4:L4"/>
    <mergeCell ref="B36:K36"/>
    <mergeCell ref="B37:K37"/>
    <mergeCell ref="B38:K38"/>
  </mergeCells>
  <phoneticPr fontId="48"/>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F80F0-21FE-4C29-A0A5-88E17C3F171F}">
  <sheetPr codeName="Sheet7"/>
  <dimension ref="A1:AW157"/>
  <sheetViews>
    <sheetView topLeftCell="AW7" workbookViewId="0">
      <selection activeCell="BF41" sqref="BF41"/>
    </sheetView>
  </sheetViews>
  <sheetFormatPr defaultRowHeight="13.5" x14ac:dyDescent="0.15"/>
  <cols>
    <col min="10" max="10" width="10" bestFit="1" customWidth="1"/>
    <col min="25" max="25" width="12" bestFit="1" customWidth="1"/>
    <col min="39" max="39" width="11" bestFit="1" customWidth="1"/>
    <col min="40" max="40" width="16.25" customWidth="1"/>
    <col min="41" max="41" width="11.75" customWidth="1"/>
    <col min="47" max="47" width="11.75" customWidth="1"/>
  </cols>
  <sheetData>
    <row r="1" spans="1:49" ht="27.75" x14ac:dyDescent="0.4">
      <c r="A1" s="245" t="s">
        <v>599</v>
      </c>
      <c r="B1" s="245"/>
      <c r="C1" s="245"/>
      <c r="D1" s="245"/>
      <c r="E1" s="245"/>
      <c r="F1" s="245"/>
      <c r="G1" s="245"/>
      <c r="H1" s="245"/>
      <c r="I1" s="245"/>
      <c r="J1" s="245"/>
      <c r="K1" s="245"/>
      <c r="L1" s="245"/>
      <c r="M1" s="245"/>
    </row>
    <row r="4" spans="1:49" ht="14.25" thickBot="1" x14ac:dyDescent="0.2">
      <c r="R4" s="128"/>
      <c r="S4" s="128"/>
      <c r="T4" s="128"/>
      <c r="U4" s="128"/>
      <c r="V4" s="128"/>
      <c r="W4" s="128"/>
      <c r="X4" s="128"/>
      <c r="Y4" s="128"/>
      <c r="Z4" s="128"/>
      <c r="AA4" s="128"/>
      <c r="AB4" s="128"/>
      <c r="AC4" s="128"/>
      <c r="AD4" s="128"/>
      <c r="AE4" s="128"/>
      <c r="AF4" s="128"/>
      <c r="AG4" s="128"/>
      <c r="AH4" s="128"/>
      <c r="AI4" s="128"/>
      <c r="AJ4" s="128"/>
      <c r="AK4" s="128"/>
      <c r="AL4" s="128"/>
      <c r="AM4" s="128"/>
      <c r="AN4" s="128"/>
      <c r="AO4" s="128"/>
      <c r="AP4" s="128"/>
      <c r="AQ4" s="128"/>
      <c r="AR4" s="128"/>
      <c r="AS4" s="128"/>
      <c r="AT4" s="128"/>
      <c r="AU4" s="128"/>
      <c r="AV4" s="128"/>
      <c r="AW4" s="128"/>
    </row>
    <row r="5" spans="1:49" x14ac:dyDescent="0.15">
      <c r="R5" s="246" t="s">
        <v>600</v>
      </c>
      <c r="S5" s="247"/>
      <c r="T5" s="247"/>
      <c r="U5" s="248"/>
      <c r="V5" s="246" t="s">
        <v>262</v>
      </c>
      <c r="W5" s="247"/>
      <c r="X5" s="248"/>
      <c r="Y5" s="246" t="s">
        <v>601</v>
      </c>
      <c r="Z5" s="247"/>
      <c r="AA5" s="247"/>
      <c r="AB5" s="247"/>
      <c r="AC5" s="247"/>
      <c r="AD5" s="248"/>
      <c r="AE5" s="246" t="s">
        <v>602</v>
      </c>
      <c r="AF5" s="247"/>
      <c r="AG5" s="247"/>
      <c r="AH5" s="247"/>
      <c r="AI5" s="248"/>
      <c r="AJ5" s="246" t="s">
        <v>603</v>
      </c>
      <c r="AK5" s="247"/>
      <c r="AL5" s="247"/>
      <c r="AM5" s="247"/>
      <c r="AN5" s="249"/>
      <c r="AO5" s="248"/>
      <c r="AP5" s="241" t="s">
        <v>604</v>
      </c>
      <c r="AQ5" s="242"/>
      <c r="AR5" s="242"/>
      <c r="AS5" s="243"/>
      <c r="AT5" s="244"/>
      <c r="AU5" s="129" t="s">
        <v>605</v>
      </c>
      <c r="AV5" s="130"/>
      <c r="AW5" s="131"/>
    </row>
    <row r="6" spans="1:49" ht="16.5" x14ac:dyDescent="0.25">
      <c r="R6" s="132" t="s">
        <v>222</v>
      </c>
      <c r="S6" s="1" t="s">
        <v>223</v>
      </c>
      <c r="T6" s="1" t="s">
        <v>606</v>
      </c>
      <c r="U6" s="133" t="s">
        <v>607</v>
      </c>
      <c r="V6" s="132" t="s">
        <v>608</v>
      </c>
      <c r="W6" s="1" t="s">
        <v>609</v>
      </c>
      <c r="X6" s="133" t="s">
        <v>610</v>
      </c>
      <c r="Y6" s="132" t="s">
        <v>611</v>
      </c>
      <c r="Z6" s="1" t="s">
        <v>612</v>
      </c>
      <c r="AA6" s="1" t="s">
        <v>613</v>
      </c>
      <c r="AB6" s="134" t="s">
        <v>614</v>
      </c>
      <c r="AC6" s="134" t="s">
        <v>615</v>
      </c>
      <c r="AD6" s="135" t="s">
        <v>616</v>
      </c>
      <c r="AE6" s="132" t="s">
        <v>617</v>
      </c>
      <c r="AF6" s="1" t="s">
        <v>618</v>
      </c>
      <c r="AG6" s="134" t="s">
        <v>619</v>
      </c>
      <c r="AH6" s="134" t="s">
        <v>620</v>
      </c>
      <c r="AI6" s="135" t="s">
        <v>621</v>
      </c>
      <c r="AJ6" s="132" t="s">
        <v>622</v>
      </c>
      <c r="AK6" s="1" t="s">
        <v>623</v>
      </c>
      <c r="AL6" s="1" t="s">
        <v>624</v>
      </c>
      <c r="AM6" s="1" t="s">
        <v>625</v>
      </c>
      <c r="AN6" s="136" t="s">
        <v>626</v>
      </c>
      <c r="AO6" s="133" t="s">
        <v>627</v>
      </c>
      <c r="AP6" s="132" t="s">
        <v>628</v>
      </c>
      <c r="AQ6" s="137" t="s">
        <v>615</v>
      </c>
      <c r="AR6" s="137" t="s">
        <v>629</v>
      </c>
      <c r="AS6" s="1" t="s">
        <v>630</v>
      </c>
      <c r="AT6" s="133" t="s">
        <v>631</v>
      </c>
      <c r="AU6" s="132" t="s">
        <v>632</v>
      </c>
      <c r="AV6" s="1" t="s">
        <v>633</v>
      </c>
      <c r="AW6" s="133" t="s">
        <v>634</v>
      </c>
    </row>
    <row r="7" spans="1:49" x14ac:dyDescent="0.15">
      <c r="Q7">
        <v>0</v>
      </c>
      <c r="R7" s="132">
        <f t="shared" ref="R7:R70" si="0">VOUT</f>
        <v>60</v>
      </c>
      <c r="S7" s="1">
        <f t="shared" ref="S7:S70" si="1">Q7*$O$12</f>
        <v>0</v>
      </c>
      <c r="T7" s="1">
        <f t="shared" ref="T7:T38" si="2">Vin_vari</f>
        <v>20</v>
      </c>
      <c r="U7" s="133">
        <f>(R7*S7)/(T7*EFF_est)</f>
        <v>0</v>
      </c>
      <c r="V7" s="132">
        <f>IF(Calculations!$B$17=3,2,IF((S7*R7/T7)&lt;((T7*(1-(T7/R7)))/(2*Lm*fsw)),1,2))</f>
        <v>2</v>
      </c>
      <c r="W7" s="1">
        <f>CHOOSE(V7,SQRT((2*S7*Lm*fsw*(R7-T7))/((T7)^2)),1-(T7/R7))</f>
        <v>0.66666666666666674</v>
      </c>
      <c r="X7" s="133">
        <f t="shared" ref="X7:X38" si="3">CHOOSE(V7,(Lm*Z7*fsw)/(R7-T7),1-W7)</f>
        <v>0.33333333333333326</v>
      </c>
      <c r="Y7" s="132">
        <f t="shared" ref="Y7:Y38" si="4">(T7*W7)/(Lm*fsw)</f>
        <v>10.256410256410257</v>
      </c>
      <c r="Z7" s="1">
        <f>CHOOSE(V7,Y7,U7+(0.5*Y7))</f>
        <v>5.1282051282051286</v>
      </c>
      <c r="AA7" s="1">
        <f>CHOOSE(V7,Z7*SQRT((W7+X7)/3),SQRT((U7^2)+((Y7^2)/12)))</f>
        <v>2.9607706112288503</v>
      </c>
      <c r="AB7" s="1">
        <v>0</v>
      </c>
      <c r="AC7" s="1">
        <f>(AA7^2)*Rdcr</f>
        <v>1.797063335524874E-2</v>
      </c>
      <c r="AD7" s="133">
        <f>AB7+AC7</f>
        <v>1.797063335524874E-2</v>
      </c>
      <c r="AE7" s="132">
        <f>U7*W7</f>
        <v>0</v>
      </c>
      <c r="AF7" s="1">
        <f>CHOOSE(V7,Z7*SQRT(W7/3),SQRT(W7*((Z7^2)+((Y7^2)/3)-(Z7*Y7))))</f>
        <v>2.4174590809796497</v>
      </c>
      <c r="AG7" s="1">
        <f t="shared" ref="AG7:AG38" si="5">(AF7^2)*RDS_on</f>
        <v>5.8441084082109717E-3</v>
      </c>
      <c r="AH7" s="1">
        <f>((R7*U7)/2)*fsw*(tr_sw+tf_sw)</f>
        <v>0</v>
      </c>
      <c r="AI7" s="133">
        <f>AG7+AH7</f>
        <v>5.8441084082109717E-3</v>
      </c>
      <c r="AJ7" s="132">
        <f>X7*U7</f>
        <v>0</v>
      </c>
      <c r="AK7" s="1">
        <f>CHOOSE(V7,Z7*SQRT(X7/3),SQRT(X7*((Z7^2)+((Y7^2)/3)-(Y7*Z7))))</f>
        <v>1.7094017094017091</v>
      </c>
      <c r="AL7" s="1">
        <f t="shared" ref="AL7:AL38" si="6">(AK7^2)*RDS_on_HS</f>
        <v>2.922054204105485E-3</v>
      </c>
      <c r="AM7" s="1">
        <f>CHOOSE(V7,0,(R7+Vd_rect)*Qrr*fsw)</f>
        <v>0.26083200000000001</v>
      </c>
      <c r="AN7" s="136">
        <f>Vd_rect*t_dead*fsw*Z7</f>
        <v>4.2666666666666672E-2</v>
      </c>
      <c r="AO7" s="133">
        <f>AL7+AM7+AN7</f>
        <v>0.30642072087077216</v>
      </c>
      <c r="AP7" s="132">
        <f t="shared" ref="AP7:AP38" si="7">(AA7^2)*Rcs</f>
        <v>1.7532325224632921E-2</v>
      </c>
      <c r="AQ7" s="137">
        <f t="shared" ref="AQ7:AQ38" si="8">Rdcr*AA7^2</f>
        <v>1.797063335524874E-2</v>
      </c>
      <c r="AR7" s="137">
        <f t="shared" ref="AR7:AR38" si="9">ABS(7.759*10^-3*fsw^0.9458*(0.00787*Y7)^2.304)</f>
        <v>1.6152231232584866</v>
      </c>
      <c r="AS7" s="1">
        <f t="shared" ref="AS7:AS38" si="10">(Qg_tot+Qg_tot_HS)*VCC*fsw</f>
        <v>1.9759999999999996E-2</v>
      </c>
      <c r="AT7" s="133">
        <f>IQ*T7</f>
        <v>0.08</v>
      </c>
      <c r="AU7" s="132">
        <f>AP7+AO7+AI7+AD7+AS7+AT7+AQ7+AR7</f>
        <v>2.0807215444725999</v>
      </c>
      <c r="AV7" s="1">
        <f>R7*S7</f>
        <v>0</v>
      </c>
      <c r="AW7" s="133">
        <f>(AV7/(AV7+AU7))*100</f>
        <v>0</v>
      </c>
    </row>
    <row r="8" spans="1:49" x14ac:dyDescent="0.15">
      <c r="M8">
        <f>fsw</f>
        <v>130000</v>
      </c>
      <c r="Q8">
        <v>1</v>
      </c>
      <c r="R8" s="132">
        <f t="shared" si="0"/>
        <v>60</v>
      </c>
      <c r="S8" s="1">
        <f t="shared" si="1"/>
        <v>5.0133333333333328E-2</v>
      </c>
      <c r="T8" s="1">
        <f t="shared" si="2"/>
        <v>20</v>
      </c>
      <c r="U8" s="133">
        <f t="shared" ref="U8:U38" si="11">(R8*S8)/(T8*EFF_est)</f>
        <v>0.15039999999999998</v>
      </c>
      <c r="V8" s="132">
        <f>IF(Calculations!$B$17=3,2,IF((S8*R8/T8)&lt;((T8*(1-(T8/R8)))/(2*Lm*fsw)),1,2))</f>
        <v>2</v>
      </c>
      <c r="W8" s="1">
        <f t="shared" ref="W8:W38" si="12">CHOOSE(V8,SQRT((2*S8*Lm*fsw*(R8-T8))/((T8)^2)),1-(T8/R8))</f>
        <v>0.66666666666666674</v>
      </c>
      <c r="X8" s="133">
        <f t="shared" si="3"/>
        <v>0.33333333333333326</v>
      </c>
      <c r="Y8" s="132">
        <f t="shared" si="4"/>
        <v>10.256410256410257</v>
      </c>
      <c r="Z8" s="1">
        <f t="shared" ref="Z8:Z71" si="13">CHOOSE(V8,Y8,U8+(0.5*Y8))</f>
        <v>5.2786051282051289</v>
      </c>
      <c r="AA8" s="1">
        <f t="shared" ref="AA8:AA71" si="14">CHOOSE(V8,Z8*SQRT((W8+X8)/3),SQRT((U8^2)+((Y8^2)/12)))</f>
        <v>2.964588128613562</v>
      </c>
      <c r="AB8" s="1">
        <v>0</v>
      </c>
      <c r="AC8" s="1">
        <f t="shared" ref="AC8:AC38" si="15">(AA8^2)*Rdcr</f>
        <v>1.8017004683248745E-2</v>
      </c>
      <c r="AD8" s="133">
        <f t="shared" ref="AD8:AD71" si="16">AB8+AC8</f>
        <v>1.8017004683248745E-2</v>
      </c>
      <c r="AE8" s="132">
        <f>U8*W8</f>
        <v>0.10026666666666666</v>
      </c>
      <c r="AF8" s="1">
        <f t="shared" ref="AF8:AF71" si="17">CHOOSE(V8,Z8*SQRT(W8/3),SQRT(W8*((Z8^2)+((Y8^2)/3)-(Z8*Y8))))</f>
        <v>2.4205760708718986</v>
      </c>
      <c r="AG8" s="1">
        <f t="shared" si="5"/>
        <v>5.8591885148776392E-3</v>
      </c>
      <c r="AH8" s="1">
        <f t="shared" ref="AH8:AH38" si="18">((R8*U8)/2)*fsw*(tr_sw+tf_sw)</f>
        <v>9.4052150351418718E-3</v>
      </c>
      <c r="AI8" s="133">
        <f t="shared" ref="AI8:AI71" si="19">AG8+AH8</f>
        <v>1.5264403550019512E-2</v>
      </c>
      <c r="AJ8" s="132">
        <f t="shared" ref="AJ8:AJ71" si="20">X8*U8</f>
        <v>5.0133333333333314E-2</v>
      </c>
      <c r="AK8" s="1">
        <f t="shared" ref="AK8:AK71" si="21">CHOOSE(V8,Z8*SQRT(X8/3),SQRT(X8*((Z8^2)+((Y8^2)/3)-(Y8*Z8))))</f>
        <v>1.7116057540914085</v>
      </c>
      <c r="AL8" s="1">
        <f t="shared" si="6"/>
        <v>2.9295942574388192E-3</v>
      </c>
      <c r="AM8" s="1">
        <f t="shared" ref="AM8:AM39" si="22">CHOOSE(V8,(R8+Vd_rect)*Qrr*fsw,(R8+Vd_rect)*Qrr*fsw)</f>
        <v>0.26083200000000001</v>
      </c>
      <c r="AN8" s="136">
        <f>Vd_rect*t_dead*fsw*Z8</f>
        <v>4.3917994666666675E-2</v>
      </c>
      <c r="AO8" s="133">
        <f t="shared" ref="AO8:AO71" si="23">AL8+AM8+AN8</f>
        <v>0.30767958892410552</v>
      </c>
      <c r="AP8" s="132">
        <f t="shared" si="7"/>
        <v>1.7577565544632925E-2</v>
      </c>
      <c r="AQ8" s="137">
        <f t="shared" si="8"/>
        <v>1.8017004683248745E-2</v>
      </c>
      <c r="AR8" s="137">
        <f t="shared" si="9"/>
        <v>1.6152231232584866</v>
      </c>
      <c r="AS8" s="1">
        <f t="shared" si="10"/>
        <v>1.9759999999999996E-2</v>
      </c>
      <c r="AT8" s="133">
        <f t="shared" ref="AT8:AT38" si="24">IQ*T8</f>
        <v>0.08</v>
      </c>
      <c r="AU8" s="132">
        <f t="shared" ref="AU8:AU71" si="25">AP8+AO8+AI8+AD8+AS8+AT8+AQ8+AR8</f>
        <v>2.0915386906437421</v>
      </c>
      <c r="AV8" s="1">
        <f t="shared" ref="AV8:AV71" si="26">R8*S8</f>
        <v>3.0079999999999996</v>
      </c>
      <c r="AW8" s="133">
        <f t="shared" ref="AW8:AW71" si="27">(AV8/(AV8+AU8))*100</f>
        <v>58.985727581964554</v>
      </c>
    </row>
    <row r="9" spans="1:49" x14ac:dyDescent="0.15">
      <c r="N9" s="1" t="s">
        <v>451</v>
      </c>
      <c r="O9" s="1">
        <f>Vin_vari</f>
        <v>20</v>
      </c>
      <c r="P9" t="s">
        <v>34</v>
      </c>
      <c r="Q9">
        <v>2</v>
      </c>
      <c r="R9" s="132">
        <f t="shared" si="0"/>
        <v>60</v>
      </c>
      <c r="S9" s="1">
        <f t="shared" si="1"/>
        <v>0.10026666666666666</v>
      </c>
      <c r="T9" s="1">
        <f t="shared" si="2"/>
        <v>20</v>
      </c>
      <c r="U9" s="133">
        <f t="shared" si="11"/>
        <v>0.30079999999999996</v>
      </c>
      <c r="V9" s="132">
        <f>IF(Calculations!$B$17=3,2,IF((S9*R9/T9)&lt;((T9*(1-(T9/R9)))/(2*Lm*fsw)),1,2))</f>
        <v>2</v>
      </c>
      <c r="W9" s="1">
        <f t="shared" si="12"/>
        <v>0.66666666666666674</v>
      </c>
      <c r="X9" s="133">
        <f t="shared" si="3"/>
        <v>0.33333333333333326</v>
      </c>
      <c r="Y9" s="132">
        <f t="shared" si="4"/>
        <v>10.256410256410257</v>
      </c>
      <c r="Z9" s="1">
        <f t="shared" si="13"/>
        <v>5.4290051282051284</v>
      </c>
      <c r="AA9" s="1">
        <f t="shared" si="14"/>
        <v>2.9760112990908585</v>
      </c>
      <c r="AB9" s="1">
        <v>0</v>
      </c>
      <c r="AC9" s="1">
        <f t="shared" si="15"/>
        <v>1.8156118667248738E-2</v>
      </c>
      <c r="AD9" s="133">
        <f t="shared" si="16"/>
        <v>1.8156118667248738E-2</v>
      </c>
      <c r="AE9" s="132">
        <f t="shared" ref="AE9:AE72" si="28">U9*W9</f>
        <v>0.20053333333333331</v>
      </c>
      <c r="AF9" s="1">
        <f t="shared" si="17"/>
        <v>2.4299030505099672</v>
      </c>
      <c r="AG9" s="1">
        <f t="shared" si="5"/>
        <v>5.9044288348776451E-3</v>
      </c>
      <c r="AH9" s="1">
        <f t="shared" si="18"/>
        <v>1.8810430070283744E-2</v>
      </c>
      <c r="AI9" s="133">
        <f t="shared" si="19"/>
        <v>2.471485890516139E-2</v>
      </c>
      <c r="AJ9" s="132">
        <f t="shared" si="20"/>
        <v>0.10026666666666663</v>
      </c>
      <c r="AK9" s="1">
        <f t="shared" si="21"/>
        <v>1.7182009246414756</v>
      </c>
      <c r="AL9" s="1">
        <f t="shared" si="6"/>
        <v>2.9522144174388217E-3</v>
      </c>
      <c r="AM9" s="1">
        <f t="shared" si="22"/>
        <v>0.26083200000000001</v>
      </c>
      <c r="AN9" s="136">
        <f t="shared" ref="AN9:AN38" si="29">Vd_rect*t_dead*fsw*Z9</f>
        <v>4.5169322666666671E-2</v>
      </c>
      <c r="AO9" s="133">
        <f t="shared" si="23"/>
        <v>0.3089535370841055</v>
      </c>
      <c r="AP9" s="132">
        <f t="shared" si="7"/>
        <v>1.771328650463292E-2</v>
      </c>
      <c r="AQ9" s="137">
        <f t="shared" si="8"/>
        <v>1.8156118667248738E-2</v>
      </c>
      <c r="AR9" s="137">
        <f t="shared" si="9"/>
        <v>1.6152231232584866</v>
      </c>
      <c r="AS9" s="1">
        <f t="shared" si="10"/>
        <v>1.9759999999999996E-2</v>
      </c>
      <c r="AT9" s="133">
        <f t="shared" si="24"/>
        <v>0.08</v>
      </c>
      <c r="AU9" s="132">
        <f t="shared" si="25"/>
        <v>2.1026770430868842</v>
      </c>
      <c r="AV9" s="1">
        <f t="shared" si="26"/>
        <v>6.0159999999999991</v>
      </c>
      <c r="AW9" s="133">
        <f t="shared" si="27"/>
        <v>74.100742868232089</v>
      </c>
    </row>
    <row r="10" spans="1:49" x14ac:dyDescent="0.15">
      <c r="N10" s="1"/>
      <c r="O10" s="1"/>
      <c r="Q10">
        <v>3</v>
      </c>
      <c r="R10" s="132">
        <f t="shared" si="0"/>
        <v>60</v>
      </c>
      <c r="S10" s="1">
        <f t="shared" si="1"/>
        <v>0.15039999999999998</v>
      </c>
      <c r="T10" s="1">
        <f t="shared" si="2"/>
        <v>20</v>
      </c>
      <c r="U10" s="133">
        <f t="shared" si="11"/>
        <v>0.45119999999999993</v>
      </c>
      <c r="V10" s="132">
        <f>IF(Calculations!$B$17=3,2,IF((S10*R10/T10)&lt;((T10*(1-(T10/R10)))/(2*Lm*fsw)),1,2))</f>
        <v>2</v>
      </c>
      <c r="W10" s="1">
        <f t="shared" si="12"/>
        <v>0.66666666666666674</v>
      </c>
      <c r="X10" s="133">
        <f t="shared" si="3"/>
        <v>0.33333333333333326</v>
      </c>
      <c r="Y10" s="132">
        <f t="shared" si="4"/>
        <v>10.256410256410257</v>
      </c>
      <c r="Z10" s="1">
        <f t="shared" si="13"/>
        <v>5.5794051282051287</v>
      </c>
      <c r="AA10" s="1">
        <f t="shared" si="14"/>
        <v>2.9949530968475049</v>
      </c>
      <c r="AB10" s="1">
        <v>0</v>
      </c>
      <c r="AC10" s="1">
        <f t="shared" si="15"/>
        <v>1.8387975307248738E-2</v>
      </c>
      <c r="AD10" s="133">
        <f t="shared" si="16"/>
        <v>1.8387975307248738E-2</v>
      </c>
      <c r="AE10" s="132">
        <f t="shared" si="28"/>
        <v>0.30080000000000001</v>
      </c>
      <c r="AF10" s="1">
        <f t="shared" si="17"/>
        <v>2.4453689636148921</v>
      </c>
      <c r="AG10" s="1">
        <f t="shared" si="5"/>
        <v>5.979829368210972E-3</v>
      </c>
      <c r="AH10" s="1">
        <f t="shared" si="18"/>
        <v>2.821564510542561E-2</v>
      </c>
      <c r="AI10" s="133">
        <f t="shared" si="19"/>
        <v>3.4195474473636585E-2</v>
      </c>
      <c r="AJ10" s="132">
        <f t="shared" si="20"/>
        <v>0.15039999999999995</v>
      </c>
      <c r="AK10" s="1">
        <f t="shared" si="21"/>
        <v>1.7291369766752098</v>
      </c>
      <c r="AL10" s="1">
        <f t="shared" si="6"/>
        <v>2.9899146841054856E-3</v>
      </c>
      <c r="AM10" s="1">
        <f t="shared" si="22"/>
        <v>0.26083200000000001</v>
      </c>
      <c r="AN10" s="136">
        <f t="shared" si="29"/>
        <v>4.6420650666666674E-2</v>
      </c>
      <c r="AO10" s="133">
        <f t="shared" si="23"/>
        <v>0.31024256535077216</v>
      </c>
      <c r="AP10" s="132">
        <f t="shared" si="7"/>
        <v>1.7939488104632917E-2</v>
      </c>
      <c r="AQ10" s="137">
        <f t="shared" si="8"/>
        <v>1.8387975307248738E-2</v>
      </c>
      <c r="AR10" s="137">
        <f t="shared" si="9"/>
        <v>1.6152231232584866</v>
      </c>
      <c r="AS10" s="1">
        <f t="shared" si="10"/>
        <v>1.9759999999999996E-2</v>
      </c>
      <c r="AT10" s="133">
        <f t="shared" si="24"/>
        <v>0.08</v>
      </c>
      <c r="AU10" s="132">
        <f t="shared" si="25"/>
        <v>2.1141366018020258</v>
      </c>
      <c r="AV10" s="1">
        <f t="shared" si="26"/>
        <v>9.0239999999999991</v>
      </c>
      <c r="AW10" s="133">
        <f t="shared" si="27"/>
        <v>81.018938109809298</v>
      </c>
    </row>
    <row r="11" spans="1:49" x14ac:dyDescent="0.15">
      <c r="N11" s="1" t="s">
        <v>258</v>
      </c>
      <c r="O11" s="1">
        <v>150</v>
      </c>
      <c r="Q11">
        <v>4</v>
      </c>
      <c r="R11" s="132">
        <f t="shared" si="0"/>
        <v>60</v>
      </c>
      <c r="S11" s="1">
        <f t="shared" si="1"/>
        <v>0.20053333333333331</v>
      </c>
      <c r="T11" s="1">
        <f t="shared" si="2"/>
        <v>20</v>
      </c>
      <c r="U11" s="133">
        <f t="shared" si="11"/>
        <v>0.60159999999999991</v>
      </c>
      <c r="V11" s="132">
        <f>IF(Calculations!$B$17=3,2,IF((S11*R11/T11)&lt;((T11*(1-(T11/R11)))/(2*Lm*fsw)),1,2))</f>
        <v>2</v>
      </c>
      <c r="W11" s="1">
        <f t="shared" si="12"/>
        <v>0.66666666666666674</v>
      </c>
      <c r="X11" s="133">
        <f t="shared" si="3"/>
        <v>0.33333333333333326</v>
      </c>
      <c r="Y11" s="132">
        <f t="shared" si="4"/>
        <v>10.256410256410257</v>
      </c>
      <c r="Z11" s="1">
        <f t="shared" si="13"/>
        <v>5.729805128205129</v>
      </c>
      <c r="AA11" s="1">
        <f t="shared" si="14"/>
        <v>3.0212721115974412</v>
      </c>
      <c r="AB11" s="1">
        <v>0</v>
      </c>
      <c r="AC11" s="1">
        <f t="shared" si="15"/>
        <v>1.8712574603248745E-2</v>
      </c>
      <c r="AD11" s="133">
        <f t="shared" si="16"/>
        <v>1.8712574603248745E-2</v>
      </c>
      <c r="AE11" s="132">
        <f t="shared" si="28"/>
        <v>0.40106666666666663</v>
      </c>
      <c r="AF11" s="1">
        <f t="shared" si="17"/>
        <v>2.4668583491716007</v>
      </c>
      <c r="AG11" s="1">
        <f t="shared" si="5"/>
        <v>6.0853901148776347E-3</v>
      </c>
      <c r="AH11" s="1">
        <f t="shared" si="18"/>
        <v>3.7620860140567487E-2</v>
      </c>
      <c r="AI11" s="133">
        <f t="shared" si="19"/>
        <v>4.3706250255445125E-2</v>
      </c>
      <c r="AJ11" s="132">
        <f t="shared" si="20"/>
        <v>0.20053333333333326</v>
      </c>
      <c r="AK11" s="1">
        <f t="shared" si="21"/>
        <v>1.7443322669258907</v>
      </c>
      <c r="AL11" s="1">
        <f t="shared" si="6"/>
        <v>3.0426950574388169E-3</v>
      </c>
      <c r="AM11" s="1">
        <f t="shared" si="22"/>
        <v>0.26083200000000001</v>
      </c>
      <c r="AN11" s="136">
        <f t="shared" si="29"/>
        <v>4.7671978666666677E-2</v>
      </c>
      <c r="AO11" s="133">
        <f t="shared" si="23"/>
        <v>0.31154667372410549</v>
      </c>
      <c r="AP11" s="132">
        <f t="shared" si="7"/>
        <v>1.8256170344632925E-2</v>
      </c>
      <c r="AQ11" s="137">
        <f t="shared" si="8"/>
        <v>1.8712574603248745E-2</v>
      </c>
      <c r="AR11" s="137">
        <f t="shared" si="9"/>
        <v>1.6152231232584866</v>
      </c>
      <c r="AS11" s="1">
        <f t="shared" si="10"/>
        <v>1.9759999999999996E-2</v>
      </c>
      <c r="AT11" s="133">
        <f t="shared" si="24"/>
        <v>0.08</v>
      </c>
      <c r="AU11" s="132">
        <f t="shared" si="25"/>
        <v>2.1259173667891678</v>
      </c>
      <c r="AV11" s="1">
        <f t="shared" si="26"/>
        <v>12.031999999999998</v>
      </c>
      <c r="AW11" s="133">
        <f t="shared" si="27"/>
        <v>84.984250778465324</v>
      </c>
    </row>
    <row r="12" spans="1:49" x14ac:dyDescent="0.15">
      <c r="N12" s="1" t="s">
        <v>635</v>
      </c>
      <c r="O12" s="1">
        <f>IOUT/(O11)</f>
        <v>5.0133333333333328E-2</v>
      </c>
      <c r="Q12">
        <v>5</v>
      </c>
      <c r="R12" s="132">
        <f t="shared" si="0"/>
        <v>60</v>
      </c>
      <c r="S12" s="1">
        <f t="shared" si="1"/>
        <v>0.25066666666666665</v>
      </c>
      <c r="T12" s="1">
        <f t="shared" si="2"/>
        <v>20</v>
      </c>
      <c r="U12" s="133">
        <f t="shared" si="11"/>
        <v>0.752</v>
      </c>
      <c r="V12" s="132">
        <f>IF(Calculations!$B$17=3,2,IF((S12*R12/T12)&lt;((T12*(1-(T12/R12)))/(2*Lm*fsw)),1,2))</f>
        <v>2</v>
      </c>
      <c r="W12" s="1">
        <f t="shared" si="12"/>
        <v>0.66666666666666674</v>
      </c>
      <c r="X12" s="133">
        <f t="shared" si="3"/>
        <v>0.33333333333333326</v>
      </c>
      <c r="Y12" s="132">
        <f t="shared" si="4"/>
        <v>10.256410256410257</v>
      </c>
      <c r="Z12" s="1">
        <f t="shared" si="13"/>
        <v>5.8802051282051284</v>
      </c>
      <c r="AA12" s="1">
        <f t="shared" si="14"/>
        <v>3.0547776698667386</v>
      </c>
      <c r="AB12" s="1">
        <v>0</v>
      </c>
      <c r="AC12" s="1">
        <f t="shared" si="15"/>
        <v>1.9129916555248743E-2</v>
      </c>
      <c r="AD12" s="133">
        <f t="shared" si="16"/>
        <v>1.9129916555248743E-2</v>
      </c>
      <c r="AE12" s="132">
        <f t="shared" si="28"/>
        <v>0.50133333333333341</v>
      </c>
      <c r="AF12" s="1">
        <f t="shared" si="17"/>
        <v>2.4942155229405589</v>
      </c>
      <c r="AG12" s="1">
        <f t="shared" si="5"/>
        <v>6.2211110748776463E-3</v>
      </c>
      <c r="AH12" s="1">
        <f t="shared" si="18"/>
        <v>4.7026075175709357E-2</v>
      </c>
      <c r="AI12" s="133">
        <f t="shared" si="19"/>
        <v>5.3247186250587004E-2</v>
      </c>
      <c r="AJ12" s="132">
        <f t="shared" si="20"/>
        <v>0.25066666666666659</v>
      </c>
      <c r="AK12" s="1">
        <f t="shared" si="21"/>
        <v>1.7636767100120199</v>
      </c>
      <c r="AL12" s="1">
        <f t="shared" si="6"/>
        <v>3.1105555374388227E-3</v>
      </c>
      <c r="AM12" s="1">
        <f t="shared" si="22"/>
        <v>0.26083200000000001</v>
      </c>
      <c r="AN12" s="136">
        <f t="shared" si="29"/>
        <v>4.8923306666666673E-2</v>
      </c>
      <c r="AO12" s="133">
        <f t="shared" si="23"/>
        <v>0.3128658622041055</v>
      </c>
      <c r="AP12" s="132">
        <f t="shared" si="7"/>
        <v>1.8663333224632921E-2</v>
      </c>
      <c r="AQ12" s="137">
        <f t="shared" si="8"/>
        <v>1.9129916555248743E-2</v>
      </c>
      <c r="AR12" s="137">
        <f t="shared" si="9"/>
        <v>1.6152231232584866</v>
      </c>
      <c r="AS12" s="1">
        <f t="shared" si="10"/>
        <v>1.9759999999999996E-2</v>
      </c>
      <c r="AT12" s="133">
        <f t="shared" si="24"/>
        <v>0.08</v>
      </c>
      <c r="AU12" s="132">
        <f t="shared" si="25"/>
        <v>2.1380193380483097</v>
      </c>
      <c r="AV12" s="1">
        <f t="shared" si="26"/>
        <v>15.04</v>
      </c>
      <c r="AW12" s="133">
        <f t="shared" si="27"/>
        <v>87.553749381846828</v>
      </c>
    </row>
    <row r="13" spans="1:49" x14ac:dyDescent="0.15">
      <c r="Q13">
        <v>6</v>
      </c>
      <c r="R13" s="132">
        <f t="shared" si="0"/>
        <v>60</v>
      </c>
      <c r="S13" s="1">
        <f t="shared" si="1"/>
        <v>0.30079999999999996</v>
      </c>
      <c r="T13" s="1">
        <f t="shared" si="2"/>
        <v>20</v>
      </c>
      <c r="U13" s="133">
        <f t="shared" si="11"/>
        <v>0.90239999999999987</v>
      </c>
      <c r="V13" s="132">
        <f>IF(Calculations!$B$17=3,2,IF((S13*R13/T13)&lt;((T13*(1-(T13/R13)))/(2*Lm*fsw)),1,2))</f>
        <v>2</v>
      </c>
      <c r="W13" s="1">
        <f t="shared" si="12"/>
        <v>0.66666666666666674</v>
      </c>
      <c r="X13" s="133">
        <f t="shared" si="3"/>
        <v>0.33333333333333326</v>
      </c>
      <c r="Y13" s="132">
        <f t="shared" si="4"/>
        <v>10.256410256410257</v>
      </c>
      <c r="Z13" s="1">
        <f t="shared" si="13"/>
        <v>6.0306051282051287</v>
      </c>
      <c r="AA13" s="1">
        <f t="shared" si="14"/>
        <v>3.0952364000697039</v>
      </c>
      <c r="AB13" s="1">
        <v>0</v>
      </c>
      <c r="AC13" s="1">
        <f t="shared" si="15"/>
        <v>1.9640001163248738E-2</v>
      </c>
      <c r="AD13" s="133">
        <f t="shared" si="16"/>
        <v>1.9640001163248738E-2</v>
      </c>
      <c r="AE13" s="132">
        <f t="shared" si="28"/>
        <v>0.60160000000000002</v>
      </c>
      <c r="AF13" s="1">
        <f t="shared" si="17"/>
        <v>2.527249937819958</v>
      </c>
      <c r="AG13" s="1">
        <f t="shared" si="5"/>
        <v>6.3869922482109815E-3</v>
      </c>
      <c r="AH13" s="1">
        <f t="shared" si="18"/>
        <v>5.643129021085122E-2</v>
      </c>
      <c r="AI13" s="133">
        <f t="shared" si="19"/>
        <v>6.2818282459062208E-2</v>
      </c>
      <c r="AJ13" s="132">
        <f t="shared" si="20"/>
        <v>0.3007999999999999</v>
      </c>
      <c r="AK13" s="1">
        <f t="shared" si="21"/>
        <v>1.7870355687857729</v>
      </c>
      <c r="AL13" s="1">
        <f t="shared" si="6"/>
        <v>3.1934961241054907E-3</v>
      </c>
      <c r="AM13" s="1">
        <f t="shared" si="22"/>
        <v>0.26083200000000001</v>
      </c>
      <c r="AN13" s="136">
        <f t="shared" si="29"/>
        <v>5.0174634666666676E-2</v>
      </c>
      <c r="AO13" s="133">
        <f t="shared" si="23"/>
        <v>0.31420013079077214</v>
      </c>
      <c r="AP13" s="132">
        <f t="shared" si="7"/>
        <v>1.9160976744632918E-2</v>
      </c>
      <c r="AQ13" s="137">
        <f t="shared" si="8"/>
        <v>1.9640001163248738E-2</v>
      </c>
      <c r="AR13" s="137">
        <f t="shared" si="9"/>
        <v>1.6152231232584866</v>
      </c>
      <c r="AS13" s="1">
        <f t="shared" si="10"/>
        <v>1.9759999999999996E-2</v>
      </c>
      <c r="AT13" s="133">
        <f t="shared" si="24"/>
        <v>0.08</v>
      </c>
      <c r="AU13" s="132">
        <f t="shared" si="25"/>
        <v>2.1504425155794511</v>
      </c>
      <c r="AV13" s="1">
        <f t="shared" si="26"/>
        <v>18.047999999999998</v>
      </c>
      <c r="AW13" s="133">
        <f t="shared" si="27"/>
        <v>89.353424087422709</v>
      </c>
    </row>
    <row r="14" spans="1:49" x14ac:dyDescent="0.15">
      <c r="Q14">
        <v>7</v>
      </c>
      <c r="R14" s="132">
        <f t="shared" si="0"/>
        <v>60</v>
      </c>
      <c r="S14" s="1">
        <f t="shared" si="1"/>
        <v>0.35093333333333332</v>
      </c>
      <c r="T14" s="1">
        <f t="shared" si="2"/>
        <v>20</v>
      </c>
      <c r="U14" s="133">
        <f t="shared" si="11"/>
        <v>1.0528</v>
      </c>
      <c r="V14" s="132">
        <f>IF(Calculations!$B$17=3,2,IF((S14*R14/T14)&lt;((T14*(1-(T14/R14)))/(2*Lm*fsw)),1,2))</f>
        <v>2</v>
      </c>
      <c r="W14" s="1">
        <f t="shared" si="12"/>
        <v>0.66666666666666674</v>
      </c>
      <c r="X14" s="133">
        <f t="shared" si="3"/>
        <v>0.33333333333333326</v>
      </c>
      <c r="Y14" s="132">
        <f t="shared" si="4"/>
        <v>10.256410256410257</v>
      </c>
      <c r="Z14" s="1">
        <f t="shared" si="13"/>
        <v>6.181005128205129</v>
      </c>
      <c r="AA14" s="1">
        <f t="shared" si="14"/>
        <v>3.1423797434932115</v>
      </c>
      <c r="AB14" s="1">
        <v>0</v>
      </c>
      <c r="AC14" s="1">
        <f t="shared" si="15"/>
        <v>2.0242828427248741E-2</v>
      </c>
      <c r="AD14" s="133">
        <f t="shared" si="16"/>
        <v>2.0242828427248741E-2</v>
      </c>
      <c r="AE14" s="132">
        <f t="shared" si="28"/>
        <v>0.70186666666666675</v>
      </c>
      <c r="AF14" s="1">
        <f t="shared" si="17"/>
        <v>2.5657423165387514</v>
      </c>
      <c r="AG14" s="1">
        <f t="shared" si="5"/>
        <v>6.5830336348776386E-3</v>
      </c>
      <c r="AH14" s="1">
        <f t="shared" si="18"/>
        <v>6.5836505245993104E-2</v>
      </c>
      <c r="AI14" s="133">
        <f t="shared" si="19"/>
        <v>7.2419538880870743E-2</v>
      </c>
      <c r="AJ14" s="132">
        <f t="shared" si="20"/>
        <v>0.35093333333333326</v>
      </c>
      <c r="AK14" s="1">
        <f t="shared" si="21"/>
        <v>1.8142537908018319</v>
      </c>
      <c r="AL14" s="1">
        <f t="shared" si="6"/>
        <v>3.2915168174388171E-3</v>
      </c>
      <c r="AM14" s="1">
        <f t="shared" si="22"/>
        <v>0.26083200000000001</v>
      </c>
      <c r="AN14" s="136">
        <f t="shared" si="29"/>
        <v>5.1425962666666679E-2</v>
      </c>
      <c r="AO14" s="133">
        <f t="shared" si="23"/>
        <v>0.3155494794841055</v>
      </c>
      <c r="AP14" s="132">
        <f t="shared" si="7"/>
        <v>1.9749100904632923E-2</v>
      </c>
      <c r="AQ14" s="137">
        <f t="shared" si="8"/>
        <v>2.0242828427248741E-2</v>
      </c>
      <c r="AR14" s="137">
        <f t="shared" si="9"/>
        <v>1.6152231232584866</v>
      </c>
      <c r="AS14" s="1">
        <f t="shared" si="10"/>
        <v>1.9759999999999996E-2</v>
      </c>
      <c r="AT14" s="133">
        <f t="shared" si="24"/>
        <v>0.08</v>
      </c>
      <c r="AU14" s="132">
        <f t="shared" si="25"/>
        <v>2.1631868993825933</v>
      </c>
      <c r="AV14" s="1">
        <f t="shared" si="26"/>
        <v>21.055999999999997</v>
      </c>
      <c r="AW14" s="133">
        <f t="shared" si="27"/>
        <v>90.683623381143832</v>
      </c>
    </row>
    <row r="15" spans="1:49" x14ac:dyDescent="0.15">
      <c r="O15">
        <f>0.205*2.5/(Lm*fsw)</f>
        <v>0.39423076923076916</v>
      </c>
      <c r="Q15">
        <v>8</v>
      </c>
      <c r="R15" s="132">
        <f t="shared" si="0"/>
        <v>60</v>
      </c>
      <c r="S15" s="1">
        <f t="shared" si="1"/>
        <v>0.40106666666666663</v>
      </c>
      <c r="T15" s="1">
        <f t="shared" si="2"/>
        <v>20</v>
      </c>
      <c r="U15" s="133">
        <f t="shared" si="11"/>
        <v>1.2031999999999998</v>
      </c>
      <c r="V15" s="132">
        <f>IF(Calculations!$B$17=3,2,IF((S15*R15/T15)&lt;((T15*(1-(T15/R15)))/(2*Lm*fsw)),1,2))</f>
        <v>2</v>
      </c>
      <c r="W15" s="1">
        <f t="shared" si="12"/>
        <v>0.66666666666666674</v>
      </c>
      <c r="X15" s="133">
        <f t="shared" si="3"/>
        <v>0.33333333333333326</v>
      </c>
      <c r="Y15" s="132">
        <f t="shared" si="4"/>
        <v>10.256410256410257</v>
      </c>
      <c r="Z15" s="1">
        <f t="shared" si="13"/>
        <v>6.3314051282051285</v>
      </c>
      <c r="AA15" s="1">
        <f t="shared" si="14"/>
        <v>3.1959118968326488</v>
      </c>
      <c r="AB15" s="1">
        <v>0</v>
      </c>
      <c r="AC15" s="1">
        <f t="shared" si="15"/>
        <v>2.0938398347248737E-2</v>
      </c>
      <c r="AD15" s="133">
        <f t="shared" si="16"/>
        <v>2.0938398347248737E-2</v>
      </c>
      <c r="AE15" s="132">
        <f t="shared" si="28"/>
        <v>0.80213333333333325</v>
      </c>
      <c r="AF15" s="1">
        <f t="shared" si="17"/>
        <v>2.6094511367101001</v>
      </c>
      <c r="AG15" s="1">
        <f t="shared" si="5"/>
        <v>6.8092352348776341E-3</v>
      </c>
      <c r="AH15" s="1">
        <f t="shared" si="18"/>
        <v>7.5241720281134974E-2</v>
      </c>
      <c r="AI15" s="133">
        <f t="shared" si="19"/>
        <v>8.2050955516012603E-2</v>
      </c>
      <c r="AJ15" s="132">
        <f t="shared" si="20"/>
        <v>0.40106666666666652</v>
      </c>
      <c r="AK15" s="1">
        <f t="shared" si="21"/>
        <v>1.8451605939426561</v>
      </c>
      <c r="AL15" s="1">
        <f t="shared" si="6"/>
        <v>3.4046176174388153E-3</v>
      </c>
      <c r="AM15" s="1">
        <f t="shared" si="22"/>
        <v>0.26083200000000001</v>
      </c>
      <c r="AN15" s="136">
        <f t="shared" si="29"/>
        <v>5.2677290666666675E-2</v>
      </c>
      <c r="AO15" s="133">
        <f t="shared" si="23"/>
        <v>0.31691390828410548</v>
      </c>
      <c r="AP15" s="132">
        <f t="shared" si="7"/>
        <v>2.0427705704632919E-2</v>
      </c>
      <c r="AQ15" s="137">
        <f t="shared" si="8"/>
        <v>2.0938398347248737E-2</v>
      </c>
      <c r="AR15" s="137">
        <f t="shared" si="9"/>
        <v>1.6152231232584866</v>
      </c>
      <c r="AS15" s="1">
        <f t="shared" si="10"/>
        <v>1.9759999999999996E-2</v>
      </c>
      <c r="AT15" s="133">
        <f t="shared" si="24"/>
        <v>0.08</v>
      </c>
      <c r="AU15" s="132">
        <f t="shared" si="25"/>
        <v>2.1762524894577351</v>
      </c>
      <c r="AV15" s="1">
        <f t="shared" si="26"/>
        <v>24.063999999999997</v>
      </c>
      <c r="AW15" s="133">
        <f t="shared" si="27"/>
        <v>91.706434645276119</v>
      </c>
    </row>
    <row r="16" spans="1:49" x14ac:dyDescent="0.15">
      <c r="Q16">
        <v>9</v>
      </c>
      <c r="R16" s="132">
        <f t="shared" si="0"/>
        <v>60</v>
      </c>
      <c r="S16" s="1">
        <f t="shared" si="1"/>
        <v>0.45119999999999993</v>
      </c>
      <c r="T16" s="1">
        <f t="shared" si="2"/>
        <v>20</v>
      </c>
      <c r="U16" s="133">
        <f t="shared" si="11"/>
        <v>1.3535999999999997</v>
      </c>
      <c r="V16" s="132">
        <f>IF(Calculations!$B$17=3,2,IF((S16*R16/T16)&lt;((T16*(1-(T16/R16)))/(2*Lm*fsw)),1,2))</f>
        <v>2</v>
      </c>
      <c r="W16" s="1">
        <f t="shared" si="12"/>
        <v>0.66666666666666674</v>
      </c>
      <c r="X16" s="133">
        <f t="shared" si="3"/>
        <v>0.33333333333333326</v>
      </c>
      <c r="Y16" s="132">
        <f t="shared" si="4"/>
        <v>10.256410256410257</v>
      </c>
      <c r="Z16" s="1">
        <f t="shared" si="13"/>
        <v>6.4818051282051279</v>
      </c>
      <c r="AA16" s="1">
        <f t="shared" si="14"/>
        <v>3.2555177118726384</v>
      </c>
      <c r="AB16" s="1">
        <v>0</v>
      </c>
      <c r="AC16" s="1">
        <f t="shared" si="15"/>
        <v>2.1726710923248738E-2</v>
      </c>
      <c r="AD16" s="133">
        <f t="shared" si="16"/>
        <v>2.1726710923248738E-2</v>
      </c>
      <c r="AE16" s="132">
        <f t="shared" si="28"/>
        <v>0.90239999999999987</v>
      </c>
      <c r="AF16" s="1">
        <f t="shared" si="17"/>
        <v>2.6581190808936621</v>
      </c>
      <c r="AG16" s="1">
        <f t="shared" si="5"/>
        <v>7.0655970482109672E-3</v>
      </c>
      <c r="AH16" s="1">
        <f t="shared" si="18"/>
        <v>8.4646935316276831E-2</v>
      </c>
      <c r="AI16" s="133">
        <f t="shared" si="19"/>
        <v>9.17125323644878E-2</v>
      </c>
      <c r="AJ16" s="132">
        <f t="shared" si="20"/>
        <v>0.45119999999999982</v>
      </c>
      <c r="AK16" s="1">
        <f t="shared" si="21"/>
        <v>1.8795740273012611</v>
      </c>
      <c r="AL16" s="1">
        <f t="shared" si="6"/>
        <v>3.5327985241054819E-3</v>
      </c>
      <c r="AM16" s="1">
        <f t="shared" si="22"/>
        <v>0.26083200000000001</v>
      </c>
      <c r="AN16" s="136">
        <f t="shared" si="29"/>
        <v>5.3928618666666671E-2</v>
      </c>
      <c r="AO16" s="133">
        <f t="shared" si="23"/>
        <v>0.31829341719077214</v>
      </c>
      <c r="AP16" s="132">
        <f t="shared" si="7"/>
        <v>2.119679114463292E-2</v>
      </c>
      <c r="AQ16" s="137">
        <f t="shared" si="8"/>
        <v>2.1726710923248738E-2</v>
      </c>
      <c r="AR16" s="137">
        <f t="shared" si="9"/>
        <v>1.6152231232584866</v>
      </c>
      <c r="AS16" s="1">
        <f t="shared" si="10"/>
        <v>1.9759999999999996E-2</v>
      </c>
      <c r="AT16" s="133">
        <f t="shared" si="24"/>
        <v>0.08</v>
      </c>
      <c r="AU16" s="132">
        <f t="shared" si="25"/>
        <v>2.1896392858048768</v>
      </c>
      <c r="AV16" s="1">
        <f t="shared" si="26"/>
        <v>27.071999999999996</v>
      </c>
      <c r="AW16" s="133">
        <f t="shared" si="27"/>
        <v>92.517031378802159</v>
      </c>
    </row>
    <row r="17" spans="17:49" x14ac:dyDescent="0.15">
      <c r="Q17">
        <v>10</v>
      </c>
      <c r="R17" s="132">
        <f t="shared" si="0"/>
        <v>60</v>
      </c>
      <c r="S17" s="1">
        <f t="shared" si="1"/>
        <v>0.5013333333333333</v>
      </c>
      <c r="T17" s="1">
        <f t="shared" si="2"/>
        <v>20</v>
      </c>
      <c r="U17" s="133">
        <f t="shared" si="11"/>
        <v>1.504</v>
      </c>
      <c r="V17" s="132">
        <f>IF(Calculations!$B$17=3,2,IF((S17*R17/T17)&lt;((T17*(1-(T17/R17)))/(2*Lm*fsw)),1,2))</f>
        <v>2</v>
      </c>
      <c r="W17" s="1">
        <f t="shared" si="12"/>
        <v>0.66666666666666674</v>
      </c>
      <c r="X17" s="133">
        <f t="shared" si="3"/>
        <v>0.33333333333333326</v>
      </c>
      <c r="Y17" s="132">
        <f t="shared" si="4"/>
        <v>10.256410256410257</v>
      </c>
      <c r="Z17" s="1">
        <f t="shared" si="13"/>
        <v>6.6322051282051291</v>
      </c>
      <c r="AA17" s="1">
        <f t="shared" si="14"/>
        <v>3.320870158906617</v>
      </c>
      <c r="AB17" s="1">
        <v>0</v>
      </c>
      <c r="AC17" s="1">
        <f t="shared" si="15"/>
        <v>2.2607766155248739E-2</v>
      </c>
      <c r="AD17" s="133">
        <f t="shared" si="16"/>
        <v>2.2607766155248739E-2</v>
      </c>
      <c r="AE17" s="132">
        <f t="shared" si="28"/>
        <v>1.0026666666666668</v>
      </c>
      <c r="AF17" s="1">
        <f t="shared" si="17"/>
        <v>2.7114791304521679</v>
      </c>
      <c r="AG17" s="1">
        <f t="shared" si="5"/>
        <v>7.3521190748776447E-3</v>
      </c>
      <c r="AH17" s="1">
        <f t="shared" si="18"/>
        <v>9.4052150351418715E-2</v>
      </c>
      <c r="AI17" s="133">
        <f t="shared" si="19"/>
        <v>0.10140426942629636</v>
      </c>
      <c r="AJ17" s="132">
        <f t="shared" si="20"/>
        <v>0.50133333333333319</v>
      </c>
      <c r="AK17" s="1">
        <f t="shared" si="21"/>
        <v>1.9173052801885311</v>
      </c>
      <c r="AL17" s="1">
        <f t="shared" si="6"/>
        <v>3.6760595374388219E-3</v>
      </c>
      <c r="AM17" s="1">
        <f t="shared" si="22"/>
        <v>0.26083200000000001</v>
      </c>
      <c r="AN17" s="136">
        <f t="shared" si="29"/>
        <v>5.5179946666666681E-2</v>
      </c>
      <c r="AO17" s="133">
        <f t="shared" si="23"/>
        <v>0.31968800620410553</v>
      </c>
      <c r="AP17" s="132">
        <f t="shared" si="7"/>
        <v>2.2056357224632919E-2</v>
      </c>
      <c r="AQ17" s="137">
        <f t="shared" si="8"/>
        <v>2.2607766155248739E-2</v>
      </c>
      <c r="AR17" s="137">
        <f t="shared" si="9"/>
        <v>1.6152231232584866</v>
      </c>
      <c r="AS17" s="1">
        <f t="shared" si="10"/>
        <v>1.9759999999999996E-2</v>
      </c>
      <c r="AT17" s="133">
        <f t="shared" si="24"/>
        <v>0.08</v>
      </c>
      <c r="AU17" s="132">
        <f t="shared" si="25"/>
        <v>2.2033472884240188</v>
      </c>
      <c r="AV17" s="1">
        <f t="shared" si="26"/>
        <v>30.08</v>
      </c>
      <c r="AW17" s="133">
        <f t="shared" si="27"/>
        <v>93.174972629885616</v>
      </c>
    </row>
    <row r="18" spans="17:49" x14ac:dyDescent="0.15">
      <c r="Q18">
        <v>11</v>
      </c>
      <c r="R18" s="132">
        <f t="shared" si="0"/>
        <v>60</v>
      </c>
      <c r="S18" s="1">
        <f t="shared" si="1"/>
        <v>0.55146666666666666</v>
      </c>
      <c r="T18" s="1">
        <f t="shared" si="2"/>
        <v>20</v>
      </c>
      <c r="U18" s="133">
        <f t="shared" si="11"/>
        <v>1.6544000000000001</v>
      </c>
      <c r="V18" s="132">
        <f>IF(Calculations!$B$17=3,2,IF((S18*R18/T18)&lt;((T18*(1-(T18/R18)))/(2*Lm*fsw)),1,2))</f>
        <v>2</v>
      </c>
      <c r="W18" s="1">
        <f t="shared" si="12"/>
        <v>0.66666666666666674</v>
      </c>
      <c r="X18" s="133">
        <f t="shared" si="3"/>
        <v>0.33333333333333326</v>
      </c>
      <c r="Y18" s="132">
        <f t="shared" si="4"/>
        <v>10.256410256410257</v>
      </c>
      <c r="Z18" s="1">
        <f t="shared" si="13"/>
        <v>6.7826051282051285</v>
      </c>
      <c r="AA18" s="1">
        <f t="shared" si="14"/>
        <v>3.3916370637667677</v>
      </c>
      <c r="AB18" s="1">
        <v>0</v>
      </c>
      <c r="AC18" s="1">
        <f t="shared" si="15"/>
        <v>2.3581564043248741E-2</v>
      </c>
      <c r="AD18" s="133">
        <f t="shared" si="16"/>
        <v>2.3581564043248741E-2</v>
      </c>
      <c r="AE18" s="132">
        <f t="shared" si="28"/>
        <v>1.1029333333333335</v>
      </c>
      <c r="AF18" s="1">
        <f t="shared" si="17"/>
        <v>2.769260066313318</v>
      </c>
      <c r="AG18" s="1">
        <f t="shared" si="5"/>
        <v>7.6688013148776425E-3</v>
      </c>
      <c r="AH18" s="1">
        <f t="shared" si="18"/>
        <v>0.1034573653865606</v>
      </c>
      <c r="AI18" s="133">
        <f t="shared" si="19"/>
        <v>0.11112616670143824</v>
      </c>
      <c r="AJ18" s="132">
        <f t="shared" si="20"/>
        <v>0.55146666666666655</v>
      </c>
      <c r="AK18" s="1">
        <f t="shared" si="21"/>
        <v>1.958162571759255</v>
      </c>
      <c r="AL18" s="1">
        <f t="shared" si="6"/>
        <v>3.8344006574388195E-3</v>
      </c>
      <c r="AM18" s="1">
        <f t="shared" si="22"/>
        <v>0.26083200000000001</v>
      </c>
      <c r="AN18" s="136">
        <f t="shared" si="29"/>
        <v>5.6431274666666677E-2</v>
      </c>
      <c r="AO18" s="133">
        <f t="shared" si="23"/>
        <v>0.32109767532410555</v>
      </c>
      <c r="AP18" s="132">
        <f t="shared" si="7"/>
        <v>2.3006403944632922E-2</v>
      </c>
      <c r="AQ18" s="137">
        <f t="shared" si="8"/>
        <v>2.3581564043248741E-2</v>
      </c>
      <c r="AR18" s="137">
        <f t="shared" si="9"/>
        <v>1.6152231232584866</v>
      </c>
      <c r="AS18" s="1">
        <f t="shared" si="10"/>
        <v>1.9759999999999996E-2</v>
      </c>
      <c r="AT18" s="133">
        <f t="shared" si="24"/>
        <v>0.08</v>
      </c>
      <c r="AU18" s="132">
        <f t="shared" si="25"/>
        <v>2.2173764973151608</v>
      </c>
      <c r="AV18" s="1">
        <f t="shared" si="26"/>
        <v>33.088000000000001</v>
      </c>
      <c r="AW18" s="133">
        <f t="shared" si="27"/>
        <v>93.719436762035997</v>
      </c>
    </row>
    <row r="19" spans="17:49" x14ac:dyDescent="0.15">
      <c r="Q19">
        <v>12</v>
      </c>
      <c r="R19" s="132">
        <f t="shared" si="0"/>
        <v>60</v>
      </c>
      <c r="S19" s="1">
        <f t="shared" si="1"/>
        <v>0.60159999999999991</v>
      </c>
      <c r="T19" s="1">
        <f t="shared" si="2"/>
        <v>20</v>
      </c>
      <c r="U19" s="133">
        <f t="shared" si="11"/>
        <v>1.8047999999999997</v>
      </c>
      <c r="V19" s="132">
        <f>IF(Calculations!$B$17=3,2,IF((S19*R19/T19)&lt;((T19*(1-(T19/R19)))/(2*Lm*fsw)),1,2))</f>
        <v>2</v>
      </c>
      <c r="W19" s="1">
        <f t="shared" si="12"/>
        <v>0.66666666666666674</v>
      </c>
      <c r="X19" s="133">
        <f t="shared" si="3"/>
        <v>0.33333333333333326</v>
      </c>
      <c r="Y19" s="132">
        <f t="shared" si="4"/>
        <v>10.256410256410257</v>
      </c>
      <c r="Z19" s="1">
        <f t="shared" si="13"/>
        <v>6.9330051282051279</v>
      </c>
      <c r="AA19" s="1">
        <f t="shared" si="14"/>
        <v>3.4674869361421479</v>
      </c>
      <c r="AB19" s="1">
        <v>0</v>
      </c>
      <c r="AC19" s="1">
        <f t="shared" si="15"/>
        <v>2.464810458724874E-2</v>
      </c>
      <c r="AD19" s="133">
        <f t="shared" si="16"/>
        <v>2.464810458724874E-2</v>
      </c>
      <c r="AE19" s="132">
        <f t="shared" si="28"/>
        <v>1.2032</v>
      </c>
      <c r="AF19" s="1">
        <f t="shared" si="17"/>
        <v>2.8311912277716202</v>
      </c>
      <c r="AG19" s="1">
        <f t="shared" si="5"/>
        <v>8.0156437682109751E-3</v>
      </c>
      <c r="AH19" s="1">
        <f t="shared" si="18"/>
        <v>0.11286258042170244</v>
      </c>
      <c r="AI19" s="133">
        <f t="shared" si="19"/>
        <v>0.12087822418991341</v>
      </c>
      <c r="AJ19" s="132">
        <f t="shared" si="20"/>
        <v>0.6015999999999998</v>
      </c>
      <c r="AK19" s="1">
        <f t="shared" si="21"/>
        <v>2.0019545159931793</v>
      </c>
      <c r="AL19" s="1">
        <f t="shared" si="6"/>
        <v>4.007821884105485E-3</v>
      </c>
      <c r="AM19" s="1">
        <f t="shared" si="22"/>
        <v>0.26083200000000001</v>
      </c>
      <c r="AN19" s="136">
        <f t="shared" si="29"/>
        <v>5.7682602666666673E-2</v>
      </c>
      <c r="AO19" s="133">
        <f t="shared" si="23"/>
        <v>0.32252242455077218</v>
      </c>
      <c r="AP19" s="132">
        <f t="shared" si="7"/>
        <v>2.404693130463292E-2</v>
      </c>
      <c r="AQ19" s="137">
        <f t="shared" si="8"/>
        <v>2.464810458724874E-2</v>
      </c>
      <c r="AR19" s="137">
        <f t="shared" si="9"/>
        <v>1.6152231232584866</v>
      </c>
      <c r="AS19" s="1">
        <f t="shared" si="10"/>
        <v>1.9759999999999996E-2</v>
      </c>
      <c r="AT19" s="133">
        <f t="shared" si="24"/>
        <v>0.08</v>
      </c>
      <c r="AU19" s="132">
        <f t="shared" si="25"/>
        <v>2.2317269124783028</v>
      </c>
      <c r="AV19" s="1">
        <f t="shared" si="26"/>
        <v>36.095999999999997</v>
      </c>
      <c r="AW19" s="133">
        <f t="shared" si="27"/>
        <v>94.177252103746028</v>
      </c>
    </row>
    <row r="20" spans="17:49" x14ac:dyDescent="0.15">
      <c r="Q20">
        <v>13</v>
      </c>
      <c r="R20" s="132">
        <f t="shared" si="0"/>
        <v>60</v>
      </c>
      <c r="S20" s="1">
        <f t="shared" si="1"/>
        <v>0.65173333333333328</v>
      </c>
      <c r="T20" s="1">
        <f t="shared" si="2"/>
        <v>20</v>
      </c>
      <c r="U20" s="133">
        <f t="shared" si="11"/>
        <v>1.9552</v>
      </c>
      <c r="V20" s="132">
        <f>IF(Calculations!$B$17=3,2,IF((S20*R20/T20)&lt;((T20*(1-(T20/R20)))/(2*Lm*fsw)),1,2))</f>
        <v>2</v>
      </c>
      <c r="W20" s="1">
        <f t="shared" si="12"/>
        <v>0.66666666666666674</v>
      </c>
      <c r="X20" s="133">
        <f t="shared" si="3"/>
        <v>0.33333333333333326</v>
      </c>
      <c r="Y20" s="132">
        <f t="shared" si="4"/>
        <v>10.256410256410257</v>
      </c>
      <c r="Z20" s="1">
        <f t="shared" si="13"/>
        <v>7.0834051282051291</v>
      </c>
      <c r="AA20" s="1">
        <f t="shared" si="14"/>
        <v>3.5480938054561721</v>
      </c>
      <c r="AB20" s="1">
        <v>0</v>
      </c>
      <c r="AC20" s="1">
        <f t="shared" si="15"/>
        <v>2.5807387787248743E-2</v>
      </c>
      <c r="AD20" s="133">
        <f t="shared" si="16"/>
        <v>2.5807387787248743E-2</v>
      </c>
      <c r="AE20" s="132">
        <f t="shared" si="28"/>
        <v>1.3034666666666668</v>
      </c>
      <c r="AF20" s="1">
        <f t="shared" si="17"/>
        <v>2.8970064609658093</v>
      </c>
      <c r="AG20" s="1">
        <f t="shared" si="5"/>
        <v>8.3926464348776427E-3</v>
      </c>
      <c r="AH20" s="1">
        <f t="shared" si="18"/>
        <v>0.12226779545684432</v>
      </c>
      <c r="AI20" s="133">
        <f t="shared" si="19"/>
        <v>0.13066044189172196</v>
      </c>
      <c r="AJ20" s="132">
        <f t="shared" si="20"/>
        <v>0.65173333333333316</v>
      </c>
      <c r="AK20" s="1">
        <f t="shared" si="21"/>
        <v>2.0484929136901648</v>
      </c>
      <c r="AL20" s="1">
        <f t="shared" si="6"/>
        <v>4.1963232174388214E-3</v>
      </c>
      <c r="AM20" s="1">
        <f t="shared" si="22"/>
        <v>0.26083200000000001</v>
      </c>
      <c r="AN20" s="136">
        <f t="shared" si="29"/>
        <v>5.8933930666666683E-2</v>
      </c>
      <c r="AO20" s="133">
        <f t="shared" si="23"/>
        <v>0.32396225388410554</v>
      </c>
      <c r="AP20" s="132">
        <f t="shared" si="7"/>
        <v>2.5177939304632923E-2</v>
      </c>
      <c r="AQ20" s="137">
        <f t="shared" si="8"/>
        <v>2.5807387787248743E-2</v>
      </c>
      <c r="AR20" s="137">
        <f t="shared" si="9"/>
        <v>1.6152231232584866</v>
      </c>
      <c r="AS20" s="1">
        <f t="shared" si="10"/>
        <v>1.9759999999999996E-2</v>
      </c>
      <c r="AT20" s="133">
        <f t="shared" si="24"/>
        <v>0.08</v>
      </c>
      <c r="AU20" s="132">
        <f t="shared" si="25"/>
        <v>2.2463985339134447</v>
      </c>
      <c r="AV20" s="1">
        <f t="shared" si="26"/>
        <v>39.103999999999999</v>
      </c>
      <c r="AW20" s="133">
        <f t="shared" si="27"/>
        <v>94.567407779465384</v>
      </c>
    </row>
    <row r="21" spans="17:49" x14ac:dyDescent="0.15">
      <c r="Q21">
        <v>14</v>
      </c>
      <c r="R21" s="132">
        <f t="shared" si="0"/>
        <v>60</v>
      </c>
      <c r="S21" s="1">
        <f t="shared" si="1"/>
        <v>0.70186666666666664</v>
      </c>
      <c r="T21" s="1">
        <f t="shared" si="2"/>
        <v>20</v>
      </c>
      <c r="U21" s="133">
        <f t="shared" si="11"/>
        <v>2.1055999999999999</v>
      </c>
      <c r="V21" s="132">
        <f>IF(Calculations!$B$17=3,2,IF((S21*R21/T21)&lt;((T21*(1-(T21/R21)))/(2*Lm*fsw)),1,2))</f>
        <v>2</v>
      </c>
      <c r="W21" s="1">
        <f t="shared" si="12"/>
        <v>0.66666666666666674</v>
      </c>
      <c r="X21" s="133">
        <f t="shared" si="3"/>
        <v>0.33333333333333326</v>
      </c>
      <c r="Y21" s="132">
        <f t="shared" si="4"/>
        <v>10.256410256410257</v>
      </c>
      <c r="Z21" s="1">
        <f t="shared" si="13"/>
        <v>7.2338051282051286</v>
      </c>
      <c r="AA21" s="1">
        <f t="shared" si="14"/>
        <v>3.633141061439324</v>
      </c>
      <c r="AB21" s="1">
        <v>0</v>
      </c>
      <c r="AC21" s="1">
        <f t="shared" si="15"/>
        <v>2.7059413643248733E-2</v>
      </c>
      <c r="AD21" s="133">
        <f t="shared" si="16"/>
        <v>2.7059413643248733E-2</v>
      </c>
      <c r="AE21" s="132">
        <f t="shared" si="28"/>
        <v>1.4037333333333335</v>
      </c>
      <c r="AF21" s="1">
        <f t="shared" si="17"/>
        <v>2.9664472546933376</v>
      </c>
      <c r="AG21" s="1">
        <f t="shared" si="5"/>
        <v>8.7998093148776383E-3</v>
      </c>
      <c r="AH21" s="1">
        <f t="shared" si="18"/>
        <v>0.13167301049198621</v>
      </c>
      <c r="AI21" s="133">
        <f t="shared" si="19"/>
        <v>0.14047281980686385</v>
      </c>
      <c r="AJ21" s="132">
        <f t="shared" si="20"/>
        <v>0.70186666666666653</v>
      </c>
      <c r="AK21" s="1">
        <f t="shared" si="21"/>
        <v>2.0975949698258765</v>
      </c>
      <c r="AL21" s="1">
        <f t="shared" si="6"/>
        <v>4.3999046574388192E-3</v>
      </c>
      <c r="AM21" s="1">
        <f t="shared" si="22"/>
        <v>0.26083200000000001</v>
      </c>
      <c r="AN21" s="136">
        <f t="shared" si="29"/>
        <v>6.0185258666666679E-2</v>
      </c>
      <c r="AO21" s="133">
        <f t="shared" si="23"/>
        <v>0.32541716332410553</v>
      </c>
      <c r="AP21" s="132">
        <f t="shared" si="7"/>
        <v>2.6399427944632917E-2</v>
      </c>
      <c r="AQ21" s="137">
        <f t="shared" si="8"/>
        <v>2.7059413643248733E-2</v>
      </c>
      <c r="AR21" s="137">
        <f t="shared" si="9"/>
        <v>1.6152231232584866</v>
      </c>
      <c r="AS21" s="1">
        <f t="shared" si="10"/>
        <v>1.9759999999999996E-2</v>
      </c>
      <c r="AT21" s="133">
        <f t="shared" si="24"/>
        <v>0.08</v>
      </c>
      <c r="AU21" s="132">
        <f t="shared" si="25"/>
        <v>2.2613913616205865</v>
      </c>
      <c r="AV21" s="1">
        <f t="shared" si="26"/>
        <v>42.111999999999995</v>
      </c>
      <c r="AW21" s="133">
        <f t="shared" si="27"/>
        <v>94.903722045512822</v>
      </c>
    </row>
    <row r="22" spans="17:49" x14ac:dyDescent="0.15">
      <c r="Q22">
        <v>15</v>
      </c>
      <c r="R22" s="132">
        <f t="shared" si="0"/>
        <v>60</v>
      </c>
      <c r="S22" s="1">
        <f t="shared" si="1"/>
        <v>0.75199999999999989</v>
      </c>
      <c r="T22" s="1">
        <f t="shared" si="2"/>
        <v>20</v>
      </c>
      <c r="U22" s="133">
        <f t="shared" si="11"/>
        <v>2.2559999999999993</v>
      </c>
      <c r="V22" s="132">
        <f>IF(Calculations!$B$17=3,2,IF((S22*R22/T22)&lt;((T22*(1-(T22/R22)))/(2*Lm*fsw)),1,2))</f>
        <v>2</v>
      </c>
      <c r="W22" s="1">
        <f t="shared" si="12"/>
        <v>0.66666666666666674</v>
      </c>
      <c r="X22" s="133">
        <f t="shared" si="3"/>
        <v>0.33333333333333326</v>
      </c>
      <c r="Y22" s="132">
        <f t="shared" si="4"/>
        <v>10.256410256410257</v>
      </c>
      <c r="Z22" s="1">
        <f t="shared" si="13"/>
        <v>7.384205128205128</v>
      </c>
      <c r="AA22" s="1">
        <f t="shared" si="14"/>
        <v>3.7223243561404558</v>
      </c>
      <c r="AB22" s="1">
        <v>0</v>
      </c>
      <c r="AC22" s="1">
        <f t="shared" si="15"/>
        <v>2.8404182155248738E-2</v>
      </c>
      <c r="AD22" s="133">
        <f t="shared" si="16"/>
        <v>2.8404182155248738E-2</v>
      </c>
      <c r="AE22" s="132">
        <f t="shared" si="28"/>
        <v>1.5039999999999998</v>
      </c>
      <c r="AF22" s="1">
        <f t="shared" si="17"/>
        <v>3.0392651098926815</v>
      </c>
      <c r="AG22" s="1">
        <f t="shared" si="5"/>
        <v>9.237132408210974E-3</v>
      </c>
      <c r="AH22" s="1">
        <f t="shared" si="18"/>
        <v>0.14107822552712801</v>
      </c>
      <c r="AI22" s="133">
        <f t="shared" si="19"/>
        <v>0.15031535793533898</v>
      </c>
      <c r="AJ22" s="132">
        <f t="shared" si="20"/>
        <v>0.75199999999999956</v>
      </c>
      <c r="AK22" s="1">
        <f t="shared" si="21"/>
        <v>2.1490849690287925</v>
      </c>
      <c r="AL22" s="1">
        <f t="shared" si="6"/>
        <v>4.6185662041054861E-3</v>
      </c>
      <c r="AM22" s="1">
        <f t="shared" si="22"/>
        <v>0.26083200000000001</v>
      </c>
      <c r="AN22" s="136">
        <f t="shared" si="29"/>
        <v>6.1436586666666675E-2</v>
      </c>
      <c r="AO22" s="133">
        <f t="shared" si="23"/>
        <v>0.32688715287077219</v>
      </c>
      <c r="AP22" s="132">
        <f t="shared" si="7"/>
        <v>2.7711397224632919E-2</v>
      </c>
      <c r="AQ22" s="137">
        <f t="shared" si="8"/>
        <v>2.8404182155248738E-2</v>
      </c>
      <c r="AR22" s="137">
        <f t="shared" si="9"/>
        <v>1.6152231232584866</v>
      </c>
      <c r="AS22" s="1">
        <f t="shared" si="10"/>
        <v>1.9759999999999996E-2</v>
      </c>
      <c r="AT22" s="133">
        <f t="shared" si="24"/>
        <v>0.08</v>
      </c>
      <c r="AU22" s="132">
        <f t="shared" si="25"/>
        <v>2.2767053955997283</v>
      </c>
      <c r="AV22" s="1">
        <f t="shared" si="26"/>
        <v>45.11999999999999</v>
      </c>
      <c r="AW22" s="133">
        <f t="shared" si="27"/>
        <v>95.19649018513617</v>
      </c>
    </row>
    <row r="23" spans="17:49" x14ac:dyDescent="0.15">
      <c r="Q23">
        <v>16</v>
      </c>
      <c r="R23" s="132">
        <f t="shared" si="0"/>
        <v>60</v>
      </c>
      <c r="S23" s="1">
        <f t="shared" si="1"/>
        <v>0.80213333333333325</v>
      </c>
      <c r="T23" s="1">
        <f t="shared" si="2"/>
        <v>20</v>
      </c>
      <c r="U23" s="133">
        <f t="shared" si="11"/>
        <v>2.4063999999999997</v>
      </c>
      <c r="V23" s="132">
        <f>IF(Calculations!$B$17=3,2,IF((S23*R23/T23)&lt;((T23*(1-(T23/R23)))/(2*Lm*fsw)),1,2))</f>
        <v>2</v>
      </c>
      <c r="W23" s="1">
        <f t="shared" si="12"/>
        <v>0.66666666666666674</v>
      </c>
      <c r="X23" s="133">
        <f t="shared" si="3"/>
        <v>0.33333333333333326</v>
      </c>
      <c r="Y23" s="132">
        <f t="shared" si="4"/>
        <v>10.256410256410257</v>
      </c>
      <c r="Z23" s="1">
        <f t="shared" si="13"/>
        <v>7.5346051282051283</v>
      </c>
      <c r="AA23" s="1">
        <f t="shared" si="14"/>
        <v>3.8153536628098395</v>
      </c>
      <c r="AB23" s="1">
        <v>0</v>
      </c>
      <c r="AC23" s="1">
        <f t="shared" si="15"/>
        <v>2.9841693323248736E-2</v>
      </c>
      <c r="AD23" s="133">
        <f t="shared" si="16"/>
        <v>2.9841693323248736E-2</v>
      </c>
      <c r="AE23" s="132">
        <f t="shared" si="28"/>
        <v>1.6042666666666665</v>
      </c>
      <c r="AF23" s="1">
        <f t="shared" si="17"/>
        <v>3.1152232207143107</v>
      </c>
      <c r="AG23" s="1">
        <f t="shared" si="5"/>
        <v>9.704615714877643E-3</v>
      </c>
      <c r="AH23" s="1">
        <f t="shared" si="18"/>
        <v>0.15048344056226995</v>
      </c>
      <c r="AI23" s="133">
        <f t="shared" si="19"/>
        <v>0.16018805627714761</v>
      </c>
      <c r="AJ23" s="132">
        <f t="shared" si="20"/>
        <v>0.80213333333333303</v>
      </c>
      <c r="AK23" s="1">
        <f t="shared" si="21"/>
        <v>2.2027954642768854</v>
      </c>
      <c r="AL23" s="1">
        <f t="shared" si="6"/>
        <v>4.8523078574388189E-3</v>
      </c>
      <c r="AM23" s="1">
        <f t="shared" si="22"/>
        <v>0.26083200000000001</v>
      </c>
      <c r="AN23" s="136">
        <f t="shared" si="29"/>
        <v>6.2687914666666678E-2</v>
      </c>
      <c r="AO23" s="133">
        <f t="shared" si="23"/>
        <v>0.32837222252410553</v>
      </c>
      <c r="AP23" s="132">
        <f t="shared" si="7"/>
        <v>2.9113847144632918E-2</v>
      </c>
      <c r="AQ23" s="137">
        <f t="shared" si="8"/>
        <v>2.9841693323248736E-2</v>
      </c>
      <c r="AR23" s="137">
        <f t="shared" si="9"/>
        <v>1.6152231232584866</v>
      </c>
      <c r="AS23" s="1">
        <f t="shared" si="10"/>
        <v>1.9759999999999996E-2</v>
      </c>
      <c r="AT23" s="133">
        <f t="shared" si="24"/>
        <v>0.08</v>
      </c>
      <c r="AU23" s="132">
        <f t="shared" si="25"/>
        <v>2.29234063585087</v>
      </c>
      <c r="AV23" s="1">
        <f t="shared" si="26"/>
        <v>48.127999999999993</v>
      </c>
      <c r="AW23" s="133">
        <f t="shared" si="27"/>
        <v>95.453539966326744</v>
      </c>
    </row>
    <row r="24" spans="17:49" x14ac:dyDescent="0.15">
      <c r="Q24">
        <v>17</v>
      </c>
      <c r="R24" s="132">
        <f t="shared" si="0"/>
        <v>60</v>
      </c>
      <c r="S24" s="1">
        <f t="shared" si="1"/>
        <v>0.85226666666666662</v>
      </c>
      <c r="T24" s="1">
        <f t="shared" si="2"/>
        <v>20</v>
      </c>
      <c r="U24" s="133">
        <f t="shared" si="11"/>
        <v>2.5568</v>
      </c>
      <c r="V24" s="132">
        <f>IF(Calculations!$B$17=3,2,IF((S24*R24/T24)&lt;((T24*(1-(T24/R24)))/(2*Lm*fsw)),1,2))</f>
        <v>2</v>
      </c>
      <c r="W24" s="1">
        <f t="shared" si="12"/>
        <v>0.66666666666666674</v>
      </c>
      <c r="X24" s="133">
        <f t="shared" si="3"/>
        <v>0.33333333333333326</v>
      </c>
      <c r="Y24" s="132">
        <f t="shared" si="4"/>
        <v>10.256410256410257</v>
      </c>
      <c r="Z24" s="1">
        <f t="shared" si="13"/>
        <v>7.6850051282051286</v>
      </c>
      <c r="AA24" s="1">
        <f t="shared" si="14"/>
        <v>3.9119546076503058</v>
      </c>
      <c r="AB24" s="1">
        <v>0</v>
      </c>
      <c r="AC24" s="1">
        <f t="shared" si="15"/>
        <v>3.1371947147248731E-2</v>
      </c>
      <c r="AD24" s="133">
        <f t="shared" si="16"/>
        <v>3.1371947147248731E-2</v>
      </c>
      <c r="AE24" s="132">
        <f t="shared" si="28"/>
        <v>1.7045333333333335</v>
      </c>
      <c r="AF24" s="1">
        <f t="shared" si="17"/>
        <v>3.1940975618909389</v>
      </c>
      <c r="AG24" s="1">
        <f t="shared" si="5"/>
        <v>1.0202259234877642E-2</v>
      </c>
      <c r="AH24" s="1">
        <f t="shared" si="18"/>
        <v>0.15988865559741181</v>
      </c>
      <c r="AI24" s="133">
        <f t="shared" si="19"/>
        <v>0.17009091483228944</v>
      </c>
      <c r="AJ24" s="132">
        <f t="shared" si="20"/>
        <v>0.85226666666666651</v>
      </c>
      <c r="AK24" s="1">
        <f t="shared" si="21"/>
        <v>2.2585680457845005</v>
      </c>
      <c r="AL24" s="1">
        <f t="shared" si="6"/>
        <v>5.1011296174388173E-3</v>
      </c>
      <c r="AM24" s="1">
        <f t="shared" si="22"/>
        <v>0.26083200000000001</v>
      </c>
      <c r="AN24" s="136">
        <f t="shared" si="29"/>
        <v>6.3939242666666674E-2</v>
      </c>
      <c r="AO24" s="133">
        <f t="shared" si="23"/>
        <v>0.32987237228410549</v>
      </c>
      <c r="AP24" s="132">
        <f t="shared" si="7"/>
        <v>3.0606777704632916E-2</v>
      </c>
      <c r="AQ24" s="137">
        <f t="shared" si="8"/>
        <v>3.1371947147248731E-2</v>
      </c>
      <c r="AR24" s="137">
        <f t="shared" si="9"/>
        <v>1.6152231232584866</v>
      </c>
      <c r="AS24" s="1">
        <f t="shared" si="10"/>
        <v>1.9759999999999996E-2</v>
      </c>
      <c r="AT24" s="133">
        <f t="shared" si="24"/>
        <v>0.08</v>
      </c>
      <c r="AU24" s="132">
        <f t="shared" si="25"/>
        <v>2.3082970823740121</v>
      </c>
      <c r="AV24" s="1">
        <f t="shared" si="26"/>
        <v>51.135999999999996</v>
      </c>
      <c r="AW24" s="133">
        <f t="shared" si="27"/>
        <v>95.680929101160757</v>
      </c>
    </row>
    <row r="25" spans="17:49" x14ac:dyDescent="0.15">
      <c r="Q25">
        <v>18</v>
      </c>
      <c r="R25" s="132">
        <f t="shared" si="0"/>
        <v>60</v>
      </c>
      <c r="S25" s="1">
        <f t="shared" si="1"/>
        <v>0.90239999999999987</v>
      </c>
      <c r="T25" s="1">
        <f t="shared" si="2"/>
        <v>20</v>
      </c>
      <c r="U25" s="133">
        <f t="shared" si="11"/>
        <v>2.7071999999999994</v>
      </c>
      <c r="V25" s="132">
        <f>IF(Calculations!$B$17=3,2,IF((S25*R25/T25)&lt;((T25*(1-(T25/R25)))/(2*Lm*fsw)),1,2))</f>
        <v>2</v>
      </c>
      <c r="W25" s="1">
        <f t="shared" si="12"/>
        <v>0.66666666666666674</v>
      </c>
      <c r="X25" s="133">
        <f t="shared" si="3"/>
        <v>0.33333333333333326</v>
      </c>
      <c r="Y25" s="132">
        <f t="shared" si="4"/>
        <v>10.256410256410257</v>
      </c>
      <c r="Z25" s="1">
        <f t="shared" si="13"/>
        <v>7.835405128205128</v>
      </c>
      <c r="AA25" s="1">
        <f t="shared" si="14"/>
        <v>4.0118691968104416</v>
      </c>
      <c r="AB25" s="1">
        <v>0</v>
      </c>
      <c r="AC25" s="1">
        <f t="shared" si="15"/>
        <v>3.2994943627248738E-2</v>
      </c>
      <c r="AD25" s="133">
        <f t="shared" si="16"/>
        <v>3.2994943627248738E-2</v>
      </c>
      <c r="AE25" s="132">
        <f t="shared" si="28"/>
        <v>1.8047999999999997</v>
      </c>
      <c r="AF25" s="1">
        <f t="shared" si="17"/>
        <v>3.2756774823249897</v>
      </c>
      <c r="AG25" s="1">
        <f t="shared" si="5"/>
        <v>1.0730062968210984E-2</v>
      </c>
      <c r="AH25" s="1">
        <f t="shared" si="18"/>
        <v>0.16929387063255366</v>
      </c>
      <c r="AI25" s="133">
        <f t="shared" si="19"/>
        <v>0.18002393360076466</v>
      </c>
      <c r="AJ25" s="132">
        <f t="shared" si="20"/>
        <v>0.90239999999999965</v>
      </c>
      <c r="AK25" s="1">
        <f t="shared" si="21"/>
        <v>2.316253760732077</v>
      </c>
      <c r="AL25" s="1">
        <f t="shared" si="6"/>
        <v>5.3650314841054902E-3</v>
      </c>
      <c r="AM25" s="1">
        <f t="shared" si="22"/>
        <v>0.26083200000000001</v>
      </c>
      <c r="AN25" s="136">
        <f t="shared" si="29"/>
        <v>6.519057066666667E-2</v>
      </c>
      <c r="AO25" s="133">
        <f t="shared" si="23"/>
        <v>0.33138760215077218</v>
      </c>
      <c r="AP25" s="132">
        <f t="shared" si="7"/>
        <v>3.2190188904632919E-2</v>
      </c>
      <c r="AQ25" s="137">
        <f t="shared" si="8"/>
        <v>3.2994943627248738E-2</v>
      </c>
      <c r="AR25" s="137">
        <f t="shared" si="9"/>
        <v>1.6152231232584866</v>
      </c>
      <c r="AS25" s="1">
        <f t="shared" si="10"/>
        <v>1.9759999999999996E-2</v>
      </c>
      <c r="AT25" s="133">
        <f t="shared" si="24"/>
        <v>0.08</v>
      </c>
      <c r="AU25" s="132">
        <f t="shared" si="25"/>
        <v>2.3245747351691537</v>
      </c>
      <c r="AV25" s="1">
        <f t="shared" si="26"/>
        <v>54.143999999999991</v>
      </c>
      <c r="AW25" s="133">
        <f t="shared" si="27"/>
        <v>95.883418793424255</v>
      </c>
    </row>
    <row r="26" spans="17:49" x14ac:dyDescent="0.15">
      <c r="Q26">
        <v>19</v>
      </c>
      <c r="R26" s="132">
        <f t="shared" si="0"/>
        <v>60</v>
      </c>
      <c r="S26" s="1">
        <f t="shared" si="1"/>
        <v>0.95253333333333323</v>
      </c>
      <c r="T26" s="1">
        <f t="shared" si="2"/>
        <v>20</v>
      </c>
      <c r="U26" s="133">
        <f t="shared" si="11"/>
        <v>2.8575999999999997</v>
      </c>
      <c r="V26" s="132">
        <f>IF(Calculations!$B$17=3,2,IF((S26*R26/T26)&lt;((T26*(1-(T26/R26)))/(2*Lm*fsw)),1,2))</f>
        <v>2</v>
      </c>
      <c r="W26" s="1">
        <f t="shared" si="12"/>
        <v>0.66666666666666674</v>
      </c>
      <c r="X26" s="133">
        <f t="shared" si="3"/>
        <v>0.33333333333333326</v>
      </c>
      <c r="Y26" s="132">
        <f t="shared" si="4"/>
        <v>10.256410256410257</v>
      </c>
      <c r="Z26" s="1">
        <f t="shared" si="13"/>
        <v>7.9858051282051283</v>
      </c>
      <c r="AA26" s="1">
        <f t="shared" si="14"/>
        <v>4.1148560573021822</v>
      </c>
      <c r="AB26" s="1">
        <v>0</v>
      </c>
      <c r="AC26" s="1">
        <f t="shared" si="15"/>
        <v>3.4710682763248742E-2</v>
      </c>
      <c r="AD26" s="133">
        <f t="shared" si="16"/>
        <v>3.4710682763248742E-2</v>
      </c>
      <c r="AE26" s="132">
        <f t="shared" si="28"/>
        <v>1.9050666666666667</v>
      </c>
      <c r="AF26" s="1">
        <f t="shared" si="17"/>
        <v>3.3597659017969743</v>
      </c>
      <c r="AG26" s="1">
        <f t="shared" si="5"/>
        <v>1.1288026914877635E-2</v>
      </c>
      <c r="AH26" s="1">
        <f t="shared" si="18"/>
        <v>0.17869908566769555</v>
      </c>
      <c r="AI26" s="133">
        <f t="shared" si="19"/>
        <v>0.18998711258257317</v>
      </c>
      <c r="AJ26" s="132">
        <f t="shared" si="20"/>
        <v>0.95253333333333301</v>
      </c>
      <c r="AK26" s="1">
        <f t="shared" si="21"/>
        <v>2.3757132523599762</v>
      </c>
      <c r="AL26" s="1">
        <f t="shared" si="6"/>
        <v>5.6440134574388158E-3</v>
      </c>
      <c r="AM26" s="1">
        <f t="shared" si="22"/>
        <v>0.26083200000000001</v>
      </c>
      <c r="AN26" s="136">
        <f t="shared" si="29"/>
        <v>6.6441898666666679E-2</v>
      </c>
      <c r="AO26" s="133">
        <f t="shared" si="23"/>
        <v>0.33291791212410549</v>
      </c>
      <c r="AP26" s="132">
        <f t="shared" si="7"/>
        <v>3.3864080744632923E-2</v>
      </c>
      <c r="AQ26" s="137">
        <f t="shared" si="8"/>
        <v>3.4710682763248742E-2</v>
      </c>
      <c r="AR26" s="137">
        <f t="shared" si="9"/>
        <v>1.6152231232584866</v>
      </c>
      <c r="AS26" s="1">
        <f t="shared" si="10"/>
        <v>1.9759999999999996E-2</v>
      </c>
      <c r="AT26" s="133">
        <f t="shared" si="24"/>
        <v>0.08</v>
      </c>
      <c r="AU26" s="132">
        <f t="shared" si="25"/>
        <v>2.3411735942362957</v>
      </c>
      <c r="AV26" s="1">
        <f t="shared" si="26"/>
        <v>57.151999999999994</v>
      </c>
      <c r="AW26" s="133">
        <f t="shared" si="27"/>
        <v>96.064802980247947</v>
      </c>
    </row>
    <row r="27" spans="17:49" x14ac:dyDescent="0.15">
      <c r="Q27">
        <v>20</v>
      </c>
      <c r="R27" s="132">
        <f t="shared" si="0"/>
        <v>60</v>
      </c>
      <c r="S27" s="1">
        <f t="shared" si="1"/>
        <v>1.0026666666666666</v>
      </c>
      <c r="T27" s="1">
        <f t="shared" si="2"/>
        <v>20</v>
      </c>
      <c r="U27" s="133">
        <f t="shared" si="11"/>
        <v>3.008</v>
      </c>
      <c r="V27" s="132">
        <f>IF(Calculations!$B$17=3,2,IF((S27*R27/T27)&lt;((T27*(1-(T27/R27)))/(2*Lm*fsw)),1,2))</f>
        <v>2</v>
      </c>
      <c r="W27" s="1">
        <f t="shared" si="12"/>
        <v>0.66666666666666674</v>
      </c>
      <c r="X27" s="133">
        <f t="shared" si="3"/>
        <v>0.33333333333333326</v>
      </c>
      <c r="Y27" s="132">
        <f t="shared" si="4"/>
        <v>10.256410256410257</v>
      </c>
      <c r="Z27" s="1">
        <f t="shared" si="13"/>
        <v>8.1362051282051286</v>
      </c>
      <c r="AA27" s="1">
        <f t="shared" si="14"/>
        <v>4.2206903004504444</v>
      </c>
      <c r="AB27" s="1">
        <v>0</v>
      </c>
      <c r="AC27" s="1">
        <f t="shared" si="15"/>
        <v>3.651916455524875E-2</v>
      </c>
      <c r="AD27" s="133">
        <f t="shared" si="16"/>
        <v>3.651916455524875E-2</v>
      </c>
      <c r="AE27" s="132">
        <f t="shared" si="28"/>
        <v>2.0053333333333336</v>
      </c>
      <c r="AF27" s="1">
        <f t="shared" si="17"/>
        <v>3.4461791994726045</v>
      </c>
      <c r="AG27" s="1">
        <f t="shared" si="5"/>
        <v>1.1876151074877642E-2</v>
      </c>
      <c r="AH27" s="1">
        <f t="shared" si="18"/>
        <v>0.18810430070283743</v>
      </c>
      <c r="AI27" s="133">
        <f t="shared" si="19"/>
        <v>0.19998045177771506</v>
      </c>
      <c r="AJ27" s="132">
        <f t="shared" si="20"/>
        <v>1.0026666666666664</v>
      </c>
      <c r="AK27" s="1">
        <f t="shared" si="21"/>
        <v>2.4368166811311061</v>
      </c>
      <c r="AL27" s="1">
        <f t="shared" si="6"/>
        <v>5.9380755374388184E-3</v>
      </c>
      <c r="AM27" s="1">
        <f t="shared" si="22"/>
        <v>0.26083200000000001</v>
      </c>
      <c r="AN27" s="136">
        <f t="shared" si="29"/>
        <v>6.7693226666666675E-2</v>
      </c>
      <c r="AO27" s="133">
        <f t="shared" si="23"/>
        <v>0.33446330220410547</v>
      </c>
      <c r="AP27" s="132">
        <f t="shared" si="7"/>
        <v>3.5628453224632928E-2</v>
      </c>
      <c r="AQ27" s="137">
        <f t="shared" si="8"/>
        <v>3.651916455524875E-2</v>
      </c>
      <c r="AR27" s="137">
        <f t="shared" si="9"/>
        <v>1.6152231232584866</v>
      </c>
      <c r="AS27" s="1">
        <f t="shared" si="10"/>
        <v>1.9759999999999996E-2</v>
      </c>
      <c r="AT27" s="133">
        <f t="shared" si="24"/>
        <v>0.08</v>
      </c>
      <c r="AU27" s="132">
        <f t="shared" si="25"/>
        <v>2.3580936595754376</v>
      </c>
      <c r="AV27" s="1">
        <f t="shared" si="26"/>
        <v>60.16</v>
      </c>
      <c r="AW27" s="133">
        <f t="shared" si="27"/>
        <v>96.228142092086543</v>
      </c>
    </row>
    <row r="28" spans="17:49" x14ac:dyDescent="0.15">
      <c r="Q28">
        <v>21</v>
      </c>
      <c r="R28" s="132">
        <f t="shared" si="0"/>
        <v>60</v>
      </c>
      <c r="S28" s="1">
        <f t="shared" si="1"/>
        <v>1.0528</v>
      </c>
      <c r="T28" s="1">
        <f t="shared" si="2"/>
        <v>20</v>
      </c>
      <c r="U28" s="133">
        <f t="shared" si="11"/>
        <v>3.1583999999999999</v>
      </c>
      <c r="V28" s="132">
        <f>IF(Calculations!$B$17=3,2,IF((S28*R28/T28)&lt;((T28*(1-(T28/R28)))/(2*Lm*fsw)),1,2))</f>
        <v>2</v>
      </c>
      <c r="W28" s="1">
        <f t="shared" si="12"/>
        <v>0.66666666666666674</v>
      </c>
      <c r="X28" s="133">
        <f t="shared" si="3"/>
        <v>0.33333333333333326</v>
      </c>
      <c r="Y28" s="132">
        <f t="shared" si="4"/>
        <v>10.256410256410257</v>
      </c>
      <c r="Z28" s="1">
        <f t="shared" si="13"/>
        <v>8.2866051282051281</v>
      </c>
      <c r="AA28" s="1">
        <f t="shared" si="14"/>
        <v>4.3291631029930553</v>
      </c>
      <c r="AB28" s="1">
        <v>0</v>
      </c>
      <c r="AC28" s="1">
        <f t="shared" si="15"/>
        <v>3.8420389003248734E-2</v>
      </c>
      <c r="AD28" s="133">
        <f t="shared" si="16"/>
        <v>3.8420389003248734E-2</v>
      </c>
      <c r="AE28" s="132">
        <f t="shared" si="28"/>
        <v>2.1056000000000004</v>
      </c>
      <c r="AF28" s="1">
        <f t="shared" si="17"/>
        <v>3.534746871872295</v>
      </c>
      <c r="AG28" s="1">
        <f t="shared" si="5"/>
        <v>1.2494435448210975E-2</v>
      </c>
      <c r="AH28" s="1">
        <f t="shared" si="18"/>
        <v>0.19750951573797931</v>
      </c>
      <c r="AI28" s="133">
        <f t="shared" si="19"/>
        <v>0.21000395118619028</v>
      </c>
      <c r="AJ28" s="132">
        <f t="shared" si="20"/>
        <v>1.0527999999999997</v>
      </c>
      <c r="AK28" s="1">
        <f t="shared" si="21"/>
        <v>2.4994434828788359</v>
      </c>
      <c r="AL28" s="1">
        <f t="shared" si="6"/>
        <v>6.2472177241054859E-3</v>
      </c>
      <c r="AM28" s="1">
        <f t="shared" si="22"/>
        <v>0.26083200000000001</v>
      </c>
      <c r="AN28" s="136">
        <f t="shared" si="29"/>
        <v>6.8944554666666671E-2</v>
      </c>
      <c r="AO28" s="133">
        <f t="shared" si="23"/>
        <v>0.33602377239077214</v>
      </c>
      <c r="AP28" s="132">
        <f t="shared" si="7"/>
        <v>3.7483306344632913E-2</v>
      </c>
      <c r="AQ28" s="137">
        <f t="shared" si="8"/>
        <v>3.8420389003248734E-2</v>
      </c>
      <c r="AR28" s="137">
        <f t="shared" si="9"/>
        <v>1.6152231232584866</v>
      </c>
      <c r="AS28" s="1">
        <f t="shared" si="10"/>
        <v>1.9759999999999996E-2</v>
      </c>
      <c r="AT28" s="133">
        <f t="shared" si="24"/>
        <v>0.08</v>
      </c>
      <c r="AU28" s="132">
        <f t="shared" si="25"/>
        <v>2.3753349311865795</v>
      </c>
      <c r="AV28" s="1">
        <f t="shared" si="26"/>
        <v>63.167999999999999</v>
      </c>
      <c r="AW28" s="133">
        <f t="shared" si="27"/>
        <v>96.375932146753868</v>
      </c>
    </row>
    <row r="29" spans="17:49" x14ac:dyDescent="0.15">
      <c r="Q29">
        <v>22</v>
      </c>
      <c r="R29" s="132">
        <f t="shared" si="0"/>
        <v>60</v>
      </c>
      <c r="S29" s="1">
        <f t="shared" si="1"/>
        <v>1.1029333333333333</v>
      </c>
      <c r="T29" s="1">
        <f t="shared" si="2"/>
        <v>20</v>
      </c>
      <c r="U29" s="133">
        <f t="shared" si="11"/>
        <v>3.3088000000000002</v>
      </c>
      <c r="V29" s="132">
        <f>IF(Calculations!$B$17=3,2,IF((S29*R29/T29)&lt;((T29*(1-(T29/R29)))/(2*Lm*fsw)),1,2))</f>
        <v>2</v>
      </c>
      <c r="W29" s="1">
        <f t="shared" si="12"/>
        <v>0.66666666666666674</v>
      </c>
      <c r="X29" s="133">
        <f t="shared" si="3"/>
        <v>0.33333333333333326</v>
      </c>
      <c r="Y29" s="132">
        <f t="shared" si="4"/>
        <v>10.256410256410257</v>
      </c>
      <c r="Z29" s="1">
        <f t="shared" si="13"/>
        <v>8.4370051282051293</v>
      </c>
      <c r="AA29" s="1">
        <f t="shared" si="14"/>
        <v>4.4400810862321487</v>
      </c>
      <c r="AB29" s="1">
        <v>0</v>
      </c>
      <c r="AC29" s="1">
        <f t="shared" si="15"/>
        <v>4.0414356107248729E-2</v>
      </c>
      <c r="AD29" s="133">
        <f t="shared" si="16"/>
        <v>4.0414356107248729E-2</v>
      </c>
      <c r="AE29" s="132">
        <f t="shared" si="28"/>
        <v>2.2058666666666671</v>
      </c>
      <c r="AF29" s="1">
        <f t="shared" si="17"/>
        <v>3.6253110259504142</v>
      </c>
      <c r="AG29" s="1">
        <f t="shared" si="5"/>
        <v>1.3142880034877645E-2</v>
      </c>
      <c r="AH29" s="1">
        <f t="shared" si="18"/>
        <v>0.2069147307731212</v>
      </c>
      <c r="AI29" s="133">
        <f t="shared" si="19"/>
        <v>0.22005761080799885</v>
      </c>
      <c r="AJ29" s="132">
        <f t="shared" si="20"/>
        <v>1.1029333333333331</v>
      </c>
      <c r="AK29" s="1">
        <f t="shared" si="21"/>
        <v>2.5634820103598974</v>
      </c>
      <c r="AL29" s="1">
        <f t="shared" si="6"/>
        <v>6.5714400174388208E-3</v>
      </c>
      <c r="AM29" s="1">
        <f t="shared" si="22"/>
        <v>0.26083200000000001</v>
      </c>
      <c r="AN29" s="136">
        <f t="shared" si="29"/>
        <v>7.0195882666666681E-2</v>
      </c>
      <c r="AO29" s="133">
        <f t="shared" si="23"/>
        <v>0.33759932268410553</v>
      </c>
      <c r="AP29" s="132">
        <f t="shared" si="7"/>
        <v>3.9428640104632914E-2</v>
      </c>
      <c r="AQ29" s="137">
        <f t="shared" si="8"/>
        <v>4.0414356107248729E-2</v>
      </c>
      <c r="AR29" s="137">
        <f t="shared" si="9"/>
        <v>1.6152231232584866</v>
      </c>
      <c r="AS29" s="1">
        <f t="shared" si="10"/>
        <v>1.9759999999999996E-2</v>
      </c>
      <c r="AT29" s="133">
        <f t="shared" si="24"/>
        <v>0.08</v>
      </c>
      <c r="AU29" s="132">
        <f t="shared" si="25"/>
        <v>2.3928974090697213</v>
      </c>
      <c r="AV29" s="1">
        <f t="shared" si="26"/>
        <v>66.176000000000002</v>
      </c>
      <c r="AW29" s="133">
        <f t="shared" si="27"/>
        <v>96.510229127946857</v>
      </c>
    </row>
    <row r="30" spans="17:49" x14ac:dyDescent="0.15">
      <c r="Q30">
        <v>23</v>
      </c>
      <c r="R30" s="132">
        <f t="shared" si="0"/>
        <v>60</v>
      </c>
      <c r="S30" s="1">
        <f t="shared" si="1"/>
        <v>1.1530666666666665</v>
      </c>
      <c r="T30" s="1">
        <f t="shared" si="2"/>
        <v>20</v>
      </c>
      <c r="U30" s="133">
        <f t="shared" si="11"/>
        <v>3.4591999999999992</v>
      </c>
      <c r="V30" s="132">
        <f>IF(Calculations!$B$17=3,2,IF((S30*R30/T30)&lt;((T30*(1-(T30/R30)))/(2*Lm*fsw)),1,2))</f>
        <v>2</v>
      </c>
      <c r="W30" s="1">
        <f t="shared" si="12"/>
        <v>0.66666666666666674</v>
      </c>
      <c r="X30" s="133">
        <f t="shared" si="3"/>
        <v>0.33333333333333326</v>
      </c>
      <c r="Y30" s="132">
        <f t="shared" si="4"/>
        <v>10.256410256410257</v>
      </c>
      <c r="Z30" s="1">
        <f t="shared" si="13"/>
        <v>8.5874051282051269</v>
      </c>
      <c r="AA30" s="1">
        <f t="shared" si="14"/>
        <v>4.5532655591692057</v>
      </c>
      <c r="AB30" s="1">
        <v>0</v>
      </c>
      <c r="AC30" s="1">
        <f t="shared" si="15"/>
        <v>4.2501065867248736E-2</v>
      </c>
      <c r="AD30" s="133">
        <f t="shared" si="16"/>
        <v>4.2501065867248736E-2</v>
      </c>
      <c r="AE30" s="132">
        <f t="shared" si="28"/>
        <v>2.3061333333333329</v>
      </c>
      <c r="AF30" s="1">
        <f t="shared" si="17"/>
        <v>3.7177257611176264</v>
      </c>
      <c r="AG30" s="1">
        <f t="shared" si="5"/>
        <v>1.3821484834877636E-2</v>
      </c>
      <c r="AH30" s="1">
        <f t="shared" si="18"/>
        <v>0.21631994580826303</v>
      </c>
      <c r="AI30" s="133">
        <f t="shared" si="19"/>
        <v>0.23014143064314066</v>
      </c>
      <c r="AJ30" s="132">
        <f t="shared" si="20"/>
        <v>1.1530666666666662</v>
      </c>
      <c r="AK30" s="1">
        <f t="shared" si="21"/>
        <v>2.6288290962781917</v>
      </c>
      <c r="AL30" s="1">
        <f t="shared" si="6"/>
        <v>6.9107424174388145E-3</v>
      </c>
      <c r="AM30" s="1">
        <f t="shared" si="22"/>
        <v>0.26083200000000001</v>
      </c>
      <c r="AN30" s="136">
        <f t="shared" si="29"/>
        <v>7.1447210666666663E-2</v>
      </c>
      <c r="AO30" s="133">
        <f t="shared" si="23"/>
        <v>0.33918995308410549</v>
      </c>
      <c r="AP30" s="132">
        <f t="shared" si="7"/>
        <v>4.1464454504632917E-2</v>
      </c>
      <c r="AQ30" s="137">
        <f t="shared" si="8"/>
        <v>4.2501065867248736E-2</v>
      </c>
      <c r="AR30" s="137">
        <f t="shared" si="9"/>
        <v>1.6152231232584866</v>
      </c>
      <c r="AS30" s="1">
        <f t="shared" si="10"/>
        <v>1.9759999999999996E-2</v>
      </c>
      <c r="AT30" s="133">
        <f t="shared" si="24"/>
        <v>0.08</v>
      </c>
      <c r="AU30" s="132">
        <f t="shared" si="25"/>
        <v>2.4107810932248634</v>
      </c>
      <c r="AV30" s="1">
        <f t="shared" si="26"/>
        <v>69.183999999999983</v>
      </c>
      <c r="AW30" s="133">
        <f t="shared" si="27"/>
        <v>96.632741861329592</v>
      </c>
    </row>
    <row r="31" spans="17:49" x14ac:dyDescent="0.15">
      <c r="Q31">
        <v>24</v>
      </c>
      <c r="R31" s="132">
        <f t="shared" si="0"/>
        <v>60</v>
      </c>
      <c r="S31" s="1">
        <f t="shared" si="1"/>
        <v>1.2031999999999998</v>
      </c>
      <c r="T31" s="1">
        <f t="shared" si="2"/>
        <v>20</v>
      </c>
      <c r="U31" s="133">
        <f t="shared" si="11"/>
        <v>3.6095999999999995</v>
      </c>
      <c r="V31" s="132">
        <f>IF(Calculations!$B$17=3,2,IF((S31*R31/T31)&lt;((T31*(1-(T31/R31)))/(2*Lm*fsw)),1,2))</f>
        <v>2</v>
      </c>
      <c r="W31" s="1">
        <f t="shared" si="12"/>
        <v>0.66666666666666674</v>
      </c>
      <c r="X31" s="133">
        <f t="shared" si="3"/>
        <v>0.33333333333333326</v>
      </c>
      <c r="Y31" s="132">
        <f t="shared" si="4"/>
        <v>10.256410256410257</v>
      </c>
      <c r="Z31" s="1">
        <f t="shared" si="13"/>
        <v>8.7378051282051281</v>
      </c>
      <c r="AA31" s="1">
        <f t="shared" si="14"/>
        <v>4.6685516782313181</v>
      </c>
      <c r="AB31" s="1">
        <v>0</v>
      </c>
      <c r="AC31" s="1">
        <f t="shared" si="15"/>
        <v>4.4680518283248732E-2</v>
      </c>
      <c r="AD31" s="133">
        <f t="shared" si="16"/>
        <v>4.4680518283248732E-2</v>
      </c>
      <c r="AE31" s="132">
        <f t="shared" si="28"/>
        <v>2.4064000000000001</v>
      </c>
      <c r="AF31" s="1">
        <f t="shared" si="17"/>
        <v>3.8118564831602679</v>
      </c>
      <c r="AG31" s="1">
        <f t="shared" si="5"/>
        <v>1.4530249848210967E-2</v>
      </c>
      <c r="AH31" s="1">
        <f t="shared" si="18"/>
        <v>0.22572516084340488</v>
      </c>
      <c r="AI31" s="133">
        <f t="shared" si="19"/>
        <v>0.24025541069161585</v>
      </c>
      <c r="AJ31" s="132">
        <f t="shared" si="20"/>
        <v>1.2031999999999996</v>
      </c>
      <c r="AK31" s="1">
        <f t="shared" si="21"/>
        <v>2.6953895681525299</v>
      </c>
      <c r="AL31" s="1">
        <f t="shared" si="6"/>
        <v>7.2651249241054818E-3</v>
      </c>
      <c r="AM31" s="1">
        <f t="shared" si="22"/>
        <v>0.26083200000000001</v>
      </c>
      <c r="AN31" s="136">
        <f t="shared" si="29"/>
        <v>7.2698538666666673E-2</v>
      </c>
      <c r="AO31" s="133">
        <f t="shared" si="23"/>
        <v>0.34079566359077218</v>
      </c>
      <c r="AP31" s="132">
        <f t="shared" si="7"/>
        <v>4.3590749544632913E-2</v>
      </c>
      <c r="AQ31" s="137">
        <f t="shared" si="8"/>
        <v>4.4680518283248732E-2</v>
      </c>
      <c r="AR31" s="137">
        <f t="shared" si="9"/>
        <v>1.6152231232584866</v>
      </c>
      <c r="AS31" s="1">
        <f t="shared" si="10"/>
        <v>1.9759999999999996E-2</v>
      </c>
      <c r="AT31" s="133">
        <f t="shared" si="24"/>
        <v>0.08</v>
      </c>
      <c r="AU31" s="132">
        <f t="shared" si="25"/>
        <v>2.4289859836520051</v>
      </c>
      <c r="AV31" s="1">
        <f t="shared" si="26"/>
        <v>72.191999999999993</v>
      </c>
      <c r="AW31" s="133">
        <f t="shared" si="27"/>
        <v>96.744902319859278</v>
      </c>
    </row>
    <row r="32" spans="17:49" x14ac:dyDescent="0.15">
      <c r="Q32">
        <v>25</v>
      </c>
      <c r="R32" s="132">
        <f t="shared" si="0"/>
        <v>60</v>
      </c>
      <c r="S32" s="1">
        <f t="shared" si="1"/>
        <v>1.2533333333333332</v>
      </c>
      <c r="T32" s="1">
        <f t="shared" si="2"/>
        <v>20</v>
      </c>
      <c r="U32" s="133">
        <f t="shared" si="11"/>
        <v>3.7599999999999993</v>
      </c>
      <c r="V32" s="132">
        <f>IF(Calculations!$B$17=3,2,IF((S32*R32/T32)&lt;((T32*(1-(T32/R32)))/(2*Lm*fsw)),1,2))</f>
        <v>2</v>
      </c>
      <c r="W32" s="1">
        <f t="shared" si="12"/>
        <v>0.66666666666666674</v>
      </c>
      <c r="X32" s="133">
        <f t="shared" si="3"/>
        <v>0.33333333333333326</v>
      </c>
      <c r="Y32" s="132">
        <f t="shared" si="4"/>
        <v>10.256410256410257</v>
      </c>
      <c r="Z32" s="1">
        <f t="shared" si="13"/>
        <v>8.8882051282051275</v>
      </c>
      <c r="AA32" s="1">
        <f t="shared" si="14"/>
        <v>4.7857875644784373</v>
      </c>
      <c r="AB32" s="1">
        <v>0</v>
      </c>
      <c r="AC32" s="1">
        <f t="shared" si="15"/>
        <v>4.6952713355248719E-2</v>
      </c>
      <c r="AD32" s="133">
        <f t="shared" si="16"/>
        <v>4.6952713355248719E-2</v>
      </c>
      <c r="AE32" s="132">
        <f t="shared" si="28"/>
        <v>2.5066666666666664</v>
      </c>
      <c r="AF32" s="1">
        <f t="shared" si="17"/>
        <v>3.9075791834430738</v>
      </c>
      <c r="AG32" s="1">
        <f t="shared" si="5"/>
        <v>1.526917507487764E-2</v>
      </c>
      <c r="AH32" s="1">
        <f t="shared" si="18"/>
        <v>0.23513037587854677</v>
      </c>
      <c r="AI32" s="133">
        <f t="shared" si="19"/>
        <v>0.25039955095342442</v>
      </c>
      <c r="AJ32" s="132">
        <f t="shared" si="20"/>
        <v>1.2533333333333327</v>
      </c>
      <c r="AK32" s="1">
        <f t="shared" si="21"/>
        <v>2.763075738635989</v>
      </c>
      <c r="AL32" s="1">
        <f t="shared" si="6"/>
        <v>7.6345875374388156E-3</v>
      </c>
      <c r="AM32" s="1">
        <f t="shared" si="22"/>
        <v>0.26083200000000001</v>
      </c>
      <c r="AN32" s="136">
        <f t="shared" si="29"/>
        <v>7.3949866666666669E-2</v>
      </c>
      <c r="AO32" s="133">
        <f t="shared" si="23"/>
        <v>0.34241645420410549</v>
      </c>
      <c r="AP32" s="132">
        <f t="shared" si="7"/>
        <v>4.5807525224632904E-2</v>
      </c>
      <c r="AQ32" s="137">
        <f t="shared" si="8"/>
        <v>4.6952713355248719E-2</v>
      </c>
      <c r="AR32" s="137">
        <f t="shared" si="9"/>
        <v>1.6152231232584866</v>
      </c>
      <c r="AS32" s="1">
        <f t="shared" si="10"/>
        <v>1.9759999999999996E-2</v>
      </c>
      <c r="AT32" s="133">
        <f t="shared" si="24"/>
        <v>0.08</v>
      </c>
      <c r="AU32" s="132">
        <f t="shared" si="25"/>
        <v>2.4475120803511468</v>
      </c>
      <c r="AV32" s="1">
        <f t="shared" si="26"/>
        <v>75.199999999999989</v>
      </c>
      <c r="AW32" s="133">
        <f t="shared" si="27"/>
        <v>96.84791950858849</v>
      </c>
    </row>
    <row r="33" spans="17:49" x14ac:dyDescent="0.15">
      <c r="Q33">
        <v>26</v>
      </c>
      <c r="R33" s="132">
        <f t="shared" si="0"/>
        <v>60</v>
      </c>
      <c r="S33" s="1">
        <f t="shared" si="1"/>
        <v>1.3034666666666666</v>
      </c>
      <c r="T33" s="1">
        <f t="shared" si="2"/>
        <v>20</v>
      </c>
      <c r="U33" s="133">
        <f t="shared" si="11"/>
        <v>3.9104000000000001</v>
      </c>
      <c r="V33" s="132">
        <f>IF(Calculations!$B$17=3,2,IF((S33*R33/T33)&lt;((T33*(1-(T33/R33)))/(2*Lm*fsw)),1,2))</f>
        <v>2</v>
      </c>
      <c r="W33" s="1">
        <f t="shared" si="12"/>
        <v>0.66666666666666674</v>
      </c>
      <c r="X33" s="133">
        <f t="shared" si="3"/>
        <v>0.33333333333333326</v>
      </c>
      <c r="Y33" s="132">
        <f t="shared" si="4"/>
        <v>10.256410256410257</v>
      </c>
      <c r="Z33" s="1">
        <f t="shared" si="13"/>
        <v>9.0386051282051287</v>
      </c>
      <c r="AA33" s="1">
        <f t="shared" si="14"/>
        <v>4.9048334092318022</v>
      </c>
      <c r="AB33" s="1">
        <v>0</v>
      </c>
      <c r="AC33" s="1">
        <f t="shared" si="15"/>
        <v>4.9317651083248745E-2</v>
      </c>
      <c r="AD33" s="133">
        <f t="shared" si="16"/>
        <v>4.9317651083248745E-2</v>
      </c>
      <c r="AE33" s="132">
        <f t="shared" si="28"/>
        <v>2.6069333333333335</v>
      </c>
      <c r="AF33" s="1">
        <f t="shared" si="17"/>
        <v>4.004779708657848</v>
      </c>
      <c r="AG33" s="1">
        <f t="shared" si="5"/>
        <v>1.6038260514877639E-2</v>
      </c>
      <c r="AH33" s="1">
        <f t="shared" si="18"/>
        <v>0.24453559091368865</v>
      </c>
      <c r="AI33" s="133">
        <f t="shared" si="19"/>
        <v>0.26057385142856626</v>
      </c>
      <c r="AJ33" s="132">
        <f t="shared" si="20"/>
        <v>1.3034666666666663</v>
      </c>
      <c r="AK33" s="1">
        <f t="shared" si="21"/>
        <v>2.8318068891502497</v>
      </c>
      <c r="AL33" s="1">
        <f t="shared" si="6"/>
        <v>8.0191302574388144E-3</v>
      </c>
      <c r="AM33" s="1">
        <f t="shared" si="22"/>
        <v>0.26083200000000001</v>
      </c>
      <c r="AN33" s="136">
        <f t="shared" si="29"/>
        <v>7.5201194666666679E-2</v>
      </c>
      <c r="AO33" s="133">
        <f t="shared" si="23"/>
        <v>0.34405232492410553</v>
      </c>
      <c r="AP33" s="132">
        <f t="shared" si="7"/>
        <v>4.8114781544632924E-2</v>
      </c>
      <c r="AQ33" s="137">
        <f t="shared" si="8"/>
        <v>4.9317651083248745E-2</v>
      </c>
      <c r="AR33" s="137">
        <f t="shared" si="9"/>
        <v>1.6152231232584866</v>
      </c>
      <c r="AS33" s="1">
        <f t="shared" si="10"/>
        <v>1.9759999999999996E-2</v>
      </c>
      <c r="AT33" s="133">
        <f t="shared" si="24"/>
        <v>0.08</v>
      </c>
      <c r="AU33" s="132">
        <f t="shared" si="25"/>
        <v>2.4663593833222888</v>
      </c>
      <c r="AV33" s="1">
        <f t="shared" si="26"/>
        <v>78.207999999999998</v>
      </c>
      <c r="AW33" s="133">
        <f t="shared" si="27"/>
        <v>96.942821235674842</v>
      </c>
    </row>
    <row r="34" spans="17:49" x14ac:dyDescent="0.15">
      <c r="Q34">
        <v>27</v>
      </c>
      <c r="R34" s="132">
        <f t="shared" si="0"/>
        <v>60</v>
      </c>
      <c r="S34" s="1">
        <f t="shared" si="1"/>
        <v>1.3535999999999999</v>
      </c>
      <c r="T34" s="1">
        <f t="shared" si="2"/>
        <v>20</v>
      </c>
      <c r="U34" s="133">
        <f t="shared" si="11"/>
        <v>4.0607999999999995</v>
      </c>
      <c r="V34" s="132">
        <f>IF(Calculations!$B$17=3,2,IF((S34*R34/T34)&lt;((T34*(1-(T34/R34)))/(2*Lm*fsw)),1,2))</f>
        <v>2</v>
      </c>
      <c r="W34" s="1">
        <f t="shared" si="12"/>
        <v>0.66666666666666674</v>
      </c>
      <c r="X34" s="133">
        <f t="shared" si="3"/>
        <v>0.33333333333333326</v>
      </c>
      <c r="Y34" s="132">
        <f t="shared" si="4"/>
        <v>10.256410256410257</v>
      </c>
      <c r="Z34" s="1">
        <f t="shared" si="13"/>
        <v>9.1890051282051282</v>
      </c>
      <c r="AA34" s="1">
        <f t="shared" si="14"/>
        <v>5.02556059085118</v>
      </c>
      <c r="AB34" s="1">
        <v>0</v>
      </c>
      <c r="AC34" s="1">
        <f t="shared" si="15"/>
        <v>5.1775331467248741E-2</v>
      </c>
      <c r="AD34" s="133">
        <f t="shared" si="16"/>
        <v>5.1775331467248741E-2</v>
      </c>
      <c r="AE34" s="132">
        <f t="shared" si="28"/>
        <v>2.7071999999999998</v>
      </c>
      <c r="AF34" s="1">
        <f t="shared" si="17"/>
        <v>4.1033530396751123</v>
      </c>
      <c r="AG34" s="1">
        <f t="shared" si="5"/>
        <v>1.6837506168210982E-2</v>
      </c>
      <c r="AH34" s="1">
        <f t="shared" si="18"/>
        <v>0.25394080594883051</v>
      </c>
      <c r="AI34" s="133">
        <f t="shared" si="19"/>
        <v>0.27077831211704151</v>
      </c>
      <c r="AJ34" s="132">
        <f t="shared" si="20"/>
        <v>1.3535999999999995</v>
      </c>
      <c r="AK34" s="1">
        <f t="shared" si="21"/>
        <v>2.9015087599567035</v>
      </c>
      <c r="AL34" s="1">
        <f t="shared" si="6"/>
        <v>8.4187530841054875E-3</v>
      </c>
      <c r="AM34" s="1">
        <f t="shared" si="22"/>
        <v>0.26083200000000001</v>
      </c>
      <c r="AN34" s="136">
        <f t="shared" si="29"/>
        <v>7.6452522666666675E-2</v>
      </c>
      <c r="AO34" s="133">
        <f t="shared" si="23"/>
        <v>0.3457032757507722</v>
      </c>
      <c r="AP34" s="132">
        <f t="shared" si="7"/>
        <v>5.0512518504632925E-2</v>
      </c>
      <c r="AQ34" s="137">
        <f t="shared" si="8"/>
        <v>5.1775331467248741E-2</v>
      </c>
      <c r="AR34" s="137">
        <f t="shared" si="9"/>
        <v>1.6152231232584866</v>
      </c>
      <c r="AS34" s="1">
        <f t="shared" si="10"/>
        <v>1.9759999999999996E-2</v>
      </c>
      <c r="AT34" s="133">
        <f t="shared" si="24"/>
        <v>0.08</v>
      </c>
      <c r="AU34" s="132">
        <f t="shared" si="25"/>
        <v>2.4855278925654307</v>
      </c>
      <c r="AV34" s="1">
        <f t="shared" si="26"/>
        <v>81.215999999999994</v>
      </c>
      <c r="AW34" s="133">
        <f t="shared" si="27"/>
        <v>97.030486832025673</v>
      </c>
    </row>
    <row r="35" spans="17:49" x14ac:dyDescent="0.15">
      <c r="Q35">
        <v>28</v>
      </c>
      <c r="R35" s="132">
        <f t="shared" si="0"/>
        <v>60</v>
      </c>
      <c r="S35" s="1">
        <f t="shared" si="1"/>
        <v>1.4037333333333333</v>
      </c>
      <c r="T35" s="1">
        <f t="shared" si="2"/>
        <v>20</v>
      </c>
      <c r="U35" s="133">
        <f t="shared" si="11"/>
        <v>4.2111999999999998</v>
      </c>
      <c r="V35" s="132">
        <f>IF(Calculations!$B$17=3,2,IF((S35*R35/T35)&lt;((T35*(1-(T35/R35)))/(2*Lm*fsw)),1,2))</f>
        <v>2</v>
      </c>
      <c r="W35" s="1">
        <f t="shared" si="12"/>
        <v>0.66666666666666674</v>
      </c>
      <c r="X35" s="133">
        <f t="shared" si="3"/>
        <v>0.33333333333333326</v>
      </c>
      <c r="Y35" s="132">
        <f t="shared" si="4"/>
        <v>10.256410256410257</v>
      </c>
      <c r="Z35" s="1">
        <f t="shared" si="13"/>
        <v>9.3394051282051294</v>
      </c>
      <c r="AA35" s="1">
        <f t="shared" si="14"/>
        <v>5.1478508187705341</v>
      </c>
      <c r="AB35" s="1">
        <v>0</v>
      </c>
      <c r="AC35" s="1">
        <f t="shared" si="15"/>
        <v>5.4325754507248733E-2</v>
      </c>
      <c r="AD35" s="133">
        <f t="shared" si="16"/>
        <v>5.4325754507248733E-2</v>
      </c>
      <c r="AE35" s="132">
        <f t="shared" si="28"/>
        <v>2.807466666666667</v>
      </c>
      <c r="AF35" s="1">
        <f t="shared" si="17"/>
        <v>4.2032025926521372</v>
      </c>
      <c r="AG35" s="1">
        <f t="shared" si="5"/>
        <v>1.7666912034877649E-2</v>
      </c>
      <c r="AH35" s="1">
        <f t="shared" si="18"/>
        <v>0.26334602098397242</v>
      </c>
      <c r="AI35" s="133">
        <f t="shared" si="19"/>
        <v>0.28101293301885005</v>
      </c>
      <c r="AJ35" s="132">
        <f t="shared" si="20"/>
        <v>1.4037333333333331</v>
      </c>
      <c r="AK35" s="1">
        <f t="shared" si="21"/>
        <v>2.9721130559652038</v>
      </c>
      <c r="AL35" s="1">
        <f t="shared" si="6"/>
        <v>8.8334560174388229E-3</v>
      </c>
      <c r="AM35" s="1">
        <f t="shared" si="22"/>
        <v>0.26083200000000001</v>
      </c>
      <c r="AN35" s="136">
        <f t="shared" si="29"/>
        <v>7.7703850666666685E-2</v>
      </c>
      <c r="AO35" s="133">
        <f t="shared" si="23"/>
        <v>0.34736930668410554</v>
      </c>
      <c r="AP35" s="132">
        <f t="shared" si="7"/>
        <v>5.3000736104632913E-2</v>
      </c>
      <c r="AQ35" s="137">
        <f t="shared" si="8"/>
        <v>5.4325754507248733E-2</v>
      </c>
      <c r="AR35" s="137">
        <f t="shared" si="9"/>
        <v>1.6152231232584866</v>
      </c>
      <c r="AS35" s="1">
        <f t="shared" si="10"/>
        <v>1.9759999999999996E-2</v>
      </c>
      <c r="AT35" s="133">
        <f t="shared" si="24"/>
        <v>0.08</v>
      </c>
      <c r="AU35" s="132">
        <f t="shared" si="25"/>
        <v>2.5050176080805726</v>
      </c>
      <c r="AV35" s="1">
        <f t="shared" si="26"/>
        <v>84.22399999999999</v>
      </c>
      <c r="AW35" s="133">
        <f t="shared" si="27"/>
        <v>97.111673028051015</v>
      </c>
    </row>
    <row r="36" spans="17:49" x14ac:dyDescent="0.15">
      <c r="Q36">
        <v>29</v>
      </c>
      <c r="R36" s="132">
        <f t="shared" si="0"/>
        <v>60</v>
      </c>
      <c r="S36" s="1">
        <f t="shared" si="1"/>
        <v>1.4538666666666664</v>
      </c>
      <c r="T36" s="1">
        <f t="shared" si="2"/>
        <v>20</v>
      </c>
      <c r="U36" s="133">
        <f t="shared" si="11"/>
        <v>4.3615999999999993</v>
      </c>
      <c r="V36" s="132">
        <f>IF(Calculations!$B$17=3,2,IF((S36*R36/T36)&lt;((T36*(1-(T36/R36)))/(2*Lm*fsw)),1,2))</f>
        <v>2</v>
      </c>
      <c r="W36" s="1">
        <f t="shared" si="12"/>
        <v>0.66666666666666674</v>
      </c>
      <c r="X36" s="133">
        <f t="shared" si="3"/>
        <v>0.33333333333333326</v>
      </c>
      <c r="Y36" s="132">
        <f t="shared" si="4"/>
        <v>10.256410256410257</v>
      </c>
      <c r="Z36" s="1">
        <f t="shared" si="13"/>
        <v>9.489805128205127</v>
      </c>
      <c r="AA36" s="1">
        <f t="shared" si="14"/>
        <v>5.2715953156816253</v>
      </c>
      <c r="AB36" s="1">
        <v>0</v>
      </c>
      <c r="AC36" s="1">
        <f t="shared" si="15"/>
        <v>5.6968920203248723E-2</v>
      </c>
      <c r="AD36" s="133">
        <f t="shared" si="16"/>
        <v>5.6968920203248723E-2</v>
      </c>
      <c r="AE36" s="132">
        <f t="shared" si="28"/>
        <v>2.9077333333333333</v>
      </c>
      <c r="AF36" s="1">
        <f t="shared" si="17"/>
        <v>4.3042395512886626</v>
      </c>
      <c r="AG36" s="1">
        <f t="shared" si="5"/>
        <v>1.8526478114877627E-2</v>
      </c>
      <c r="AH36" s="1">
        <f t="shared" si="18"/>
        <v>0.27275123601911422</v>
      </c>
      <c r="AI36" s="133">
        <f t="shared" si="19"/>
        <v>0.29127771413399184</v>
      </c>
      <c r="AJ36" s="132">
        <f t="shared" si="20"/>
        <v>1.4538666666666662</v>
      </c>
      <c r="AK36" s="1">
        <f t="shared" si="21"/>
        <v>3.0435569745675557</v>
      </c>
      <c r="AL36" s="1">
        <f t="shared" si="6"/>
        <v>9.2632390574388136E-3</v>
      </c>
      <c r="AM36" s="1">
        <f t="shared" si="22"/>
        <v>0.26083200000000001</v>
      </c>
      <c r="AN36" s="136">
        <f t="shared" si="29"/>
        <v>7.8955178666666667E-2</v>
      </c>
      <c r="AO36" s="133">
        <f t="shared" si="23"/>
        <v>0.3490504177241055</v>
      </c>
      <c r="AP36" s="132">
        <f t="shared" si="7"/>
        <v>5.5579434344632909E-2</v>
      </c>
      <c r="AQ36" s="137">
        <f t="shared" si="8"/>
        <v>5.6968920203248723E-2</v>
      </c>
      <c r="AR36" s="137">
        <f t="shared" si="9"/>
        <v>1.6152231232584866</v>
      </c>
      <c r="AS36" s="1">
        <f t="shared" si="10"/>
        <v>1.9759999999999996E-2</v>
      </c>
      <c r="AT36" s="133">
        <f t="shared" si="24"/>
        <v>0.08</v>
      </c>
      <c r="AU36" s="132">
        <f t="shared" si="25"/>
        <v>2.5248285298677144</v>
      </c>
      <c r="AV36" s="1">
        <f t="shared" si="26"/>
        <v>87.231999999999985</v>
      </c>
      <c r="AW36" s="133">
        <f t="shared" si="27"/>
        <v>97.187034600907779</v>
      </c>
    </row>
    <row r="37" spans="17:49" x14ac:dyDescent="0.15">
      <c r="Q37">
        <v>30</v>
      </c>
      <c r="R37" s="132">
        <f t="shared" si="0"/>
        <v>60</v>
      </c>
      <c r="S37" s="1">
        <f t="shared" si="1"/>
        <v>1.5039999999999998</v>
      </c>
      <c r="T37" s="1">
        <f t="shared" si="2"/>
        <v>20</v>
      </c>
      <c r="U37" s="133">
        <f t="shared" si="11"/>
        <v>4.5119999999999987</v>
      </c>
      <c r="V37" s="132">
        <f>IF(Calculations!$B$17=3,2,IF((S37*R37/T37)&lt;((T37*(1-(T37/R37)))/(2*Lm*fsw)),1,2))</f>
        <v>2</v>
      </c>
      <c r="W37" s="1">
        <f t="shared" si="12"/>
        <v>0.66666666666666674</v>
      </c>
      <c r="X37" s="133">
        <f t="shared" si="3"/>
        <v>0.33333333333333326</v>
      </c>
      <c r="Y37" s="132">
        <f t="shared" si="4"/>
        <v>10.256410256410257</v>
      </c>
      <c r="Z37" s="1">
        <f t="shared" si="13"/>
        <v>9.6402051282051282</v>
      </c>
      <c r="AA37" s="1">
        <f t="shared" si="14"/>
        <v>5.3966940447200127</v>
      </c>
      <c r="AB37" s="1">
        <v>0</v>
      </c>
      <c r="AC37" s="1">
        <f t="shared" si="15"/>
        <v>5.970482855524871E-2</v>
      </c>
      <c r="AD37" s="133">
        <f t="shared" si="16"/>
        <v>5.970482855524871E-2</v>
      </c>
      <c r="AE37" s="132">
        <f t="shared" si="28"/>
        <v>3.0079999999999996</v>
      </c>
      <c r="AF37" s="1">
        <f t="shared" si="17"/>
        <v>4.4063822358269125</v>
      </c>
      <c r="AG37" s="1">
        <f t="shared" si="5"/>
        <v>1.9416204408210982E-2</v>
      </c>
      <c r="AH37" s="1">
        <f t="shared" si="18"/>
        <v>0.28215645105425602</v>
      </c>
      <c r="AI37" s="133">
        <f t="shared" si="19"/>
        <v>0.30157265546246698</v>
      </c>
      <c r="AJ37" s="132">
        <f t="shared" si="20"/>
        <v>1.5039999999999991</v>
      </c>
      <c r="AK37" s="1">
        <f t="shared" si="21"/>
        <v>3.11578275945315</v>
      </c>
      <c r="AL37" s="1">
        <f t="shared" si="6"/>
        <v>9.7081022041054874E-3</v>
      </c>
      <c r="AM37" s="1">
        <f t="shared" si="22"/>
        <v>0.26083200000000001</v>
      </c>
      <c r="AN37" s="136">
        <f t="shared" si="29"/>
        <v>8.0206506666666677E-2</v>
      </c>
      <c r="AO37" s="133">
        <f t="shared" si="23"/>
        <v>0.35074660887077219</v>
      </c>
      <c r="AP37" s="132">
        <f t="shared" si="7"/>
        <v>5.82486132246329E-2</v>
      </c>
      <c r="AQ37" s="137">
        <f t="shared" si="8"/>
        <v>5.970482855524871E-2</v>
      </c>
      <c r="AR37" s="137">
        <f t="shared" si="9"/>
        <v>1.6152231232584866</v>
      </c>
      <c r="AS37" s="1">
        <f t="shared" si="10"/>
        <v>1.9759999999999996E-2</v>
      </c>
      <c r="AT37" s="133">
        <f t="shared" si="24"/>
        <v>0.08</v>
      </c>
      <c r="AU37" s="132">
        <f t="shared" si="25"/>
        <v>2.5449606579268562</v>
      </c>
      <c r="AV37" s="1">
        <f t="shared" si="26"/>
        <v>90.239999999999981</v>
      </c>
      <c r="AW37" s="133">
        <f t="shared" si="27"/>
        <v>97.257140985046661</v>
      </c>
    </row>
    <row r="38" spans="17:49" x14ac:dyDescent="0.15">
      <c r="Q38">
        <v>31</v>
      </c>
      <c r="R38" s="132">
        <f t="shared" si="0"/>
        <v>60</v>
      </c>
      <c r="S38" s="1">
        <f t="shared" si="1"/>
        <v>1.5541333333333331</v>
      </c>
      <c r="T38" s="1">
        <f t="shared" si="2"/>
        <v>20</v>
      </c>
      <c r="U38" s="133">
        <f t="shared" si="11"/>
        <v>4.6623999999999999</v>
      </c>
      <c r="V38" s="132">
        <f>IF(Calculations!$B$17=3,2,IF((S38*R38/T38)&lt;((T38*(1-(T38/R38)))/(2*Lm*fsw)),1,2))</f>
        <v>2</v>
      </c>
      <c r="W38" s="1">
        <f t="shared" si="12"/>
        <v>0.66666666666666674</v>
      </c>
      <c r="X38" s="133">
        <f t="shared" si="3"/>
        <v>0.33333333333333326</v>
      </c>
      <c r="Y38" s="132">
        <f t="shared" si="4"/>
        <v>10.256410256410257</v>
      </c>
      <c r="Z38" s="1">
        <f t="shared" si="13"/>
        <v>9.7906051282051294</v>
      </c>
      <c r="AA38" s="1">
        <f t="shared" si="14"/>
        <v>5.5230549854511191</v>
      </c>
      <c r="AB38" s="1">
        <v>0</v>
      </c>
      <c r="AC38" s="1">
        <f t="shared" si="15"/>
        <v>6.2533479563248728E-2</v>
      </c>
      <c r="AD38" s="133">
        <f t="shared" si="16"/>
        <v>6.2533479563248728E-2</v>
      </c>
      <c r="AE38" s="132">
        <f t="shared" si="28"/>
        <v>3.1082666666666667</v>
      </c>
      <c r="AF38" s="1">
        <f t="shared" si="17"/>
        <v>4.5095555118966697</v>
      </c>
      <c r="AG38" s="1">
        <f t="shared" si="5"/>
        <v>2.0336090914877633E-2</v>
      </c>
      <c r="AH38" s="1">
        <f t="shared" si="18"/>
        <v>0.29156166608939804</v>
      </c>
      <c r="AI38" s="133">
        <f t="shared" si="19"/>
        <v>0.31189775700427569</v>
      </c>
      <c r="AJ38" s="132">
        <f t="shared" si="20"/>
        <v>1.5541333333333329</v>
      </c>
      <c r="AK38" s="1">
        <f t="shared" si="21"/>
        <v>3.1887372825993072</v>
      </c>
      <c r="AL38" s="1">
        <f t="shared" si="6"/>
        <v>1.0168045457438813E-2</v>
      </c>
      <c r="AM38" s="1">
        <f t="shared" si="22"/>
        <v>0.26083200000000001</v>
      </c>
      <c r="AN38" s="136">
        <f t="shared" si="29"/>
        <v>8.1457834666666687E-2</v>
      </c>
      <c r="AO38" s="133">
        <f t="shared" si="23"/>
        <v>0.3524578801241055</v>
      </c>
      <c r="AP38" s="132">
        <f t="shared" si="7"/>
        <v>6.100827274463292E-2</v>
      </c>
      <c r="AQ38" s="137">
        <f t="shared" si="8"/>
        <v>6.2533479563248728E-2</v>
      </c>
      <c r="AR38" s="137">
        <f t="shared" si="9"/>
        <v>1.6152231232584866</v>
      </c>
      <c r="AS38" s="1">
        <f t="shared" si="10"/>
        <v>1.9759999999999996E-2</v>
      </c>
      <c r="AT38" s="133">
        <f t="shared" si="24"/>
        <v>0.08</v>
      </c>
      <c r="AU38" s="132">
        <f t="shared" si="25"/>
        <v>2.5654139922579979</v>
      </c>
      <c r="AV38" s="1">
        <f t="shared" si="26"/>
        <v>93.24799999999999</v>
      </c>
      <c r="AW38" s="133">
        <f t="shared" si="27"/>
        <v>97.322489737746636</v>
      </c>
    </row>
    <row r="39" spans="17:49" x14ac:dyDescent="0.15">
      <c r="Q39">
        <v>32</v>
      </c>
      <c r="R39" s="132">
        <f t="shared" si="0"/>
        <v>60</v>
      </c>
      <c r="S39" s="1">
        <f t="shared" si="1"/>
        <v>1.6042666666666665</v>
      </c>
      <c r="T39" s="1">
        <f t="shared" ref="T39:T70" si="30">Vin_vari</f>
        <v>20</v>
      </c>
      <c r="U39" s="133">
        <f t="shared" ref="U39:U70" si="31">(R39*S39)/(T39*EFF_est)</f>
        <v>4.8127999999999993</v>
      </c>
      <c r="V39" s="132">
        <f>IF(Calculations!$B$17=3,2,IF((S39*R39/T39)&lt;((T39*(1-(T39/R39)))/(2*Lm*fsw)),1,2))</f>
        <v>2</v>
      </c>
      <c r="W39" s="1">
        <f t="shared" ref="W39:W70" si="32">CHOOSE(V39,SQRT((2*S39*Lm*fsw*(R39-T39))/((T39)^2)),1-(T39/R39))</f>
        <v>0.66666666666666674</v>
      </c>
      <c r="X39" s="133">
        <f t="shared" ref="X39:X70" si="33">CHOOSE(V39,(Lm*Z39*fsw)/(R39-T39),1-W39)</f>
        <v>0.33333333333333326</v>
      </c>
      <c r="Y39" s="132">
        <f t="shared" ref="Y39:Y70" si="34">(T39*W39)/(Lm*fsw)</f>
        <v>10.256410256410257</v>
      </c>
      <c r="Z39" s="1">
        <f t="shared" si="13"/>
        <v>9.9410051282051271</v>
      </c>
      <c r="AA39" s="1">
        <f t="shared" si="14"/>
        <v>5.6505934601877401</v>
      </c>
      <c r="AB39" s="1">
        <v>0</v>
      </c>
      <c r="AC39" s="1">
        <f t="shared" ref="AC39:AC70" si="35">(AA39^2)*Rdcr</f>
        <v>6.545487322724873E-2</v>
      </c>
      <c r="AD39" s="133">
        <f t="shared" si="16"/>
        <v>6.545487322724873E-2</v>
      </c>
      <c r="AE39" s="132">
        <f t="shared" si="28"/>
        <v>3.208533333333333</v>
      </c>
      <c r="AF39" s="1">
        <f t="shared" si="17"/>
        <v>4.6136902404558588</v>
      </c>
      <c r="AG39" s="1">
        <f t="shared" ref="AG39:AG70" si="36">(AF39^2)*RDS_on</f>
        <v>2.128613763487764E-2</v>
      </c>
      <c r="AH39" s="1">
        <f t="shared" ref="AH39:AH70" si="37">((R39*U39)/2)*fsw*(tr_sw+tf_sw)</f>
        <v>0.3009668811245399</v>
      </c>
      <c r="AI39" s="133">
        <f t="shared" si="19"/>
        <v>0.32225301875941753</v>
      </c>
      <c r="AJ39" s="132">
        <f t="shared" si="20"/>
        <v>1.6042666666666661</v>
      </c>
      <c r="AK39" s="1">
        <f t="shared" si="21"/>
        <v>3.2623716553205302</v>
      </c>
      <c r="AL39" s="1">
        <f t="shared" ref="AL39:AL70" si="38">(AK39^2)*RDS_on_HS</f>
        <v>1.0643068817438817E-2</v>
      </c>
      <c r="AM39" s="1">
        <f t="shared" si="22"/>
        <v>0.26083200000000001</v>
      </c>
      <c r="AN39" s="136">
        <f t="shared" ref="AN39:AN70" si="39">Vd_rect*t_dead*fsw*Z39</f>
        <v>8.2709162666666669E-2</v>
      </c>
      <c r="AO39" s="133">
        <f t="shared" si="23"/>
        <v>0.35418423148410549</v>
      </c>
      <c r="AP39" s="132">
        <f t="shared" ref="AP39:AP70" si="40">(AA39^2)*Rcs</f>
        <v>6.3858412904632914E-2</v>
      </c>
      <c r="AQ39" s="137">
        <f t="shared" ref="AQ39:AQ70" si="41">Rdcr*AA39^2</f>
        <v>6.545487322724873E-2</v>
      </c>
      <c r="AR39" s="137">
        <f t="shared" ref="AR39:AR70" si="42">ABS(7.759*10^-3*fsw^0.9458*(0.00787*Y39)^2.304)</f>
        <v>1.6152231232584866</v>
      </c>
      <c r="AS39" s="1">
        <f t="shared" ref="AS39:AS70" si="43">(Qg_tot+Qg_tot_HS)*VCC*fsw</f>
        <v>1.9759999999999996E-2</v>
      </c>
      <c r="AT39" s="133">
        <f t="shared" ref="AT39:AT70" si="44">IQ*T39</f>
        <v>0.08</v>
      </c>
      <c r="AU39" s="132">
        <f t="shared" si="25"/>
        <v>2.58618853286114</v>
      </c>
      <c r="AV39" s="1">
        <f t="shared" si="26"/>
        <v>96.255999999999986</v>
      </c>
      <c r="AW39" s="133">
        <f t="shared" si="27"/>
        <v>97.383517533101426</v>
      </c>
    </row>
    <row r="40" spans="17:49" x14ac:dyDescent="0.15">
      <c r="Q40">
        <v>33</v>
      </c>
      <c r="R40" s="132">
        <f t="shared" si="0"/>
        <v>60</v>
      </c>
      <c r="S40" s="1">
        <f t="shared" si="1"/>
        <v>1.6543999999999999</v>
      </c>
      <c r="T40" s="1">
        <f t="shared" si="30"/>
        <v>20</v>
      </c>
      <c r="U40" s="133">
        <f t="shared" si="31"/>
        <v>4.9631999999999996</v>
      </c>
      <c r="V40" s="132">
        <f>IF(Calculations!$B$17=3,2,IF((S40*R40/T40)&lt;((T40*(1-(T40/R40)))/(2*Lm*fsw)),1,2))</f>
        <v>2</v>
      </c>
      <c r="W40" s="1">
        <f t="shared" si="32"/>
        <v>0.66666666666666674</v>
      </c>
      <c r="X40" s="133">
        <f t="shared" si="33"/>
        <v>0.33333333333333326</v>
      </c>
      <c r="Y40" s="132">
        <f t="shared" si="34"/>
        <v>10.256410256410257</v>
      </c>
      <c r="Z40" s="1">
        <f t="shared" si="13"/>
        <v>10.091405128205128</v>
      </c>
      <c r="AA40" s="1">
        <f t="shared" si="14"/>
        <v>5.7792315105311758</v>
      </c>
      <c r="AB40" s="1">
        <v>0</v>
      </c>
      <c r="AC40" s="1">
        <f t="shared" si="35"/>
        <v>6.8469009547248716E-2</v>
      </c>
      <c r="AD40" s="133">
        <f t="shared" si="16"/>
        <v>6.8469009547248716E-2</v>
      </c>
      <c r="AE40" s="132">
        <f t="shared" si="28"/>
        <v>3.3088000000000002</v>
      </c>
      <c r="AF40" s="1">
        <f t="shared" si="17"/>
        <v>4.7187227687384823</v>
      </c>
      <c r="AG40" s="1">
        <f t="shared" si="36"/>
        <v>2.2266344568210968E-2</v>
      </c>
      <c r="AH40" s="1">
        <f t="shared" si="37"/>
        <v>0.31037209615968175</v>
      </c>
      <c r="AI40" s="133">
        <f t="shared" si="19"/>
        <v>0.33263844072789273</v>
      </c>
      <c r="AJ40" s="132">
        <f t="shared" si="20"/>
        <v>1.6543999999999994</v>
      </c>
      <c r="AK40" s="1">
        <f t="shared" si="21"/>
        <v>3.3366408683143414</v>
      </c>
      <c r="AL40" s="1">
        <f t="shared" si="38"/>
        <v>1.1133172284105482E-2</v>
      </c>
      <c r="AM40" s="1">
        <f t="shared" ref="AM40:AM71" si="45">CHOOSE(V40,(R40+Vd_rect)*Qrr*fsw,(R40+Vd_rect)*Qrr*fsw)</f>
        <v>0.26083200000000001</v>
      </c>
      <c r="AN40" s="136">
        <f t="shared" si="39"/>
        <v>8.3960490666666679E-2</v>
      </c>
      <c r="AO40" s="133">
        <f t="shared" si="23"/>
        <v>0.35592566295077216</v>
      </c>
      <c r="AP40" s="132">
        <f t="shared" si="40"/>
        <v>6.6799033704632901E-2</v>
      </c>
      <c r="AQ40" s="137">
        <f t="shared" si="41"/>
        <v>6.8469009547248716E-2</v>
      </c>
      <c r="AR40" s="137">
        <f t="shared" si="42"/>
        <v>1.6152231232584866</v>
      </c>
      <c r="AS40" s="1">
        <f t="shared" si="43"/>
        <v>1.9759999999999996E-2</v>
      </c>
      <c r="AT40" s="133">
        <f t="shared" si="44"/>
        <v>0.08</v>
      </c>
      <c r="AU40" s="132">
        <f t="shared" si="25"/>
        <v>2.6072842797362821</v>
      </c>
      <c r="AV40" s="1">
        <f t="shared" si="26"/>
        <v>99.263999999999996</v>
      </c>
      <c r="AW40" s="133">
        <f t="shared" si="27"/>
        <v>97.440609197998597</v>
      </c>
    </row>
    <row r="41" spans="17:49" x14ac:dyDescent="0.15">
      <c r="Q41">
        <v>34</v>
      </c>
      <c r="R41" s="132">
        <f t="shared" si="0"/>
        <v>60</v>
      </c>
      <c r="S41" s="1">
        <f t="shared" si="1"/>
        <v>1.7045333333333332</v>
      </c>
      <c r="T41" s="1">
        <f t="shared" si="30"/>
        <v>20</v>
      </c>
      <c r="U41" s="133">
        <f t="shared" si="31"/>
        <v>5.1135999999999999</v>
      </c>
      <c r="V41" s="132">
        <f>IF(Calculations!$B$17=3,2,IF((S41*R41/T41)&lt;((T41*(1-(T41/R41)))/(2*Lm*fsw)),1,2))</f>
        <v>2</v>
      </c>
      <c r="W41" s="1">
        <f t="shared" si="32"/>
        <v>0.66666666666666674</v>
      </c>
      <c r="X41" s="133">
        <f t="shared" si="33"/>
        <v>0.33333333333333326</v>
      </c>
      <c r="Y41" s="132">
        <f t="shared" si="34"/>
        <v>10.256410256410257</v>
      </c>
      <c r="Z41" s="1">
        <f t="shared" si="13"/>
        <v>10.241805128205129</v>
      </c>
      <c r="AA41" s="1">
        <f t="shared" si="14"/>
        <v>5.9088973228781407</v>
      </c>
      <c r="AB41" s="1">
        <v>0</v>
      </c>
      <c r="AC41" s="1">
        <f t="shared" si="35"/>
        <v>7.1575888523248726E-2</v>
      </c>
      <c r="AD41" s="133">
        <f t="shared" si="16"/>
        <v>7.1575888523248726E-2</v>
      </c>
      <c r="AE41" s="132">
        <f t="shared" si="28"/>
        <v>3.4090666666666669</v>
      </c>
      <c r="AF41" s="1">
        <f t="shared" si="17"/>
        <v>4.8245944611829952</v>
      </c>
      <c r="AG41" s="1">
        <f t="shared" si="36"/>
        <v>2.3276711714877635E-2</v>
      </c>
      <c r="AH41" s="1">
        <f t="shared" si="37"/>
        <v>0.31977731119482361</v>
      </c>
      <c r="AI41" s="133">
        <f t="shared" si="19"/>
        <v>0.34305402290970122</v>
      </c>
      <c r="AJ41" s="132">
        <f t="shared" si="20"/>
        <v>1.704533333333333</v>
      </c>
      <c r="AK41" s="1">
        <f t="shared" si="21"/>
        <v>3.4115034599775527</v>
      </c>
      <c r="AL41" s="1">
        <f t="shared" si="38"/>
        <v>1.1638355857438814E-2</v>
      </c>
      <c r="AM41" s="1">
        <f t="shared" si="45"/>
        <v>0.26083200000000001</v>
      </c>
      <c r="AN41" s="136">
        <f t="shared" si="39"/>
        <v>8.5211818666666689E-2</v>
      </c>
      <c r="AO41" s="133">
        <f t="shared" si="23"/>
        <v>0.35768217452410556</v>
      </c>
      <c r="AP41" s="132">
        <f t="shared" si="40"/>
        <v>6.9830135144632918E-2</v>
      </c>
      <c r="AQ41" s="137">
        <f t="shared" si="41"/>
        <v>7.1575888523248726E-2</v>
      </c>
      <c r="AR41" s="137">
        <f t="shared" si="42"/>
        <v>1.6152231232584866</v>
      </c>
      <c r="AS41" s="1">
        <f t="shared" si="43"/>
        <v>1.9759999999999996E-2</v>
      </c>
      <c r="AT41" s="133">
        <f t="shared" si="44"/>
        <v>0.08</v>
      </c>
      <c r="AU41" s="132">
        <f t="shared" si="25"/>
        <v>2.6287012328834241</v>
      </c>
      <c r="AV41" s="1">
        <f t="shared" si="26"/>
        <v>102.27199999999999</v>
      </c>
      <c r="AW41" s="133">
        <f t="shared" si="27"/>
        <v>97.494105185200226</v>
      </c>
    </row>
    <row r="42" spans="17:49" x14ac:dyDescent="0.15">
      <c r="Q42">
        <v>35</v>
      </c>
      <c r="R42" s="132">
        <f t="shared" si="0"/>
        <v>60</v>
      </c>
      <c r="S42" s="1">
        <f t="shared" si="1"/>
        <v>1.7546666666666666</v>
      </c>
      <c r="T42" s="1">
        <f t="shared" si="30"/>
        <v>20</v>
      </c>
      <c r="U42" s="133">
        <f t="shared" si="31"/>
        <v>5.2640000000000002</v>
      </c>
      <c r="V42" s="132">
        <f>IF(Calculations!$B$17=3,2,IF((S42*R42/T42)&lt;((T42*(1-(T42/R42)))/(2*Lm*fsw)),1,2))</f>
        <v>2</v>
      </c>
      <c r="W42" s="1">
        <f t="shared" si="32"/>
        <v>0.66666666666666674</v>
      </c>
      <c r="X42" s="133">
        <f t="shared" si="33"/>
        <v>0.33333333333333326</v>
      </c>
      <c r="Y42" s="132">
        <f t="shared" si="34"/>
        <v>10.256410256410257</v>
      </c>
      <c r="Z42" s="1">
        <f t="shared" si="13"/>
        <v>10.392205128205129</v>
      </c>
      <c r="AA42" s="1">
        <f t="shared" si="14"/>
        <v>6.0395247008615218</v>
      </c>
      <c r="AB42" s="1">
        <v>0</v>
      </c>
      <c r="AC42" s="1">
        <f t="shared" si="35"/>
        <v>7.4775510155248734E-2</v>
      </c>
      <c r="AD42" s="133">
        <f t="shared" si="16"/>
        <v>7.4775510155248734E-2</v>
      </c>
      <c r="AE42" s="132">
        <f t="shared" si="28"/>
        <v>3.5093333333333341</v>
      </c>
      <c r="AF42" s="1">
        <f t="shared" si="17"/>
        <v>4.9312512686819812</v>
      </c>
      <c r="AG42" s="1">
        <f t="shared" si="36"/>
        <v>2.431723907487765E-2</v>
      </c>
      <c r="AH42" s="1">
        <f t="shared" si="37"/>
        <v>0.32918252622996558</v>
      </c>
      <c r="AI42" s="133">
        <f t="shared" si="19"/>
        <v>0.35349976530484323</v>
      </c>
      <c r="AJ42" s="132">
        <f t="shared" si="20"/>
        <v>1.7546666666666664</v>
      </c>
      <c r="AK42" s="1">
        <f t="shared" si="21"/>
        <v>3.4869212118197939</v>
      </c>
      <c r="AL42" s="1">
        <f t="shared" si="38"/>
        <v>1.215861953743882E-2</v>
      </c>
      <c r="AM42" s="1">
        <f t="shared" si="45"/>
        <v>0.26083200000000001</v>
      </c>
      <c r="AN42" s="136">
        <f t="shared" si="39"/>
        <v>8.6463146666666685E-2</v>
      </c>
      <c r="AO42" s="133">
        <f t="shared" si="23"/>
        <v>0.35945376620410552</v>
      </c>
      <c r="AP42" s="132">
        <f t="shared" si="40"/>
        <v>7.2951717224632923E-2</v>
      </c>
      <c r="AQ42" s="137">
        <f t="shared" si="41"/>
        <v>7.4775510155248734E-2</v>
      </c>
      <c r="AR42" s="137">
        <f t="shared" si="42"/>
        <v>1.6152231232584866</v>
      </c>
      <c r="AS42" s="1">
        <f t="shared" si="43"/>
        <v>1.9759999999999996E-2</v>
      </c>
      <c r="AT42" s="133">
        <f t="shared" si="44"/>
        <v>0.08</v>
      </c>
      <c r="AU42" s="132">
        <f t="shared" si="25"/>
        <v>2.6504393923025655</v>
      </c>
      <c r="AV42" s="1">
        <f t="shared" si="26"/>
        <v>105.28</v>
      </c>
      <c r="AW42" s="133">
        <f t="shared" si="27"/>
        <v>97.54430779006762</v>
      </c>
    </row>
    <row r="43" spans="17:49" x14ac:dyDescent="0.15">
      <c r="Q43">
        <v>36</v>
      </c>
      <c r="R43" s="132">
        <f t="shared" si="0"/>
        <v>60</v>
      </c>
      <c r="S43" s="1">
        <f t="shared" si="1"/>
        <v>1.8047999999999997</v>
      </c>
      <c r="T43" s="1">
        <f t="shared" si="30"/>
        <v>20</v>
      </c>
      <c r="U43" s="133">
        <f t="shared" si="31"/>
        <v>5.4143999999999988</v>
      </c>
      <c r="V43" s="132">
        <f>IF(Calculations!$B$17=3,2,IF((S43*R43/T43)&lt;((T43*(1-(T43/R43)))/(2*Lm*fsw)),1,2))</f>
        <v>2</v>
      </c>
      <c r="W43" s="1">
        <f t="shared" si="32"/>
        <v>0.66666666666666674</v>
      </c>
      <c r="X43" s="133">
        <f t="shared" si="33"/>
        <v>0.33333333333333326</v>
      </c>
      <c r="Y43" s="132">
        <f t="shared" si="34"/>
        <v>10.256410256410257</v>
      </c>
      <c r="Z43" s="1">
        <f t="shared" si="13"/>
        <v>10.542605128205128</v>
      </c>
      <c r="AA43" s="1">
        <f t="shared" si="14"/>
        <v>6.1710525822031723</v>
      </c>
      <c r="AB43" s="1">
        <v>0</v>
      </c>
      <c r="AC43" s="1">
        <f t="shared" si="35"/>
        <v>7.8067874443248697E-2</v>
      </c>
      <c r="AD43" s="133">
        <f t="shared" si="16"/>
        <v>7.8067874443248697E-2</v>
      </c>
      <c r="AE43" s="132">
        <f t="shared" si="28"/>
        <v>3.6095999999999995</v>
      </c>
      <c r="AF43" s="1">
        <f t="shared" si="17"/>
        <v>5.0386433340941066</v>
      </c>
      <c r="AG43" s="1">
        <f t="shared" si="36"/>
        <v>2.5387926648210976E-2</v>
      </c>
      <c r="AH43" s="1">
        <f t="shared" si="37"/>
        <v>0.33858774126510732</v>
      </c>
      <c r="AI43" s="133">
        <f t="shared" si="19"/>
        <v>0.36397566791331831</v>
      </c>
      <c r="AJ43" s="132">
        <f t="shared" si="20"/>
        <v>1.8047999999999993</v>
      </c>
      <c r="AK43" s="1">
        <f t="shared" si="21"/>
        <v>3.5628588695183372</v>
      </c>
      <c r="AL43" s="1">
        <f t="shared" si="38"/>
        <v>1.2693963324105485E-2</v>
      </c>
      <c r="AM43" s="1">
        <f t="shared" si="45"/>
        <v>0.26083200000000001</v>
      </c>
      <c r="AN43" s="136">
        <f t="shared" si="39"/>
        <v>8.7714474666666681E-2</v>
      </c>
      <c r="AO43" s="133">
        <f t="shared" si="23"/>
        <v>0.36124043799077221</v>
      </c>
      <c r="AP43" s="132">
        <f t="shared" si="40"/>
        <v>7.6163779944632887E-2</v>
      </c>
      <c r="AQ43" s="137">
        <f t="shared" si="41"/>
        <v>7.8067874443248697E-2</v>
      </c>
      <c r="AR43" s="137">
        <f t="shared" si="42"/>
        <v>1.6152231232584866</v>
      </c>
      <c r="AS43" s="1">
        <f t="shared" si="43"/>
        <v>1.9759999999999996E-2</v>
      </c>
      <c r="AT43" s="133">
        <f t="shared" si="44"/>
        <v>0.08</v>
      </c>
      <c r="AU43" s="132">
        <f t="shared" si="25"/>
        <v>2.672498757993707</v>
      </c>
      <c r="AV43" s="1">
        <f t="shared" si="26"/>
        <v>108.28799999999998</v>
      </c>
      <c r="AW43" s="133">
        <f t="shared" si="27"/>
        <v>97.591486350631442</v>
      </c>
    </row>
    <row r="44" spans="17:49" x14ac:dyDescent="0.15">
      <c r="Q44">
        <v>37</v>
      </c>
      <c r="R44" s="132">
        <f t="shared" si="0"/>
        <v>60</v>
      </c>
      <c r="S44" s="1">
        <f t="shared" si="1"/>
        <v>1.8549333333333331</v>
      </c>
      <c r="T44" s="1">
        <f t="shared" si="30"/>
        <v>20</v>
      </c>
      <c r="U44" s="133">
        <f t="shared" si="31"/>
        <v>5.5648</v>
      </c>
      <c r="V44" s="132">
        <f>IF(Calculations!$B$17=3,2,IF((S44*R44/T44)&lt;((T44*(1-(T44/R44)))/(2*Lm*fsw)),1,2))</f>
        <v>2</v>
      </c>
      <c r="W44" s="1">
        <f t="shared" si="32"/>
        <v>0.66666666666666674</v>
      </c>
      <c r="X44" s="133">
        <f t="shared" si="33"/>
        <v>0.33333333333333326</v>
      </c>
      <c r="Y44" s="132">
        <f t="shared" si="34"/>
        <v>10.256410256410257</v>
      </c>
      <c r="Z44" s="1">
        <f t="shared" si="13"/>
        <v>10.693005128205129</v>
      </c>
      <c r="AA44" s="1">
        <f t="shared" si="14"/>
        <v>6.3034245971786209</v>
      </c>
      <c r="AB44" s="1">
        <v>0</v>
      </c>
      <c r="AC44" s="1">
        <f t="shared" si="35"/>
        <v>8.1452981387248741E-2</v>
      </c>
      <c r="AD44" s="133">
        <f t="shared" si="16"/>
        <v>8.1452981387248741E-2</v>
      </c>
      <c r="AE44" s="132">
        <f t="shared" si="28"/>
        <v>3.7098666666666671</v>
      </c>
      <c r="AF44" s="1">
        <f t="shared" si="17"/>
        <v>5.1467246317320736</v>
      </c>
      <c r="AG44" s="1">
        <f t="shared" si="36"/>
        <v>2.6488774434877647E-2</v>
      </c>
      <c r="AH44" s="1">
        <f t="shared" si="37"/>
        <v>0.34799295630024923</v>
      </c>
      <c r="AI44" s="133">
        <f t="shared" si="19"/>
        <v>0.37448173073512686</v>
      </c>
      <c r="AJ44" s="132">
        <f t="shared" si="20"/>
        <v>1.8549333333333329</v>
      </c>
      <c r="AK44" s="1">
        <f t="shared" si="21"/>
        <v>3.6392838879975851</v>
      </c>
      <c r="AL44" s="1">
        <f t="shared" si="38"/>
        <v>1.3244387217438819E-2</v>
      </c>
      <c r="AM44" s="1">
        <f t="shared" si="45"/>
        <v>0.26083200000000001</v>
      </c>
      <c r="AN44" s="136">
        <f t="shared" si="39"/>
        <v>8.8965802666666691E-2</v>
      </c>
      <c r="AO44" s="133">
        <f t="shared" si="23"/>
        <v>0.36304218988410553</v>
      </c>
      <c r="AP44" s="132">
        <f t="shared" si="40"/>
        <v>7.9466323304632921E-2</v>
      </c>
      <c r="AQ44" s="137">
        <f t="shared" si="41"/>
        <v>8.1452981387248741E-2</v>
      </c>
      <c r="AR44" s="137">
        <f t="shared" si="42"/>
        <v>1.6152231232584866</v>
      </c>
      <c r="AS44" s="1">
        <f t="shared" si="43"/>
        <v>1.9759999999999996E-2</v>
      </c>
      <c r="AT44" s="133">
        <f t="shared" si="44"/>
        <v>0.08</v>
      </c>
      <c r="AU44" s="132">
        <f t="shared" si="25"/>
        <v>2.6948793299568496</v>
      </c>
      <c r="AV44" s="1">
        <f t="shared" si="26"/>
        <v>111.29599999999999</v>
      </c>
      <c r="AW44" s="133">
        <f t="shared" si="27"/>
        <v>97.635881619830059</v>
      </c>
    </row>
    <row r="45" spans="17:49" x14ac:dyDescent="0.15">
      <c r="Q45">
        <v>38</v>
      </c>
      <c r="R45" s="132">
        <f t="shared" si="0"/>
        <v>60</v>
      </c>
      <c r="S45" s="1">
        <f t="shared" si="1"/>
        <v>1.9050666666666665</v>
      </c>
      <c r="T45" s="1">
        <f t="shared" si="30"/>
        <v>20</v>
      </c>
      <c r="U45" s="133">
        <f t="shared" si="31"/>
        <v>5.7151999999999994</v>
      </c>
      <c r="V45" s="132">
        <f>IF(Calculations!$B$17=3,2,IF((S45*R45/T45)&lt;((T45*(1-(T45/R45)))/(2*Lm*fsw)),1,2))</f>
        <v>2</v>
      </c>
      <c r="W45" s="1">
        <f t="shared" si="32"/>
        <v>0.66666666666666674</v>
      </c>
      <c r="X45" s="133">
        <f t="shared" si="33"/>
        <v>0.33333333333333326</v>
      </c>
      <c r="Y45" s="132">
        <f t="shared" si="34"/>
        <v>10.256410256410257</v>
      </c>
      <c r="Z45" s="1">
        <f t="shared" si="13"/>
        <v>10.843405128205127</v>
      </c>
      <c r="AA45" s="1">
        <f t="shared" si="14"/>
        <v>6.4365886657698157</v>
      </c>
      <c r="AB45" s="1">
        <v>0</v>
      </c>
      <c r="AC45" s="1">
        <f t="shared" si="35"/>
        <v>8.4930830987248726E-2</v>
      </c>
      <c r="AD45" s="133">
        <f t="shared" si="16"/>
        <v>8.4930830987248726E-2</v>
      </c>
      <c r="AE45" s="132">
        <f t="shared" si="28"/>
        <v>3.8101333333333334</v>
      </c>
      <c r="AF45" s="1">
        <f t="shared" si="17"/>
        <v>5.2554526384392073</v>
      </c>
      <c r="AG45" s="1">
        <f t="shared" si="36"/>
        <v>2.7619782434877626E-2</v>
      </c>
      <c r="AH45" s="1">
        <f t="shared" si="37"/>
        <v>0.35739817133539109</v>
      </c>
      <c r="AI45" s="133">
        <f t="shared" si="19"/>
        <v>0.38501795377026871</v>
      </c>
      <c r="AJ45" s="132">
        <f t="shared" si="20"/>
        <v>1.905066666666666</v>
      </c>
      <c r="AK45" s="1">
        <f t="shared" si="21"/>
        <v>3.7161661988450954</v>
      </c>
      <c r="AL45" s="1">
        <f t="shared" si="38"/>
        <v>1.3809891217438806E-2</v>
      </c>
      <c r="AM45" s="1">
        <f t="shared" si="45"/>
        <v>0.26083200000000001</v>
      </c>
      <c r="AN45" s="136">
        <f t="shared" si="39"/>
        <v>9.0217130666666673E-2</v>
      </c>
      <c r="AO45" s="133">
        <f t="shared" si="23"/>
        <v>0.36485902188410546</v>
      </c>
      <c r="AP45" s="132">
        <f t="shared" si="40"/>
        <v>8.2859347304632916E-2</v>
      </c>
      <c r="AQ45" s="137">
        <f t="shared" si="41"/>
        <v>8.4930830987248726E-2</v>
      </c>
      <c r="AR45" s="137">
        <f t="shared" si="42"/>
        <v>1.6152231232584866</v>
      </c>
      <c r="AS45" s="1">
        <f t="shared" si="43"/>
        <v>1.9759999999999996E-2</v>
      </c>
      <c r="AT45" s="133">
        <f t="shared" si="44"/>
        <v>0.08</v>
      </c>
      <c r="AU45" s="132">
        <f t="shared" si="25"/>
        <v>2.7175811081919914</v>
      </c>
      <c r="AV45" s="1">
        <f t="shared" si="26"/>
        <v>114.30399999999999</v>
      </c>
      <c r="AW45" s="133">
        <f t="shared" si="27"/>
        <v>97.677709459694057</v>
      </c>
    </row>
    <row r="46" spans="17:49" x14ac:dyDescent="0.15">
      <c r="Q46">
        <v>39</v>
      </c>
      <c r="R46" s="132">
        <f t="shared" si="0"/>
        <v>60</v>
      </c>
      <c r="S46" s="1">
        <f t="shared" si="1"/>
        <v>1.9551999999999998</v>
      </c>
      <c r="T46" s="1">
        <f t="shared" si="30"/>
        <v>20</v>
      </c>
      <c r="U46" s="133">
        <f t="shared" si="31"/>
        <v>5.8655999999999988</v>
      </c>
      <c r="V46" s="132">
        <f>IF(Calculations!$B$17=3,2,IF((S46*R46/T46)&lt;((T46*(1-(T46/R46)))/(2*Lm*fsw)),1,2))</f>
        <v>2</v>
      </c>
      <c r="W46" s="1">
        <f t="shared" si="32"/>
        <v>0.66666666666666674</v>
      </c>
      <c r="X46" s="133">
        <f t="shared" si="33"/>
        <v>0.33333333333333326</v>
      </c>
      <c r="Y46" s="132">
        <f t="shared" si="34"/>
        <v>10.256410256410257</v>
      </c>
      <c r="Z46" s="1">
        <f t="shared" si="13"/>
        <v>10.993805128205128</v>
      </c>
      <c r="AA46" s="1">
        <f t="shared" si="14"/>
        <v>6.5704966305688375</v>
      </c>
      <c r="AB46" s="1">
        <v>0</v>
      </c>
      <c r="AC46" s="1">
        <f t="shared" si="35"/>
        <v>8.8501423243248709E-2</v>
      </c>
      <c r="AD46" s="133">
        <f t="shared" si="16"/>
        <v>8.8501423243248709E-2</v>
      </c>
      <c r="AE46" s="132">
        <f t="shared" si="28"/>
        <v>3.9103999999999997</v>
      </c>
      <c r="AF46" s="1">
        <f t="shared" si="17"/>
        <v>5.3647880338566001</v>
      </c>
      <c r="AG46" s="1">
        <f t="shared" si="36"/>
        <v>2.8780950648210964E-2</v>
      </c>
      <c r="AH46" s="1">
        <f t="shared" si="37"/>
        <v>0.36680338637053295</v>
      </c>
      <c r="AI46" s="133">
        <f t="shared" si="19"/>
        <v>0.3955843370187439</v>
      </c>
      <c r="AJ46" s="132">
        <f t="shared" si="20"/>
        <v>1.9551999999999992</v>
      </c>
      <c r="AK46" s="1">
        <f t="shared" si="21"/>
        <v>3.7934779983684468</v>
      </c>
      <c r="AL46" s="1">
        <f t="shared" si="38"/>
        <v>1.4390475324105477E-2</v>
      </c>
      <c r="AM46" s="1">
        <f t="shared" si="45"/>
        <v>0.26083200000000001</v>
      </c>
      <c r="AN46" s="136">
        <f t="shared" si="39"/>
        <v>9.1468458666666683E-2</v>
      </c>
      <c r="AO46" s="133">
        <f t="shared" si="23"/>
        <v>0.36669093399077218</v>
      </c>
      <c r="AP46" s="132">
        <f t="shared" si="40"/>
        <v>8.6342851944632898E-2</v>
      </c>
      <c r="AQ46" s="137">
        <f t="shared" si="41"/>
        <v>8.8501423243248709E-2</v>
      </c>
      <c r="AR46" s="137">
        <f t="shared" si="42"/>
        <v>1.6152231232584866</v>
      </c>
      <c r="AS46" s="1">
        <f t="shared" si="43"/>
        <v>1.9759999999999996E-2</v>
      </c>
      <c r="AT46" s="133">
        <f t="shared" si="44"/>
        <v>0.08</v>
      </c>
      <c r="AU46" s="132">
        <f t="shared" si="25"/>
        <v>2.7406040926991331</v>
      </c>
      <c r="AV46" s="1">
        <f t="shared" si="26"/>
        <v>117.31199999999998</v>
      </c>
      <c r="AW46" s="133">
        <f t="shared" si="27"/>
        <v>97.717163977065454</v>
      </c>
    </row>
    <row r="47" spans="17:49" x14ac:dyDescent="0.15">
      <c r="Q47">
        <v>40</v>
      </c>
      <c r="R47" s="132">
        <f t="shared" si="0"/>
        <v>60</v>
      </c>
      <c r="S47" s="1">
        <f t="shared" si="1"/>
        <v>2.0053333333333332</v>
      </c>
      <c r="T47" s="1">
        <f t="shared" si="30"/>
        <v>20</v>
      </c>
      <c r="U47" s="133">
        <f t="shared" si="31"/>
        <v>6.016</v>
      </c>
      <c r="V47" s="132">
        <f>IF(Calculations!$B$17=3,2,IF((S47*R47/T47)&lt;((T47*(1-(T47/R47)))/(2*Lm*fsw)),1,2))</f>
        <v>2</v>
      </c>
      <c r="W47" s="1">
        <f t="shared" si="32"/>
        <v>0.66666666666666674</v>
      </c>
      <c r="X47" s="133">
        <f t="shared" si="33"/>
        <v>0.33333333333333326</v>
      </c>
      <c r="Y47" s="132">
        <f t="shared" si="34"/>
        <v>10.256410256410257</v>
      </c>
      <c r="Z47" s="1">
        <f t="shared" si="13"/>
        <v>11.14420512820513</v>
      </c>
      <c r="AA47" s="1">
        <f t="shared" si="14"/>
        <v>6.7051039225590277</v>
      </c>
      <c r="AB47" s="1">
        <v>0</v>
      </c>
      <c r="AC47" s="1">
        <f t="shared" si="35"/>
        <v>9.216475815524873E-2</v>
      </c>
      <c r="AD47" s="133">
        <f t="shared" si="16"/>
        <v>9.216475815524873E-2</v>
      </c>
      <c r="AE47" s="132">
        <f t="shared" si="28"/>
        <v>4.0106666666666673</v>
      </c>
      <c r="AF47" s="1">
        <f t="shared" si="17"/>
        <v>5.4746944275345308</v>
      </c>
      <c r="AG47" s="1">
        <f t="shared" si="36"/>
        <v>2.9972279074877643E-2</v>
      </c>
      <c r="AH47" s="1">
        <f t="shared" si="37"/>
        <v>0.37620860140567486</v>
      </c>
      <c r="AI47" s="133">
        <f t="shared" si="19"/>
        <v>0.40618088048055251</v>
      </c>
      <c r="AJ47" s="132">
        <f t="shared" si="20"/>
        <v>2.0053333333333327</v>
      </c>
      <c r="AK47" s="1">
        <f t="shared" si="21"/>
        <v>3.8711935546338703</v>
      </c>
      <c r="AL47" s="1">
        <f t="shared" si="38"/>
        <v>1.498613953743882E-2</v>
      </c>
      <c r="AM47" s="1">
        <f t="shared" si="45"/>
        <v>0.26083200000000001</v>
      </c>
      <c r="AN47" s="136">
        <f t="shared" si="39"/>
        <v>9.2719786666666693E-2</v>
      </c>
      <c r="AO47" s="133">
        <f t="shared" si="23"/>
        <v>0.36853792620410553</v>
      </c>
      <c r="AP47" s="132">
        <f t="shared" si="40"/>
        <v>8.9916837224632923E-2</v>
      </c>
      <c r="AQ47" s="137">
        <f t="shared" si="41"/>
        <v>9.216475815524873E-2</v>
      </c>
      <c r="AR47" s="137">
        <f t="shared" si="42"/>
        <v>1.6152231232584866</v>
      </c>
      <c r="AS47" s="1">
        <f t="shared" si="43"/>
        <v>1.9759999999999996E-2</v>
      </c>
      <c r="AT47" s="133">
        <f t="shared" si="44"/>
        <v>0.08</v>
      </c>
      <c r="AU47" s="132">
        <f t="shared" si="25"/>
        <v>2.7639482834782751</v>
      </c>
      <c r="AV47" s="1">
        <f t="shared" si="26"/>
        <v>120.32</v>
      </c>
      <c r="AW47" s="133">
        <f t="shared" si="27"/>
        <v>97.754420196927271</v>
      </c>
    </row>
    <row r="48" spans="17:49" x14ac:dyDescent="0.15">
      <c r="Q48">
        <v>41</v>
      </c>
      <c r="R48" s="132">
        <f t="shared" si="0"/>
        <v>60</v>
      </c>
      <c r="S48" s="1">
        <f t="shared" si="1"/>
        <v>2.0554666666666663</v>
      </c>
      <c r="T48" s="1">
        <f t="shared" si="30"/>
        <v>20</v>
      </c>
      <c r="U48" s="133">
        <f t="shared" si="31"/>
        <v>6.1663999999999985</v>
      </c>
      <c r="V48" s="132">
        <f>IF(Calculations!$B$17=3,2,IF((S48*R48/T48)&lt;((T48*(1-(T48/R48)))/(2*Lm*fsw)),1,2))</f>
        <v>2</v>
      </c>
      <c r="W48" s="1">
        <f t="shared" si="32"/>
        <v>0.66666666666666674</v>
      </c>
      <c r="X48" s="133">
        <f t="shared" si="33"/>
        <v>0.33333333333333326</v>
      </c>
      <c r="Y48" s="132">
        <f t="shared" si="34"/>
        <v>10.256410256410257</v>
      </c>
      <c r="Z48" s="1">
        <f t="shared" si="13"/>
        <v>11.294605128205127</v>
      </c>
      <c r="AA48" s="1">
        <f t="shared" si="14"/>
        <v>6.8403692570150367</v>
      </c>
      <c r="AB48" s="1">
        <v>0</v>
      </c>
      <c r="AC48" s="1">
        <f t="shared" si="35"/>
        <v>9.5920835723248707E-2</v>
      </c>
      <c r="AD48" s="133">
        <f t="shared" si="16"/>
        <v>9.5920835723248707E-2</v>
      </c>
      <c r="AE48" s="132">
        <f t="shared" si="28"/>
        <v>4.1109333333333327</v>
      </c>
      <c r="AF48" s="1">
        <f t="shared" si="17"/>
        <v>5.5851381106359081</v>
      </c>
      <c r="AG48" s="1">
        <f t="shared" si="36"/>
        <v>3.119376771487764E-2</v>
      </c>
      <c r="AH48" s="1">
        <f t="shared" si="37"/>
        <v>0.38561381644081666</v>
      </c>
      <c r="AI48" s="133">
        <f t="shared" si="19"/>
        <v>0.4168075841556943</v>
      </c>
      <c r="AJ48" s="132">
        <f t="shared" si="20"/>
        <v>2.0554666666666659</v>
      </c>
      <c r="AK48" s="1">
        <f t="shared" si="21"/>
        <v>3.9492890318940717</v>
      </c>
      <c r="AL48" s="1">
        <f t="shared" si="38"/>
        <v>1.5596883857438813E-2</v>
      </c>
      <c r="AM48" s="1">
        <f t="shared" si="45"/>
        <v>0.26083200000000001</v>
      </c>
      <c r="AN48" s="136">
        <f t="shared" si="39"/>
        <v>9.3971114666666675E-2</v>
      </c>
      <c r="AO48" s="133">
        <f t="shared" si="23"/>
        <v>0.37039999852410549</v>
      </c>
      <c r="AP48" s="132">
        <f t="shared" si="40"/>
        <v>9.3581303144632894E-2</v>
      </c>
      <c r="AQ48" s="137">
        <f t="shared" si="41"/>
        <v>9.5920835723248707E-2</v>
      </c>
      <c r="AR48" s="137">
        <f t="shared" si="42"/>
        <v>1.6152231232584866</v>
      </c>
      <c r="AS48" s="1">
        <f t="shared" si="43"/>
        <v>1.9759999999999996E-2</v>
      </c>
      <c r="AT48" s="133">
        <f t="shared" si="44"/>
        <v>0.08</v>
      </c>
      <c r="AU48" s="132">
        <f t="shared" si="25"/>
        <v>2.7876136805294167</v>
      </c>
      <c r="AV48" s="1">
        <f t="shared" si="26"/>
        <v>123.32799999999997</v>
      </c>
      <c r="AW48" s="133">
        <f t="shared" si="27"/>
        <v>97.789636350982775</v>
      </c>
    </row>
    <row r="49" spans="17:49" x14ac:dyDescent="0.15">
      <c r="Q49">
        <v>42</v>
      </c>
      <c r="R49" s="132">
        <f t="shared" si="0"/>
        <v>60</v>
      </c>
      <c r="S49" s="1">
        <f t="shared" si="1"/>
        <v>2.1055999999999999</v>
      </c>
      <c r="T49" s="1">
        <f t="shared" si="30"/>
        <v>20</v>
      </c>
      <c r="U49" s="133">
        <f t="shared" si="31"/>
        <v>6.3167999999999997</v>
      </c>
      <c r="V49" s="132">
        <f>IF(Calculations!$B$17=3,2,IF((S49*R49/T49)&lt;((T49*(1-(T49/R49)))/(2*Lm*fsw)),1,2))</f>
        <v>2</v>
      </c>
      <c r="W49" s="1">
        <f t="shared" si="32"/>
        <v>0.66666666666666674</v>
      </c>
      <c r="X49" s="133">
        <f t="shared" si="33"/>
        <v>0.33333333333333326</v>
      </c>
      <c r="Y49" s="132">
        <f t="shared" si="34"/>
        <v>10.256410256410257</v>
      </c>
      <c r="Z49" s="1">
        <f t="shared" si="13"/>
        <v>11.445005128205128</v>
      </c>
      <c r="AA49" s="1">
        <f t="shared" si="14"/>
        <v>6.9762543569107667</v>
      </c>
      <c r="AB49" s="1">
        <v>0</v>
      </c>
      <c r="AC49" s="1">
        <f t="shared" si="35"/>
        <v>9.9769655947248709E-2</v>
      </c>
      <c r="AD49" s="133">
        <f t="shared" si="16"/>
        <v>9.9769655947248709E-2</v>
      </c>
      <c r="AE49" s="132">
        <f t="shared" si="28"/>
        <v>4.2112000000000007</v>
      </c>
      <c r="AF49" s="1">
        <f t="shared" si="17"/>
        <v>5.6960878300997937</v>
      </c>
      <c r="AG49" s="1">
        <f t="shared" si="36"/>
        <v>3.2445416568210976E-2</v>
      </c>
      <c r="AH49" s="1">
        <f t="shared" si="37"/>
        <v>0.39501903147595863</v>
      </c>
      <c r="AI49" s="133">
        <f t="shared" si="19"/>
        <v>0.42746444804416961</v>
      </c>
      <c r="AJ49" s="132">
        <f t="shared" si="20"/>
        <v>2.1055999999999995</v>
      </c>
      <c r="AK49" s="1">
        <f t="shared" si="21"/>
        <v>4.0277423308977305</v>
      </c>
      <c r="AL49" s="1">
        <f t="shared" si="38"/>
        <v>1.6222708284105485E-2</v>
      </c>
      <c r="AM49" s="1">
        <f t="shared" si="45"/>
        <v>0.26083200000000001</v>
      </c>
      <c r="AN49" s="136">
        <f t="shared" si="39"/>
        <v>9.5222442666666685E-2</v>
      </c>
      <c r="AO49" s="133">
        <f t="shared" si="23"/>
        <v>0.37227715095077218</v>
      </c>
      <c r="AP49" s="132">
        <f t="shared" si="40"/>
        <v>9.7336249704632907E-2</v>
      </c>
      <c r="AQ49" s="137">
        <f t="shared" si="41"/>
        <v>9.9769655947248709E-2</v>
      </c>
      <c r="AR49" s="137">
        <f t="shared" si="42"/>
        <v>1.6152231232584866</v>
      </c>
      <c r="AS49" s="1">
        <f t="shared" si="43"/>
        <v>1.9759999999999996E-2</v>
      </c>
      <c r="AT49" s="133">
        <f t="shared" si="44"/>
        <v>0.08</v>
      </c>
      <c r="AU49" s="132">
        <f t="shared" si="25"/>
        <v>2.8116002838525587</v>
      </c>
      <c r="AV49" s="1">
        <f t="shared" si="26"/>
        <v>126.336</v>
      </c>
      <c r="AW49" s="133">
        <f t="shared" si="27"/>
        <v>97.822955844573983</v>
      </c>
    </row>
    <row r="50" spans="17:49" x14ac:dyDescent="0.15">
      <c r="Q50">
        <v>43</v>
      </c>
      <c r="R50" s="132">
        <f t="shared" si="0"/>
        <v>60</v>
      </c>
      <c r="S50" s="1">
        <f t="shared" si="1"/>
        <v>2.1557333333333331</v>
      </c>
      <c r="T50" s="1">
        <f t="shared" si="30"/>
        <v>20</v>
      </c>
      <c r="U50" s="133">
        <f t="shared" si="31"/>
        <v>6.4672000000000001</v>
      </c>
      <c r="V50" s="132">
        <f>IF(Calculations!$B$17=3,2,IF((S50*R50/T50)&lt;((T50*(1-(T50/R50)))/(2*Lm*fsw)),1,2))</f>
        <v>2</v>
      </c>
      <c r="W50" s="1">
        <f t="shared" si="32"/>
        <v>0.66666666666666674</v>
      </c>
      <c r="X50" s="133">
        <f t="shared" si="33"/>
        <v>0.33333333333333326</v>
      </c>
      <c r="Y50" s="132">
        <f t="shared" si="34"/>
        <v>10.256410256410257</v>
      </c>
      <c r="Z50" s="1">
        <f t="shared" si="13"/>
        <v>11.59540512820513</v>
      </c>
      <c r="AA50" s="1">
        <f t="shared" si="14"/>
        <v>7.1127237013900988</v>
      </c>
      <c r="AB50" s="1">
        <v>0</v>
      </c>
      <c r="AC50" s="1">
        <f t="shared" si="35"/>
        <v>0.10371121882724875</v>
      </c>
      <c r="AD50" s="133">
        <f t="shared" si="16"/>
        <v>0.10371121882724875</v>
      </c>
      <c r="AE50" s="132">
        <f t="shared" si="28"/>
        <v>4.311466666666667</v>
      </c>
      <c r="AF50" s="1">
        <f t="shared" si="17"/>
        <v>5.8075145832686177</v>
      </c>
      <c r="AG50" s="1">
        <f t="shared" si="36"/>
        <v>3.3727225634877671E-2</v>
      </c>
      <c r="AH50" s="1">
        <f t="shared" si="37"/>
        <v>0.40442424651110048</v>
      </c>
      <c r="AI50" s="133">
        <f t="shared" si="19"/>
        <v>0.43815147214597816</v>
      </c>
      <c r="AJ50" s="132">
        <f t="shared" si="20"/>
        <v>2.1557333333333331</v>
      </c>
      <c r="AK50" s="1">
        <f t="shared" si="21"/>
        <v>4.1065329436690057</v>
      </c>
      <c r="AL50" s="1">
        <f t="shared" si="38"/>
        <v>1.6863612817438828E-2</v>
      </c>
      <c r="AM50" s="1">
        <f t="shared" si="45"/>
        <v>0.26083200000000001</v>
      </c>
      <c r="AN50" s="136">
        <f t="shared" si="39"/>
        <v>9.6473770666666694E-2</v>
      </c>
      <c r="AO50" s="133">
        <f t="shared" si="23"/>
        <v>0.3741693834841055</v>
      </c>
      <c r="AP50" s="132">
        <f t="shared" si="40"/>
        <v>0.10118167690463294</v>
      </c>
      <c r="AQ50" s="137">
        <f t="shared" si="41"/>
        <v>0.10371121882724875</v>
      </c>
      <c r="AR50" s="137">
        <f t="shared" si="42"/>
        <v>1.6152231232584866</v>
      </c>
      <c r="AS50" s="1">
        <f t="shared" si="43"/>
        <v>1.9759999999999996E-2</v>
      </c>
      <c r="AT50" s="133">
        <f t="shared" si="44"/>
        <v>0.08</v>
      </c>
      <c r="AU50" s="132">
        <f t="shared" si="25"/>
        <v>2.8359080934477006</v>
      </c>
      <c r="AV50" s="1">
        <f t="shared" si="26"/>
        <v>129.34399999999999</v>
      </c>
      <c r="AW50" s="133">
        <f t="shared" si="27"/>
        <v>97.854508953476653</v>
      </c>
    </row>
    <row r="51" spans="17:49" x14ac:dyDescent="0.15">
      <c r="Q51">
        <v>44</v>
      </c>
      <c r="R51" s="132">
        <f t="shared" si="0"/>
        <v>60</v>
      </c>
      <c r="S51" s="1">
        <f t="shared" si="1"/>
        <v>2.2058666666666666</v>
      </c>
      <c r="T51" s="1">
        <f t="shared" si="30"/>
        <v>20</v>
      </c>
      <c r="U51" s="133">
        <f t="shared" si="31"/>
        <v>6.6176000000000004</v>
      </c>
      <c r="V51" s="132">
        <f>IF(Calculations!$B$17=3,2,IF((S51*R51/T51)&lt;((T51*(1-(T51/R51)))/(2*Lm*fsw)),1,2))</f>
        <v>2</v>
      </c>
      <c r="W51" s="1">
        <f t="shared" si="32"/>
        <v>0.66666666666666674</v>
      </c>
      <c r="X51" s="133">
        <f t="shared" si="33"/>
        <v>0.33333333333333326</v>
      </c>
      <c r="Y51" s="132">
        <f t="shared" si="34"/>
        <v>10.256410256410257</v>
      </c>
      <c r="Z51" s="1">
        <f t="shared" si="13"/>
        <v>11.745805128205129</v>
      </c>
      <c r="AA51" s="1">
        <f t="shared" si="14"/>
        <v>7.2497442970298245</v>
      </c>
      <c r="AB51" s="1">
        <v>0</v>
      </c>
      <c r="AC51" s="1">
        <f t="shared" si="35"/>
        <v>0.10774552436324873</v>
      </c>
      <c r="AD51" s="133">
        <f t="shared" si="16"/>
        <v>0.10774552436324873</v>
      </c>
      <c r="AE51" s="132">
        <f t="shared" si="28"/>
        <v>4.4117333333333342</v>
      </c>
      <c r="AF51" s="1">
        <f t="shared" si="17"/>
        <v>5.9193914311251339</v>
      </c>
      <c r="AG51" s="1">
        <f t="shared" si="36"/>
        <v>3.5039194914877662E-2</v>
      </c>
      <c r="AH51" s="1">
        <f t="shared" si="37"/>
        <v>0.41382946154624239</v>
      </c>
      <c r="AI51" s="133">
        <f t="shared" si="19"/>
        <v>0.44886865646112006</v>
      </c>
      <c r="AJ51" s="132">
        <f t="shared" si="20"/>
        <v>2.2058666666666662</v>
      </c>
      <c r="AK51" s="1">
        <f t="shared" si="21"/>
        <v>4.185641821446124</v>
      </c>
      <c r="AL51" s="1">
        <f t="shared" si="38"/>
        <v>1.7519597457438828E-2</v>
      </c>
      <c r="AM51" s="1">
        <f t="shared" si="45"/>
        <v>0.26083200000000001</v>
      </c>
      <c r="AN51" s="136">
        <f t="shared" si="39"/>
        <v>9.772509866666669E-2</v>
      </c>
      <c r="AO51" s="133">
        <f t="shared" si="23"/>
        <v>0.37607669612410549</v>
      </c>
      <c r="AP51" s="132">
        <f t="shared" si="40"/>
        <v>0.10511758474463292</v>
      </c>
      <c r="AQ51" s="137">
        <f t="shared" si="41"/>
        <v>0.10774552436324873</v>
      </c>
      <c r="AR51" s="137">
        <f t="shared" si="42"/>
        <v>1.6152231232584866</v>
      </c>
      <c r="AS51" s="1">
        <f t="shared" si="43"/>
        <v>1.9759999999999996E-2</v>
      </c>
      <c r="AT51" s="133">
        <f t="shared" si="44"/>
        <v>0.08</v>
      </c>
      <c r="AU51" s="132">
        <f t="shared" si="25"/>
        <v>2.8605371093148424</v>
      </c>
      <c r="AV51" s="1">
        <f t="shared" si="26"/>
        <v>132.352</v>
      </c>
      <c r="AW51" s="133">
        <f t="shared" si="27"/>
        <v>97.884414292883065</v>
      </c>
    </row>
    <row r="52" spans="17:49" x14ac:dyDescent="0.15">
      <c r="Q52">
        <v>45</v>
      </c>
      <c r="R52" s="132">
        <f t="shared" si="0"/>
        <v>60</v>
      </c>
      <c r="S52" s="1">
        <f t="shared" si="1"/>
        <v>2.2559999999999998</v>
      </c>
      <c r="T52" s="1">
        <f t="shared" si="30"/>
        <v>20</v>
      </c>
      <c r="U52" s="133">
        <f t="shared" si="31"/>
        <v>6.7679999999999989</v>
      </c>
      <c r="V52" s="132">
        <f>IF(Calculations!$B$17=3,2,IF((S52*R52/T52)&lt;((T52*(1-(T52/R52)))/(2*Lm*fsw)),1,2))</f>
        <v>2</v>
      </c>
      <c r="W52" s="1">
        <f t="shared" si="32"/>
        <v>0.66666666666666674</v>
      </c>
      <c r="X52" s="133">
        <f t="shared" si="33"/>
        <v>0.33333333333333326</v>
      </c>
      <c r="Y52" s="132">
        <f t="shared" si="34"/>
        <v>10.256410256410257</v>
      </c>
      <c r="Z52" s="1">
        <f t="shared" si="13"/>
        <v>11.896205128205128</v>
      </c>
      <c r="AA52" s="1">
        <f t="shared" si="14"/>
        <v>7.3872854697998811</v>
      </c>
      <c r="AB52" s="1">
        <v>0</v>
      </c>
      <c r="AC52" s="1">
        <f t="shared" si="35"/>
        <v>0.11187257255524871</v>
      </c>
      <c r="AD52" s="133">
        <f t="shared" si="16"/>
        <v>0.11187257255524871</v>
      </c>
      <c r="AE52" s="132">
        <f t="shared" si="28"/>
        <v>4.5119999999999996</v>
      </c>
      <c r="AF52" s="1">
        <f t="shared" si="17"/>
        <v>6.0316933284286733</v>
      </c>
      <c r="AG52" s="1">
        <f t="shared" si="36"/>
        <v>3.6381324408210965E-2</v>
      </c>
      <c r="AH52" s="1">
        <f t="shared" si="37"/>
        <v>0.42323467658138414</v>
      </c>
      <c r="AI52" s="133">
        <f t="shared" si="19"/>
        <v>0.4596160009895951</v>
      </c>
      <c r="AJ52" s="132">
        <f t="shared" si="20"/>
        <v>2.2559999999999993</v>
      </c>
      <c r="AK52" s="1">
        <f t="shared" si="21"/>
        <v>4.2650512545695713</v>
      </c>
      <c r="AL52" s="1">
        <f t="shared" si="38"/>
        <v>1.8190662204105475E-2</v>
      </c>
      <c r="AM52" s="1">
        <f t="shared" si="45"/>
        <v>0.26083200000000001</v>
      </c>
      <c r="AN52" s="136">
        <f t="shared" si="39"/>
        <v>9.8976426666666686E-2</v>
      </c>
      <c r="AO52" s="133">
        <f t="shared" si="23"/>
        <v>0.37799908887077216</v>
      </c>
      <c r="AP52" s="132">
        <f t="shared" si="40"/>
        <v>0.1091439732246329</v>
      </c>
      <c r="AQ52" s="137">
        <f t="shared" si="41"/>
        <v>0.11187257255524871</v>
      </c>
      <c r="AR52" s="137">
        <f t="shared" si="42"/>
        <v>1.6152231232584866</v>
      </c>
      <c r="AS52" s="1">
        <f t="shared" si="43"/>
        <v>1.9759999999999996E-2</v>
      </c>
      <c r="AT52" s="133">
        <f t="shared" si="44"/>
        <v>0.08</v>
      </c>
      <c r="AU52" s="132">
        <f t="shared" si="25"/>
        <v>2.8854873314539842</v>
      </c>
      <c r="AV52" s="1">
        <f t="shared" si="26"/>
        <v>135.35999999999999</v>
      </c>
      <c r="AW52" s="133">
        <f t="shared" si="27"/>
        <v>97.912780093475448</v>
      </c>
    </row>
    <row r="53" spans="17:49" x14ac:dyDescent="0.15">
      <c r="Q53">
        <v>46</v>
      </c>
      <c r="R53" s="132">
        <f t="shared" si="0"/>
        <v>60</v>
      </c>
      <c r="S53" s="1">
        <f t="shared" si="1"/>
        <v>2.3061333333333329</v>
      </c>
      <c r="T53" s="1">
        <f t="shared" si="30"/>
        <v>20</v>
      </c>
      <c r="U53" s="133">
        <f t="shared" si="31"/>
        <v>6.9183999999999983</v>
      </c>
      <c r="V53" s="132">
        <f>IF(Calculations!$B$17=3,2,IF((S53*R53/T53)&lt;((T53*(1-(T53/R53)))/(2*Lm*fsw)),1,2))</f>
        <v>2</v>
      </c>
      <c r="W53" s="1">
        <f t="shared" si="32"/>
        <v>0.66666666666666674</v>
      </c>
      <c r="X53" s="133">
        <f t="shared" si="33"/>
        <v>0.33333333333333326</v>
      </c>
      <c r="Y53" s="132">
        <f t="shared" si="34"/>
        <v>10.256410256410257</v>
      </c>
      <c r="Z53" s="1">
        <f t="shared" si="13"/>
        <v>12.046605128205126</v>
      </c>
      <c r="AA53" s="1">
        <f t="shared" si="14"/>
        <v>7.5253186757981503</v>
      </c>
      <c r="AB53" s="1">
        <v>0</v>
      </c>
      <c r="AC53" s="1">
        <f t="shared" si="35"/>
        <v>0.11609236340324866</v>
      </c>
      <c r="AD53" s="133">
        <f t="shared" si="16"/>
        <v>0.11609236340324866</v>
      </c>
      <c r="AE53" s="132">
        <f t="shared" si="28"/>
        <v>4.6122666666666658</v>
      </c>
      <c r="AF53" s="1">
        <f t="shared" si="17"/>
        <v>6.1443969691807521</v>
      </c>
      <c r="AG53" s="1">
        <f t="shared" si="36"/>
        <v>3.7753614114877612E-2</v>
      </c>
      <c r="AH53" s="1">
        <f t="shared" si="37"/>
        <v>0.43263989161652605</v>
      </c>
      <c r="AI53" s="133">
        <f t="shared" si="19"/>
        <v>0.47039350573140365</v>
      </c>
      <c r="AJ53" s="132">
        <f t="shared" si="20"/>
        <v>2.3061333333333325</v>
      </c>
      <c r="AK53" s="1">
        <f t="shared" si="21"/>
        <v>4.3447447632097784</v>
      </c>
      <c r="AL53" s="1">
        <f t="shared" si="38"/>
        <v>1.8876807057438792E-2</v>
      </c>
      <c r="AM53" s="1">
        <f t="shared" si="45"/>
        <v>0.26083200000000001</v>
      </c>
      <c r="AN53" s="136">
        <f t="shared" si="39"/>
        <v>0.10022775466666665</v>
      </c>
      <c r="AO53" s="133">
        <f t="shared" si="23"/>
        <v>0.37993656172410545</v>
      </c>
      <c r="AP53" s="132">
        <f t="shared" si="40"/>
        <v>0.11326084234463285</v>
      </c>
      <c r="AQ53" s="137">
        <f t="shared" si="41"/>
        <v>0.11609236340324866</v>
      </c>
      <c r="AR53" s="137">
        <f t="shared" si="42"/>
        <v>1.6152231232584866</v>
      </c>
      <c r="AS53" s="1">
        <f t="shared" si="43"/>
        <v>1.9759999999999996E-2</v>
      </c>
      <c r="AT53" s="133">
        <f t="shared" si="44"/>
        <v>0.08</v>
      </c>
      <c r="AU53" s="132">
        <f t="shared" si="25"/>
        <v>2.9107587598651259</v>
      </c>
      <c r="AV53" s="1">
        <f t="shared" si="26"/>
        <v>138.36799999999997</v>
      </c>
      <c r="AW53" s="133">
        <f t="shared" si="27"/>
        <v>97.939705313512405</v>
      </c>
    </row>
    <row r="54" spans="17:49" x14ac:dyDescent="0.15">
      <c r="Q54">
        <v>47</v>
      </c>
      <c r="R54" s="132">
        <f t="shared" si="0"/>
        <v>60</v>
      </c>
      <c r="S54" s="1">
        <f t="shared" si="1"/>
        <v>2.3562666666666665</v>
      </c>
      <c r="T54" s="1">
        <f t="shared" si="30"/>
        <v>20</v>
      </c>
      <c r="U54" s="133">
        <f t="shared" si="31"/>
        <v>7.0687999999999986</v>
      </c>
      <c r="V54" s="132">
        <f>IF(Calculations!$B$17=3,2,IF((S54*R54/T54)&lt;((T54*(1-(T54/R54)))/(2*Lm*fsw)),1,2))</f>
        <v>2</v>
      </c>
      <c r="W54" s="1">
        <f t="shared" si="32"/>
        <v>0.66666666666666674</v>
      </c>
      <c r="X54" s="133">
        <f t="shared" si="33"/>
        <v>0.33333333333333326</v>
      </c>
      <c r="Y54" s="132">
        <f t="shared" si="34"/>
        <v>10.256410256410257</v>
      </c>
      <c r="Z54" s="1">
        <f t="shared" si="13"/>
        <v>12.197005128205127</v>
      </c>
      <c r="AA54" s="1">
        <f t="shared" si="14"/>
        <v>7.6638173290023328</v>
      </c>
      <c r="AB54" s="1">
        <v>0</v>
      </c>
      <c r="AC54" s="1">
        <f t="shared" si="35"/>
        <v>0.12040489690724872</v>
      </c>
      <c r="AD54" s="133">
        <f t="shared" si="16"/>
        <v>0.12040489690724872</v>
      </c>
      <c r="AE54" s="132">
        <f t="shared" si="28"/>
        <v>4.712533333333333</v>
      </c>
      <c r="AF54" s="1">
        <f t="shared" si="17"/>
        <v>6.2574806459850629</v>
      </c>
      <c r="AG54" s="1">
        <f t="shared" si="36"/>
        <v>3.915606403487764E-2</v>
      </c>
      <c r="AH54" s="1">
        <f t="shared" si="37"/>
        <v>0.44204510665166791</v>
      </c>
      <c r="AI54" s="133">
        <f t="shared" si="19"/>
        <v>0.48120117068654555</v>
      </c>
      <c r="AJ54" s="132">
        <f t="shared" si="20"/>
        <v>2.3562666666666656</v>
      </c>
      <c r="AK54" s="1">
        <f t="shared" si="21"/>
        <v>4.424706997919615</v>
      </c>
      <c r="AL54" s="1">
        <f t="shared" si="38"/>
        <v>1.9578032017438813E-2</v>
      </c>
      <c r="AM54" s="1">
        <f t="shared" si="45"/>
        <v>0.26083200000000001</v>
      </c>
      <c r="AN54" s="136">
        <f t="shared" si="39"/>
        <v>0.10147908266666666</v>
      </c>
      <c r="AO54" s="133">
        <f t="shared" si="23"/>
        <v>0.38188911468410547</v>
      </c>
      <c r="AP54" s="132">
        <f t="shared" si="40"/>
        <v>0.11746819210463291</v>
      </c>
      <c r="AQ54" s="137">
        <f t="shared" si="41"/>
        <v>0.12040489690724872</v>
      </c>
      <c r="AR54" s="137">
        <f t="shared" si="42"/>
        <v>1.6152231232584866</v>
      </c>
      <c r="AS54" s="1">
        <f t="shared" si="43"/>
        <v>1.9759999999999996E-2</v>
      </c>
      <c r="AT54" s="133">
        <f t="shared" si="44"/>
        <v>0.08</v>
      </c>
      <c r="AU54" s="132">
        <f t="shared" si="25"/>
        <v>2.936351394548268</v>
      </c>
      <c r="AV54" s="1">
        <f t="shared" si="26"/>
        <v>141.37599999999998</v>
      </c>
      <c r="AW54" s="133">
        <f t="shared" si="27"/>
        <v>97.965280610998903</v>
      </c>
    </row>
    <row r="55" spans="17:49" x14ac:dyDescent="0.15">
      <c r="Q55">
        <v>48</v>
      </c>
      <c r="R55" s="132">
        <f t="shared" si="0"/>
        <v>60</v>
      </c>
      <c r="S55" s="1">
        <f t="shared" si="1"/>
        <v>2.4063999999999997</v>
      </c>
      <c r="T55" s="1">
        <f t="shared" si="30"/>
        <v>20</v>
      </c>
      <c r="U55" s="133">
        <f t="shared" si="31"/>
        <v>7.219199999999999</v>
      </c>
      <c r="V55" s="132">
        <f>IF(Calculations!$B$17=3,2,IF((S55*R55/T55)&lt;((T55*(1-(T55/R55)))/(2*Lm*fsw)),1,2))</f>
        <v>2</v>
      </c>
      <c r="W55" s="1">
        <f t="shared" si="32"/>
        <v>0.66666666666666674</v>
      </c>
      <c r="X55" s="133">
        <f t="shared" si="33"/>
        <v>0.33333333333333326</v>
      </c>
      <c r="Y55" s="132">
        <f t="shared" si="34"/>
        <v>10.256410256410257</v>
      </c>
      <c r="Z55" s="1">
        <f t="shared" si="13"/>
        <v>12.347405128205128</v>
      </c>
      <c r="AA55" s="1">
        <f t="shared" si="14"/>
        <v>7.8027566444376859</v>
      </c>
      <c r="AB55" s="1">
        <v>0</v>
      </c>
      <c r="AC55" s="1">
        <f t="shared" si="35"/>
        <v>0.12481017306724872</v>
      </c>
      <c r="AD55" s="133">
        <f t="shared" si="16"/>
        <v>0.12481017306724872</v>
      </c>
      <c r="AE55" s="132">
        <f t="shared" si="28"/>
        <v>4.8128000000000002</v>
      </c>
      <c r="AF55" s="1">
        <f t="shared" si="17"/>
        <v>6.3709241219944674</v>
      </c>
      <c r="AG55" s="1">
        <f t="shared" si="36"/>
        <v>4.0588674168210978E-2</v>
      </c>
      <c r="AH55" s="1">
        <f t="shared" si="37"/>
        <v>0.45145032168680976</v>
      </c>
      <c r="AI55" s="133">
        <f t="shared" si="19"/>
        <v>0.49203899585502076</v>
      </c>
      <c r="AJ55" s="132">
        <f t="shared" si="20"/>
        <v>2.4063999999999992</v>
      </c>
      <c r="AK55" s="1">
        <f t="shared" si="21"/>
        <v>4.5049236490872389</v>
      </c>
      <c r="AL55" s="1">
        <f t="shared" si="38"/>
        <v>2.0294337084105486E-2</v>
      </c>
      <c r="AM55" s="1">
        <f t="shared" si="45"/>
        <v>0.26083200000000001</v>
      </c>
      <c r="AN55" s="136">
        <f t="shared" si="39"/>
        <v>0.10273041066666667</v>
      </c>
      <c r="AO55" s="133">
        <f t="shared" si="23"/>
        <v>0.38385674775077216</v>
      </c>
      <c r="AP55" s="132">
        <f t="shared" si="40"/>
        <v>0.12176602250463292</v>
      </c>
      <c r="AQ55" s="137">
        <f t="shared" si="41"/>
        <v>0.12481017306724872</v>
      </c>
      <c r="AR55" s="137">
        <f t="shared" si="42"/>
        <v>1.6152231232584866</v>
      </c>
      <c r="AS55" s="1">
        <f t="shared" si="43"/>
        <v>1.9759999999999996E-2</v>
      </c>
      <c r="AT55" s="133">
        <f t="shared" si="44"/>
        <v>0.08</v>
      </c>
      <c r="AU55" s="132">
        <f t="shared" si="25"/>
        <v>2.96226523550341</v>
      </c>
      <c r="AV55" s="1">
        <f t="shared" si="26"/>
        <v>144.38399999999999</v>
      </c>
      <c r="AW55" s="133">
        <f t="shared" si="27"/>
        <v>97.989589196055405</v>
      </c>
    </row>
    <row r="56" spans="17:49" x14ac:dyDescent="0.15">
      <c r="Q56">
        <v>49</v>
      </c>
      <c r="R56" s="132">
        <f t="shared" si="0"/>
        <v>60</v>
      </c>
      <c r="S56" s="1">
        <f t="shared" si="1"/>
        <v>2.4565333333333332</v>
      </c>
      <c r="T56" s="1">
        <f t="shared" si="30"/>
        <v>20</v>
      </c>
      <c r="U56" s="133">
        <f t="shared" si="31"/>
        <v>7.3696000000000002</v>
      </c>
      <c r="V56" s="132">
        <f>IF(Calculations!$B$17=3,2,IF((S56*R56/T56)&lt;((T56*(1-(T56/R56)))/(2*Lm*fsw)),1,2))</f>
        <v>2</v>
      </c>
      <c r="W56" s="1">
        <f t="shared" si="32"/>
        <v>0.66666666666666674</v>
      </c>
      <c r="X56" s="133">
        <f t="shared" si="33"/>
        <v>0.33333333333333326</v>
      </c>
      <c r="Y56" s="132">
        <f t="shared" si="34"/>
        <v>10.256410256410257</v>
      </c>
      <c r="Z56" s="1">
        <f t="shared" si="13"/>
        <v>12.49780512820513</v>
      </c>
      <c r="AA56" s="1">
        <f t="shared" si="14"/>
        <v>7.9421134953056711</v>
      </c>
      <c r="AB56" s="1">
        <v>0</v>
      </c>
      <c r="AC56" s="1">
        <f t="shared" si="35"/>
        <v>0.12930819188324874</v>
      </c>
      <c r="AD56" s="133">
        <f t="shared" si="16"/>
        <v>0.12930819188324874</v>
      </c>
      <c r="AE56" s="132">
        <f t="shared" si="28"/>
        <v>4.9130666666666674</v>
      </c>
      <c r="AF56" s="1">
        <f t="shared" si="17"/>
        <v>6.4847085142570329</v>
      </c>
      <c r="AG56" s="1">
        <f t="shared" si="36"/>
        <v>4.2051444514877655E-2</v>
      </c>
      <c r="AH56" s="1">
        <f t="shared" si="37"/>
        <v>0.46085553672195173</v>
      </c>
      <c r="AI56" s="133">
        <f t="shared" si="19"/>
        <v>0.50290698123682942</v>
      </c>
      <c r="AJ56" s="132">
        <f t="shared" si="20"/>
        <v>2.4565333333333328</v>
      </c>
      <c r="AK56" s="1">
        <f t="shared" si="21"/>
        <v>4.5853813644492885</v>
      </c>
      <c r="AL56" s="1">
        <f t="shared" si="38"/>
        <v>2.102572225743882E-2</v>
      </c>
      <c r="AM56" s="1">
        <f t="shared" si="45"/>
        <v>0.26083200000000001</v>
      </c>
      <c r="AN56" s="136">
        <f t="shared" si="39"/>
        <v>0.1039817386666667</v>
      </c>
      <c r="AO56" s="133">
        <f t="shared" si="23"/>
        <v>0.38583946092410554</v>
      </c>
      <c r="AP56" s="132">
        <f t="shared" si="40"/>
        <v>0.12615433354463293</v>
      </c>
      <c r="AQ56" s="137">
        <f t="shared" si="41"/>
        <v>0.12930819188324874</v>
      </c>
      <c r="AR56" s="137">
        <f t="shared" si="42"/>
        <v>1.6152231232584866</v>
      </c>
      <c r="AS56" s="1">
        <f t="shared" si="43"/>
        <v>1.9759999999999996E-2</v>
      </c>
      <c r="AT56" s="133">
        <f t="shared" si="44"/>
        <v>0.08</v>
      </c>
      <c r="AU56" s="132">
        <f t="shared" si="25"/>
        <v>2.988500282730552</v>
      </c>
      <c r="AV56" s="1">
        <f t="shared" si="26"/>
        <v>147.392</v>
      </c>
      <c r="AW56" s="133">
        <f t="shared" si="27"/>
        <v>98.012707580363241</v>
      </c>
    </row>
    <row r="57" spans="17:49" x14ac:dyDescent="0.15">
      <c r="Q57">
        <v>50</v>
      </c>
      <c r="R57" s="132">
        <f t="shared" si="0"/>
        <v>60</v>
      </c>
      <c r="S57" s="1">
        <f t="shared" si="1"/>
        <v>2.5066666666666664</v>
      </c>
      <c r="T57" s="1">
        <f t="shared" si="30"/>
        <v>20</v>
      </c>
      <c r="U57" s="133">
        <f t="shared" si="31"/>
        <v>7.5199999999999987</v>
      </c>
      <c r="V57" s="132">
        <f>IF(Calculations!$B$17=3,2,IF((S57*R57/T57)&lt;((T57*(1-(T57/R57)))/(2*Lm*fsw)),1,2))</f>
        <v>2</v>
      </c>
      <c r="W57" s="1">
        <f t="shared" si="32"/>
        <v>0.66666666666666674</v>
      </c>
      <c r="X57" s="133">
        <f t="shared" si="33"/>
        <v>0.33333333333333326</v>
      </c>
      <c r="Y57" s="132">
        <f t="shared" si="34"/>
        <v>10.256410256410257</v>
      </c>
      <c r="Z57" s="1">
        <f t="shared" si="13"/>
        <v>12.648205128205127</v>
      </c>
      <c r="AA57" s="1">
        <f t="shared" si="14"/>
        <v>8.0818662827540297</v>
      </c>
      <c r="AB57" s="1">
        <v>0</v>
      </c>
      <c r="AC57" s="1">
        <f t="shared" si="35"/>
        <v>0.13389895335524868</v>
      </c>
      <c r="AD57" s="133">
        <f t="shared" si="16"/>
        <v>0.13389895335524868</v>
      </c>
      <c r="AE57" s="132">
        <f t="shared" si="28"/>
        <v>5.0133333333333328</v>
      </c>
      <c r="AF57" s="1">
        <f t="shared" si="17"/>
        <v>6.5988161873837345</v>
      </c>
      <c r="AG57" s="1">
        <f t="shared" si="36"/>
        <v>4.3544375074877607E-2</v>
      </c>
      <c r="AH57" s="1">
        <f t="shared" si="37"/>
        <v>0.47026075175709353</v>
      </c>
      <c r="AI57" s="133">
        <f t="shared" si="19"/>
        <v>0.5138051268319711</v>
      </c>
      <c r="AJ57" s="132">
        <f t="shared" si="20"/>
        <v>2.5066666666666655</v>
      </c>
      <c r="AK57" s="1">
        <f t="shared" si="21"/>
        <v>4.6660676739025977</v>
      </c>
      <c r="AL57" s="1">
        <f t="shared" si="38"/>
        <v>2.17721875374388E-2</v>
      </c>
      <c r="AM57" s="1">
        <f t="shared" si="45"/>
        <v>0.26083200000000001</v>
      </c>
      <c r="AN57" s="136">
        <f t="shared" si="39"/>
        <v>0.10523306666666667</v>
      </c>
      <c r="AO57" s="133">
        <f t="shared" si="23"/>
        <v>0.38783725420410547</v>
      </c>
      <c r="AP57" s="132">
        <f t="shared" si="40"/>
        <v>0.13063312522463286</v>
      </c>
      <c r="AQ57" s="137">
        <f t="shared" si="41"/>
        <v>0.13389895335524868</v>
      </c>
      <c r="AR57" s="137">
        <f t="shared" si="42"/>
        <v>1.6152231232584866</v>
      </c>
      <c r="AS57" s="1">
        <f t="shared" si="43"/>
        <v>1.9759999999999996E-2</v>
      </c>
      <c r="AT57" s="133">
        <f t="shared" si="44"/>
        <v>0.08</v>
      </c>
      <c r="AU57" s="132">
        <f t="shared" si="25"/>
        <v>3.0150565362296931</v>
      </c>
      <c r="AV57" s="1">
        <f t="shared" si="26"/>
        <v>150.39999999999998</v>
      </c>
      <c r="AW57" s="133">
        <f t="shared" si="27"/>
        <v>98.034706237899371</v>
      </c>
    </row>
    <row r="58" spans="17:49" x14ac:dyDescent="0.15">
      <c r="Q58">
        <v>51</v>
      </c>
      <c r="R58" s="132">
        <f t="shared" si="0"/>
        <v>60</v>
      </c>
      <c r="S58" s="1">
        <f t="shared" si="1"/>
        <v>2.5568</v>
      </c>
      <c r="T58" s="1">
        <f t="shared" si="30"/>
        <v>20</v>
      </c>
      <c r="U58" s="133">
        <f t="shared" si="31"/>
        <v>7.670399999999999</v>
      </c>
      <c r="V58" s="132">
        <f>IF(Calculations!$B$17=3,2,IF((S58*R58/T58)&lt;((T58*(1-(T58/R58)))/(2*Lm*fsw)),1,2))</f>
        <v>2</v>
      </c>
      <c r="W58" s="1">
        <f t="shared" si="32"/>
        <v>0.66666666666666674</v>
      </c>
      <c r="X58" s="133">
        <f t="shared" si="33"/>
        <v>0.33333333333333326</v>
      </c>
      <c r="Y58" s="132">
        <f t="shared" si="34"/>
        <v>10.256410256410257</v>
      </c>
      <c r="Z58" s="1">
        <f t="shared" si="13"/>
        <v>12.798605128205129</v>
      </c>
      <c r="AA58" s="1">
        <f t="shared" si="14"/>
        <v>8.2219948170937478</v>
      </c>
      <c r="AB58" s="1">
        <v>0</v>
      </c>
      <c r="AC58" s="1">
        <f t="shared" si="35"/>
        <v>0.13858245748324871</v>
      </c>
      <c r="AD58" s="133">
        <f t="shared" si="16"/>
        <v>0.13858245748324871</v>
      </c>
      <c r="AE58" s="132">
        <f t="shared" si="28"/>
        <v>5.1135999999999999</v>
      </c>
      <c r="AF58" s="1">
        <f t="shared" si="17"/>
        <v>6.7132306565625282</v>
      </c>
      <c r="AG58" s="1">
        <f t="shared" si="36"/>
        <v>4.5067465848210954E-2</v>
      </c>
      <c r="AH58" s="1">
        <f t="shared" si="37"/>
        <v>0.47966596679223539</v>
      </c>
      <c r="AI58" s="133">
        <f t="shared" si="19"/>
        <v>0.52473343264044636</v>
      </c>
      <c r="AJ58" s="132">
        <f t="shared" si="20"/>
        <v>2.5567999999999991</v>
      </c>
      <c r="AK58" s="1">
        <f t="shared" si="21"/>
        <v>4.7469709209247819</v>
      </c>
      <c r="AL58" s="1">
        <f t="shared" si="38"/>
        <v>2.2533732924105473E-2</v>
      </c>
      <c r="AM58" s="1">
        <f t="shared" si="45"/>
        <v>0.26083200000000001</v>
      </c>
      <c r="AN58" s="136">
        <f t="shared" si="39"/>
        <v>0.10648439466666668</v>
      </c>
      <c r="AO58" s="133">
        <f t="shared" si="23"/>
        <v>0.3898501275907722</v>
      </c>
      <c r="AP58" s="132">
        <f t="shared" si="40"/>
        <v>0.1352023975446329</v>
      </c>
      <c r="AQ58" s="137">
        <f t="shared" si="41"/>
        <v>0.13858245748324871</v>
      </c>
      <c r="AR58" s="137">
        <f t="shared" si="42"/>
        <v>1.6152231232584866</v>
      </c>
      <c r="AS58" s="1">
        <f t="shared" si="43"/>
        <v>1.9759999999999996E-2</v>
      </c>
      <c r="AT58" s="133">
        <f t="shared" si="44"/>
        <v>0.08</v>
      </c>
      <c r="AU58" s="132">
        <f t="shared" si="25"/>
        <v>3.0419339960008358</v>
      </c>
      <c r="AV58" s="1">
        <f t="shared" si="26"/>
        <v>153.40799999999999</v>
      </c>
      <c r="AW58" s="133">
        <f t="shared" si="27"/>
        <v>98.055650188974454</v>
      </c>
    </row>
    <row r="59" spans="17:49" x14ac:dyDescent="0.15">
      <c r="Q59">
        <v>52</v>
      </c>
      <c r="R59" s="132">
        <f t="shared" si="0"/>
        <v>60</v>
      </c>
      <c r="S59" s="1">
        <f t="shared" si="1"/>
        <v>2.6069333333333331</v>
      </c>
      <c r="T59" s="1">
        <f t="shared" si="30"/>
        <v>20</v>
      </c>
      <c r="U59" s="133">
        <f t="shared" si="31"/>
        <v>7.8208000000000002</v>
      </c>
      <c r="V59" s="132">
        <f>IF(Calculations!$B$17=3,2,IF((S59*R59/T59)&lt;((T59*(1-(T59/R59)))/(2*Lm*fsw)),1,2))</f>
        <v>2</v>
      </c>
      <c r="W59" s="1">
        <f t="shared" si="32"/>
        <v>0.66666666666666674</v>
      </c>
      <c r="X59" s="133">
        <f t="shared" si="33"/>
        <v>0.33333333333333326</v>
      </c>
      <c r="Y59" s="132">
        <f t="shared" si="34"/>
        <v>10.256410256410257</v>
      </c>
      <c r="Z59" s="1">
        <f t="shared" si="13"/>
        <v>12.94900512820513</v>
      </c>
      <c r="AA59" s="1">
        <f t="shared" si="14"/>
        <v>8.3624802093826478</v>
      </c>
      <c r="AB59" s="1">
        <v>0</v>
      </c>
      <c r="AC59" s="1">
        <f t="shared" si="35"/>
        <v>0.1433587042672487</v>
      </c>
      <c r="AD59" s="133">
        <f t="shared" si="16"/>
        <v>0.1433587042672487</v>
      </c>
      <c r="AE59" s="132">
        <f t="shared" si="28"/>
        <v>5.2138666666666671</v>
      </c>
      <c r="AF59" s="1">
        <f t="shared" si="17"/>
        <v>6.8279364990367064</v>
      </c>
      <c r="AG59" s="1">
        <f t="shared" si="36"/>
        <v>4.6620716834877632E-2</v>
      </c>
      <c r="AH59" s="1">
        <f t="shared" si="37"/>
        <v>0.4890711818273773</v>
      </c>
      <c r="AI59" s="133">
        <f t="shared" si="19"/>
        <v>0.53569189866225497</v>
      </c>
      <c r="AJ59" s="132">
        <f t="shared" si="20"/>
        <v>2.6069333333333327</v>
      </c>
      <c r="AK59" s="1">
        <f t="shared" si="21"/>
        <v>4.8280801999799889</v>
      </c>
      <c r="AL59" s="1">
        <f t="shared" si="38"/>
        <v>2.3310358417438809E-2</v>
      </c>
      <c r="AM59" s="1">
        <f t="shared" si="45"/>
        <v>0.26083200000000001</v>
      </c>
      <c r="AN59" s="136">
        <f t="shared" si="39"/>
        <v>0.10773572266666669</v>
      </c>
      <c r="AO59" s="133">
        <f t="shared" si="23"/>
        <v>0.39187808108410555</v>
      </c>
      <c r="AP59" s="132">
        <f t="shared" si="40"/>
        <v>0.13986215050463291</v>
      </c>
      <c r="AQ59" s="137">
        <f t="shared" si="41"/>
        <v>0.1433587042672487</v>
      </c>
      <c r="AR59" s="137">
        <f t="shared" si="42"/>
        <v>1.6152231232584866</v>
      </c>
      <c r="AS59" s="1">
        <f t="shared" si="43"/>
        <v>1.9759999999999996E-2</v>
      </c>
      <c r="AT59" s="133">
        <f t="shared" si="44"/>
        <v>0.08</v>
      </c>
      <c r="AU59" s="132">
        <f t="shared" si="25"/>
        <v>3.0691326620439776</v>
      </c>
      <c r="AV59" s="1">
        <f t="shared" si="26"/>
        <v>156.416</v>
      </c>
      <c r="AW59" s="133">
        <f t="shared" si="27"/>
        <v>98.07559951776345</v>
      </c>
    </row>
    <row r="60" spans="17:49" x14ac:dyDescent="0.15">
      <c r="Q60">
        <v>53</v>
      </c>
      <c r="R60" s="132">
        <f t="shared" si="0"/>
        <v>60</v>
      </c>
      <c r="S60" s="1">
        <f t="shared" si="1"/>
        <v>2.6570666666666662</v>
      </c>
      <c r="T60" s="1">
        <f t="shared" si="30"/>
        <v>20</v>
      </c>
      <c r="U60" s="133">
        <f t="shared" si="31"/>
        <v>7.9711999999999987</v>
      </c>
      <c r="V60" s="132">
        <f>IF(Calculations!$B$17=3,2,IF((S60*R60/T60)&lt;((T60*(1-(T60/R60)))/(2*Lm*fsw)),1,2))</f>
        <v>2</v>
      </c>
      <c r="W60" s="1">
        <f t="shared" si="32"/>
        <v>0.66666666666666674</v>
      </c>
      <c r="X60" s="133">
        <f t="shared" si="33"/>
        <v>0.33333333333333326</v>
      </c>
      <c r="Y60" s="132">
        <f t="shared" si="34"/>
        <v>10.256410256410257</v>
      </c>
      <c r="Z60" s="1">
        <f t="shared" si="13"/>
        <v>13.099405128205127</v>
      </c>
      <c r="AA60" s="1">
        <f t="shared" si="14"/>
        <v>8.5033047723997548</v>
      </c>
      <c r="AB60" s="1">
        <v>0</v>
      </c>
      <c r="AC60" s="1">
        <f t="shared" si="35"/>
        <v>0.1482276937072487</v>
      </c>
      <c r="AD60" s="133">
        <f t="shared" si="16"/>
        <v>0.1482276937072487</v>
      </c>
      <c r="AE60" s="132">
        <f t="shared" si="28"/>
        <v>5.3141333333333334</v>
      </c>
      <c r="AF60" s="1">
        <f t="shared" si="17"/>
        <v>6.9429192732508174</v>
      </c>
      <c r="AG60" s="1">
        <f t="shared" si="36"/>
        <v>4.8204128034877655E-2</v>
      </c>
      <c r="AH60" s="1">
        <f t="shared" si="37"/>
        <v>0.49847639686251916</v>
      </c>
      <c r="AI60" s="133">
        <f t="shared" si="19"/>
        <v>0.54668052489739682</v>
      </c>
      <c r="AJ60" s="132">
        <f t="shared" si="20"/>
        <v>2.6570666666666658</v>
      </c>
      <c r="AK60" s="1">
        <f t="shared" si="21"/>
        <v>4.909385299346428</v>
      </c>
      <c r="AL60" s="1">
        <f t="shared" si="38"/>
        <v>2.4102064017438817E-2</v>
      </c>
      <c r="AM60" s="1">
        <f t="shared" si="45"/>
        <v>0.26083200000000001</v>
      </c>
      <c r="AN60" s="136">
        <f t="shared" si="39"/>
        <v>0.10898705066666667</v>
      </c>
      <c r="AO60" s="133">
        <f t="shared" si="23"/>
        <v>0.39392111468410551</v>
      </c>
      <c r="AP60" s="132">
        <f t="shared" si="40"/>
        <v>0.1446123841046329</v>
      </c>
      <c r="AQ60" s="137">
        <f t="shared" si="41"/>
        <v>0.1482276937072487</v>
      </c>
      <c r="AR60" s="137">
        <f t="shared" si="42"/>
        <v>1.6152231232584866</v>
      </c>
      <c r="AS60" s="1">
        <f t="shared" si="43"/>
        <v>1.9759999999999996E-2</v>
      </c>
      <c r="AT60" s="133">
        <f t="shared" si="44"/>
        <v>0.08</v>
      </c>
      <c r="AU60" s="132">
        <f t="shared" si="25"/>
        <v>3.0966525343591194</v>
      </c>
      <c r="AV60" s="1">
        <f t="shared" si="26"/>
        <v>159.42399999999998</v>
      </c>
      <c r="AW60" s="133">
        <f t="shared" si="27"/>
        <v>98.094609832000003</v>
      </c>
    </row>
    <row r="61" spans="17:49" x14ac:dyDescent="0.15">
      <c r="Q61">
        <v>54</v>
      </c>
      <c r="R61" s="132">
        <f t="shared" si="0"/>
        <v>60</v>
      </c>
      <c r="S61" s="1">
        <f t="shared" si="1"/>
        <v>2.7071999999999998</v>
      </c>
      <c r="T61" s="1">
        <f t="shared" si="30"/>
        <v>20</v>
      </c>
      <c r="U61" s="133">
        <f t="shared" si="31"/>
        <v>8.121599999999999</v>
      </c>
      <c r="V61" s="132">
        <f>IF(Calculations!$B$17=3,2,IF((S61*R61/T61)&lt;((T61*(1-(T61/R61)))/(2*Lm*fsw)),1,2))</f>
        <v>2</v>
      </c>
      <c r="W61" s="1">
        <f t="shared" si="32"/>
        <v>0.66666666666666674</v>
      </c>
      <c r="X61" s="133">
        <f t="shared" si="33"/>
        <v>0.33333333333333326</v>
      </c>
      <c r="Y61" s="132">
        <f t="shared" si="34"/>
        <v>10.256410256410257</v>
      </c>
      <c r="Z61" s="1">
        <f t="shared" si="13"/>
        <v>13.249805128205129</v>
      </c>
      <c r="AA61" s="1">
        <f t="shared" si="14"/>
        <v>8.6444519301293159</v>
      </c>
      <c r="AB61" s="1">
        <v>0</v>
      </c>
      <c r="AC61" s="1">
        <f t="shared" si="35"/>
        <v>0.15318942580324871</v>
      </c>
      <c r="AD61" s="133">
        <f t="shared" si="16"/>
        <v>0.15318942580324871</v>
      </c>
      <c r="AE61" s="132">
        <f t="shared" si="28"/>
        <v>5.4143999999999997</v>
      </c>
      <c r="AF61" s="1">
        <f t="shared" si="17"/>
        <v>7.0581654449446685</v>
      </c>
      <c r="AG61" s="1">
        <f t="shared" si="36"/>
        <v>4.9817699448210968E-2</v>
      </c>
      <c r="AH61" s="1">
        <f t="shared" si="37"/>
        <v>0.50788161189766101</v>
      </c>
      <c r="AI61" s="133">
        <f t="shared" si="19"/>
        <v>0.55769931134587203</v>
      </c>
      <c r="AJ61" s="132">
        <f t="shared" si="20"/>
        <v>2.7071999999999989</v>
      </c>
      <c r="AK61" s="1">
        <f t="shared" si="21"/>
        <v>4.9908766488569398</v>
      </c>
      <c r="AL61" s="1">
        <f t="shared" si="38"/>
        <v>2.4908849724105477E-2</v>
      </c>
      <c r="AM61" s="1">
        <f t="shared" si="45"/>
        <v>0.26083200000000001</v>
      </c>
      <c r="AN61" s="136">
        <f t="shared" si="39"/>
        <v>0.11023837866666668</v>
      </c>
      <c r="AO61" s="133">
        <f t="shared" si="23"/>
        <v>0.39597922839077215</v>
      </c>
      <c r="AP61" s="132">
        <f t="shared" si="40"/>
        <v>0.14945309834463291</v>
      </c>
      <c r="AQ61" s="137">
        <f t="shared" si="41"/>
        <v>0.15318942580324871</v>
      </c>
      <c r="AR61" s="137">
        <f t="shared" si="42"/>
        <v>1.6152231232584866</v>
      </c>
      <c r="AS61" s="1">
        <f t="shared" si="43"/>
        <v>1.9759999999999996E-2</v>
      </c>
      <c r="AT61" s="133">
        <f t="shared" si="44"/>
        <v>0.08</v>
      </c>
      <c r="AU61" s="132">
        <f t="shared" si="25"/>
        <v>3.124493612946261</v>
      </c>
      <c r="AV61" s="1">
        <f t="shared" si="26"/>
        <v>162.43199999999999</v>
      </c>
      <c r="AW61" s="133">
        <f t="shared" si="27"/>
        <v>98.112732672237556</v>
      </c>
    </row>
    <row r="62" spans="17:49" x14ac:dyDescent="0.15">
      <c r="Q62">
        <v>55</v>
      </c>
      <c r="R62" s="132">
        <f t="shared" si="0"/>
        <v>60</v>
      </c>
      <c r="S62" s="1">
        <f t="shared" si="1"/>
        <v>2.757333333333333</v>
      </c>
      <c r="T62" s="1">
        <f t="shared" si="30"/>
        <v>20</v>
      </c>
      <c r="U62" s="133">
        <f t="shared" si="31"/>
        <v>8.2719999999999985</v>
      </c>
      <c r="V62" s="132">
        <f>IF(Calculations!$B$17=3,2,IF((S62*R62/T62)&lt;((T62*(1-(T62/R62)))/(2*Lm*fsw)),1,2))</f>
        <v>2</v>
      </c>
      <c r="W62" s="1">
        <f t="shared" si="32"/>
        <v>0.66666666666666674</v>
      </c>
      <c r="X62" s="133">
        <f t="shared" si="33"/>
        <v>0.33333333333333326</v>
      </c>
      <c r="Y62" s="132">
        <f t="shared" si="34"/>
        <v>10.256410256410257</v>
      </c>
      <c r="Z62" s="1">
        <f t="shared" si="13"/>
        <v>13.400205128205126</v>
      </c>
      <c r="AA62" s="1">
        <f t="shared" si="14"/>
        <v>8.7859061349593546</v>
      </c>
      <c r="AB62" s="1">
        <v>0</v>
      </c>
      <c r="AC62" s="1">
        <f t="shared" si="35"/>
        <v>0.15824390055524865</v>
      </c>
      <c r="AD62" s="133">
        <f t="shared" si="16"/>
        <v>0.15824390055524865</v>
      </c>
      <c r="AE62" s="132">
        <f t="shared" si="28"/>
        <v>5.5146666666666659</v>
      </c>
      <c r="AF62" s="1">
        <f t="shared" si="17"/>
        <v>7.1736623195462448</v>
      </c>
      <c r="AG62" s="1">
        <f t="shared" si="36"/>
        <v>5.1461431074877613E-2</v>
      </c>
      <c r="AH62" s="1">
        <f t="shared" si="37"/>
        <v>0.51728682693280292</v>
      </c>
      <c r="AI62" s="133">
        <f t="shared" si="19"/>
        <v>0.56874825800768058</v>
      </c>
      <c r="AJ62" s="132">
        <f t="shared" si="20"/>
        <v>2.7573333333333321</v>
      </c>
      <c r="AK62" s="1">
        <f t="shared" si="21"/>
        <v>5.0725452720935671</v>
      </c>
      <c r="AL62" s="1">
        <f t="shared" si="38"/>
        <v>2.5730715537438803E-2</v>
      </c>
      <c r="AM62" s="1">
        <f t="shared" si="45"/>
        <v>0.26083200000000001</v>
      </c>
      <c r="AN62" s="136">
        <f t="shared" si="39"/>
        <v>0.11148970666666666</v>
      </c>
      <c r="AO62" s="133">
        <f t="shared" si="23"/>
        <v>0.39805242220410553</v>
      </c>
      <c r="AP62" s="132">
        <f t="shared" si="40"/>
        <v>0.15438429322463285</v>
      </c>
      <c r="AQ62" s="137">
        <f t="shared" si="41"/>
        <v>0.15824390055524865</v>
      </c>
      <c r="AR62" s="137">
        <f t="shared" si="42"/>
        <v>1.6152231232584866</v>
      </c>
      <c r="AS62" s="1">
        <f t="shared" si="43"/>
        <v>1.9759999999999996E-2</v>
      </c>
      <c r="AT62" s="133">
        <f t="shared" si="44"/>
        <v>0.08</v>
      </c>
      <c r="AU62" s="132">
        <f t="shared" si="25"/>
        <v>3.1526558978054031</v>
      </c>
      <c r="AV62" s="1">
        <f t="shared" si="26"/>
        <v>165.43999999999997</v>
      </c>
      <c r="AW62" s="133">
        <f t="shared" si="27"/>
        <v>98.130015877016362</v>
      </c>
    </row>
    <row r="63" spans="17:49" x14ac:dyDescent="0.15">
      <c r="Q63">
        <v>56</v>
      </c>
      <c r="R63" s="132">
        <f t="shared" si="0"/>
        <v>60</v>
      </c>
      <c r="S63" s="1">
        <f t="shared" si="1"/>
        <v>2.8074666666666666</v>
      </c>
      <c r="T63" s="1">
        <f t="shared" si="30"/>
        <v>20</v>
      </c>
      <c r="U63" s="133">
        <f t="shared" si="31"/>
        <v>8.4223999999999997</v>
      </c>
      <c r="V63" s="132">
        <f>IF(Calculations!$B$17=3,2,IF((S63*R63/T63)&lt;((T63*(1-(T63/R63)))/(2*Lm*fsw)),1,2))</f>
        <v>2</v>
      </c>
      <c r="W63" s="1">
        <f t="shared" si="32"/>
        <v>0.66666666666666674</v>
      </c>
      <c r="X63" s="133">
        <f t="shared" si="33"/>
        <v>0.33333333333333326</v>
      </c>
      <c r="Y63" s="132">
        <f t="shared" si="34"/>
        <v>10.256410256410257</v>
      </c>
      <c r="Z63" s="1">
        <f t="shared" si="13"/>
        <v>13.550605128205127</v>
      </c>
      <c r="AA63" s="1">
        <f t="shared" si="14"/>
        <v>8.9276527918774065</v>
      </c>
      <c r="AB63" s="1">
        <v>0</v>
      </c>
      <c r="AC63" s="1">
        <f t="shared" si="35"/>
        <v>0.16339111796324871</v>
      </c>
      <c r="AD63" s="133">
        <f t="shared" si="16"/>
        <v>0.16339111796324871</v>
      </c>
      <c r="AE63" s="132">
        <f t="shared" si="28"/>
        <v>5.614933333333334</v>
      </c>
      <c r="AF63" s="1">
        <f t="shared" si="17"/>
        <v>7.2893979802777702</v>
      </c>
      <c r="AG63" s="1">
        <f t="shared" si="36"/>
        <v>5.3135322914877638E-2</v>
      </c>
      <c r="AH63" s="1">
        <f t="shared" si="37"/>
        <v>0.52669204196794484</v>
      </c>
      <c r="AI63" s="133">
        <f t="shared" si="19"/>
        <v>0.57982736488282249</v>
      </c>
      <c r="AJ63" s="132">
        <f t="shared" si="20"/>
        <v>2.8074666666666661</v>
      </c>
      <c r="AK63" s="1">
        <f t="shared" si="21"/>
        <v>5.1543827426219337</v>
      </c>
      <c r="AL63" s="1">
        <f t="shared" si="38"/>
        <v>2.6567661457438808E-2</v>
      </c>
      <c r="AM63" s="1">
        <f t="shared" si="45"/>
        <v>0.26083200000000001</v>
      </c>
      <c r="AN63" s="136">
        <f t="shared" si="39"/>
        <v>0.11274103466666667</v>
      </c>
      <c r="AO63" s="133">
        <f t="shared" si="23"/>
        <v>0.40014069612410552</v>
      </c>
      <c r="AP63" s="132">
        <f t="shared" si="40"/>
        <v>0.15940596874463289</v>
      </c>
      <c r="AQ63" s="137">
        <f t="shared" si="41"/>
        <v>0.16339111796324871</v>
      </c>
      <c r="AR63" s="137">
        <f t="shared" si="42"/>
        <v>1.6152231232584866</v>
      </c>
      <c r="AS63" s="1">
        <f t="shared" si="43"/>
        <v>1.9759999999999996E-2</v>
      </c>
      <c r="AT63" s="133">
        <f t="shared" si="44"/>
        <v>0.08</v>
      </c>
      <c r="AU63" s="132">
        <f t="shared" si="25"/>
        <v>3.1811393889365451</v>
      </c>
      <c r="AV63" s="1">
        <f t="shared" si="26"/>
        <v>168.44799999999998</v>
      </c>
      <c r="AW63" s="133">
        <f t="shared" si="27"/>
        <v>98.146503909381252</v>
      </c>
    </row>
    <row r="64" spans="17:49" x14ac:dyDescent="0.15">
      <c r="Q64">
        <v>57</v>
      </c>
      <c r="R64" s="132">
        <f t="shared" si="0"/>
        <v>60</v>
      </c>
      <c r="S64" s="1">
        <f t="shared" si="1"/>
        <v>2.8575999999999997</v>
      </c>
      <c r="T64" s="1">
        <f t="shared" si="30"/>
        <v>20</v>
      </c>
      <c r="U64" s="133">
        <f t="shared" si="31"/>
        <v>8.5727999999999991</v>
      </c>
      <c r="V64" s="132">
        <f>IF(Calculations!$B$17=3,2,IF((S64*R64/T64)&lt;((T64*(1-(T64/R64)))/(2*Lm*fsw)),1,2))</f>
        <v>2</v>
      </c>
      <c r="W64" s="1">
        <f t="shared" si="32"/>
        <v>0.66666666666666674</v>
      </c>
      <c r="X64" s="133">
        <f t="shared" si="33"/>
        <v>0.33333333333333326</v>
      </c>
      <c r="Y64" s="132">
        <f t="shared" si="34"/>
        <v>10.256410256410257</v>
      </c>
      <c r="Z64" s="1">
        <f t="shared" si="13"/>
        <v>13.701005128205129</v>
      </c>
      <c r="AA64" s="1">
        <f t="shared" si="14"/>
        <v>9.0696781890162139</v>
      </c>
      <c r="AB64" s="1">
        <v>0</v>
      </c>
      <c r="AC64" s="1">
        <f t="shared" si="35"/>
        <v>0.16863107802724867</v>
      </c>
      <c r="AD64" s="133">
        <f t="shared" si="16"/>
        <v>0.16863107802724867</v>
      </c>
      <c r="AE64" s="132">
        <f t="shared" si="28"/>
        <v>5.7152000000000003</v>
      </c>
      <c r="AF64" s="1">
        <f t="shared" si="17"/>
        <v>7.40536123144651</v>
      </c>
      <c r="AG64" s="1">
        <f t="shared" si="36"/>
        <v>5.4839374968210973E-2</v>
      </c>
      <c r="AH64" s="1">
        <f t="shared" si="37"/>
        <v>0.53609725700308664</v>
      </c>
      <c r="AI64" s="133">
        <f t="shared" si="19"/>
        <v>0.59093663197129764</v>
      </c>
      <c r="AJ64" s="132">
        <f t="shared" si="20"/>
        <v>2.8575999999999993</v>
      </c>
      <c r="AK64" s="1">
        <f t="shared" si="21"/>
        <v>5.236381143891788</v>
      </c>
      <c r="AL64" s="1">
        <f t="shared" si="38"/>
        <v>2.7419687484105469E-2</v>
      </c>
      <c r="AM64" s="1">
        <f t="shared" si="45"/>
        <v>0.26083200000000001</v>
      </c>
      <c r="AN64" s="136">
        <f t="shared" si="39"/>
        <v>0.11399236266666668</v>
      </c>
      <c r="AO64" s="133">
        <f t="shared" si="23"/>
        <v>0.40224405015077214</v>
      </c>
      <c r="AP64" s="132">
        <f t="shared" si="40"/>
        <v>0.16451812490463286</v>
      </c>
      <c r="AQ64" s="137">
        <f t="shared" si="41"/>
        <v>0.16863107802724867</v>
      </c>
      <c r="AR64" s="137">
        <f t="shared" si="42"/>
        <v>1.6152231232584866</v>
      </c>
      <c r="AS64" s="1">
        <f t="shared" si="43"/>
        <v>1.9759999999999996E-2</v>
      </c>
      <c r="AT64" s="133">
        <f t="shared" si="44"/>
        <v>0.08</v>
      </c>
      <c r="AU64" s="132">
        <f t="shared" si="25"/>
        <v>3.2099440863396866</v>
      </c>
      <c r="AV64" s="1">
        <f t="shared" si="26"/>
        <v>171.45599999999999</v>
      </c>
      <c r="AW64" s="133">
        <f t="shared" si="27"/>
        <v>98.16223814943973</v>
      </c>
    </row>
    <row r="65" spans="17:49" x14ac:dyDescent="0.15">
      <c r="Q65">
        <v>58</v>
      </c>
      <c r="R65" s="132">
        <f t="shared" si="0"/>
        <v>60</v>
      </c>
      <c r="S65" s="1">
        <f t="shared" si="1"/>
        <v>2.9077333333333328</v>
      </c>
      <c r="T65" s="1">
        <f t="shared" si="30"/>
        <v>20</v>
      </c>
      <c r="U65" s="133">
        <f t="shared" si="31"/>
        <v>8.7231999999999985</v>
      </c>
      <c r="V65" s="132">
        <f>IF(Calculations!$B$17=3,2,IF((S65*R65/T65)&lt;((T65*(1-(T65/R65)))/(2*Lm*fsw)),1,2))</f>
        <v>2</v>
      </c>
      <c r="W65" s="1">
        <f t="shared" si="32"/>
        <v>0.66666666666666674</v>
      </c>
      <c r="X65" s="133">
        <f t="shared" si="33"/>
        <v>0.33333333333333326</v>
      </c>
      <c r="Y65" s="132">
        <f t="shared" si="34"/>
        <v>10.256410256410257</v>
      </c>
      <c r="Z65" s="1">
        <f t="shared" si="13"/>
        <v>13.851405128205126</v>
      </c>
      <c r="AA65" s="1">
        <f t="shared" si="14"/>
        <v>9.2119694339655975</v>
      </c>
      <c r="AB65" s="1">
        <v>0</v>
      </c>
      <c r="AC65" s="1">
        <f t="shared" si="35"/>
        <v>0.17396378074724872</v>
      </c>
      <c r="AD65" s="133">
        <f t="shared" si="16"/>
        <v>0.17396378074724872</v>
      </c>
      <c r="AE65" s="132">
        <f t="shared" si="28"/>
        <v>5.8154666666666666</v>
      </c>
      <c r="AF65" s="1">
        <f t="shared" si="17"/>
        <v>7.521541546443629</v>
      </c>
      <c r="AG65" s="1">
        <f t="shared" si="36"/>
        <v>5.6573587234877619E-2</v>
      </c>
      <c r="AH65" s="1">
        <f t="shared" si="37"/>
        <v>0.54550247203822844</v>
      </c>
      <c r="AI65" s="133">
        <f t="shared" si="19"/>
        <v>0.60207605927310603</v>
      </c>
      <c r="AJ65" s="132">
        <f t="shared" si="20"/>
        <v>2.9077333333333324</v>
      </c>
      <c r="AK65" s="1">
        <f t="shared" si="21"/>
        <v>5.3185330324666404</v>
      </c>
      <c r="AL65" s="1">
        <f t="shared" si="38"/>
        <v>2.8286793617438799E-2</v>
      </c>
      <c r="AM65" s="1">
        <f t="shared" si="45"/>
        <v>0.26083200000000001</v>
      </c>
      <c r="AN65" s="136">
        <f t="shared" si="39"/>
        <v>0.11524369066666666</v>
      </c>
      <c r="AO65" s="133">
        <f t="shared" si="23"/>
        <v>0.40436248428410548</v>
      </c>
      <c r="AP65" s="132">
        <f t="shared" si="40"/>
        <v>0.16972076170463291</v>
      </c>
      <c r="AQ65" s="137">
        <f t="shared" si="41"/>
        <v>0.17396378074724872</v>
      </c>
      <c r="AR65" s="137">
        <f t="shared" si="42"/>
        <v>1.6152231232584866</v>
      </c>
      <c r="AS65" s="1">
        <f t="shared" si="43"/>
        <v>1.9759999999999996E-2</v>
      </c>
      <c r="AT65" s="133">
        <f t="shared" si="44"/>
        <v>0.08</v>
      </c>
      <c r="AU65" s="132">
        <f t="shared" si="25"/>
        <v>3.2390699900148285</v>
      </c>
      <c r="AV65" s="1">
        <f t="shared" si="26"/>
        <v>174.46399999999997</v>
      </c>
      <c r="AW65" s="133">
        <f t="shared" si="27"/>
        <v>98.177257157010942</v>
      </c>
    </row>
    <row r="66" spans="17:49" x14ac:dyDescent="0.15">
      <c r="Q66">
        <v>59</v>
      </c>
      <c r="R66" s="132">
        <f t="shared" si="0"/>
        <v>60</v>
      </c>
      <c r="S66" s="1">
        <f t="shared" si="1"/>
        <v>2.9578666666666664</v>
      </c>
      <c r="T66" s="1">
        <f t="shared" si="30"/>
        <v>20</v>
      </c>
      <c r="U66" s="133">
        <f t="shared" si="31"/>
        <v>8.8735999999999997</v>
      </c>
      <c r="V66" s="132">
        <f>IF(Calculations!$B$17=3,2,IF((S66*R66/T66)&lt;((T66*(1-(T66/R66)))/(2*Lm*fsw)),1,2))</f>
        <v>2</v>
      </c>
      <c r="W66" s="1">
        <f t="shared" si="32"/>
        <v>0.66666666666666674</v>
      </c>
      <c r="X66" s="133">
        <f t="shared" si="33"/>
        <v>0.33333333333333326</v>
      </c>
      <c r="Y66" s="132">
        <f t="shared" si="34"/>
        <v>10.256410256410257</v>
      </c>
      <c r="Z66" s="1">
        <f t="shared" si="13"/>
        <v>14.001805128205127</v>
      </c>
      <c r="AA66" s="1">
        <f t="shared" si="14"/>
        <v>9.3545143953235996</v>
      </c>
      <c r="AB66" s="1">
        <v>0</v>
      </c>
      <c r="AC66" s="1">
        <f t="shared" si="35"/>
        <v>0.1793892261232487</v>
      </c>
      <c r="AD66" s="133">
        <f t="shared" si="16"/>
        <v>0.1793892261232487</v>
      </c>
      <c r="AE66" s="132">
        <f t="shared" si="28"/>
        <v>5.9157333333333337</v>
      </c>
      <c r="AF66" s="1">
        <f t="shared" si="17"/>
        <v>7.6379290200209153</v>
      </c>
      <c r="AG66" s="1">
        <f t="shared" si="36"/>
        <v>5.8337959714877666E-2</v>
      </c>
      <c r="AH66" s="1">
        <f t="shared" si="37"/>
        <v>0.55490768707337035</v>
      </c>
      <c r="AI66" s="133">
        <f t="shared" si="19"/>
        <v>0.613245646788248</v>
      </c>
      <c r="AJ66" s="132">
        <f t="shared" si="20"/>
        <v>2.957866666666666</v>
      </c>
      <c r="AK66" s="1">
        <f t="shared" si="21"/>
        <v>5.4008314042783097</v>
      </c>
      <c r="AL66" s="1">
        <f t="shared" si="38"/>
        <v>2.9168979857438819E-2</v>
      </c>
      <c r="AM66" s="1">
        <f t="shared" si="45"/>
        <v>0.26083200000000001</v>
      </c>
      <c r="AN66" s="136">
        <f t="shared" si="39"/>
        <v>0.11649501866666667</v>
      </c>
      <c r="AO66" s="133">
        <f t="shared" si="23"/>
        <v>0.40649599852410551</v>
      </c>
      <c r="AP66" s="132">
        <f t="shared" si="40"/>
        <v>0.1750138791446329</v>
      </c>
      <c r="AQ66" s="137">
        <f t="shared" si="41"/>
        <v>0.1793892261232487</v>
      </c>
      <c r="AR66" s="137">
        <f t="shared" si="42"/>
        <v>1.6152231232584866</v>
      </c>
      <c r="AS66" s="1">
        <f t="shared" si="43"/>
        <v>1.9759999999999996E-2</v>
      </c>
      <c r="AT66" s="133">
        <f t="shared" si="44"/>
        <v>0.08</v>
      </c>
      <c r="AU66" s="132">
        <f t="shared" si="25"/>
        <v>3.2685170999619704</v>
      </c>
      <c r="AV66" s="1">
        <f t="shared" si="26"/>
        <v>177.47199999999998</v>
      </c>
      <c r="AW66" s="133">
        <f t="shared" si="27"/>
        <v>98.191596907873034</v>
      </c>
    </row>
    <row r="67" spans="17:49" x14ac:dyDescent="0.15">
      <c r="Q67">
        <v>60</v>
      </c>
      <c r="R67" s="132">
        <f t="shared" si="0"/>
        <v>60</v>
      </c>
      <c r="S67" s="1">
        <f t="shared" si="1"/>
        <v>3.0079999999999996</v>
      </c>
      <c r="T67" s="1">
        <f t="shared" si="30"/>
        <v>20</v>
      </c>
      <c r="U67" s="133">
        <f t="shared" si="31"/>
        <v>9.0239999999999974</v>
      </c>
      <c r="V67" s="132">
        <f>IF(Calculations!$B$17=3,2,IF((S67*R67/T67)&lt;((T67*(1-(T67/R67)))/(2*Lm*fsw)),1,2))</f>
        <v>2</v>
      </c>
      <c r="W67" s="1">
        <f t="shared" si="32"/>
        <v>0.66666666666666674</v>
      </c>
      <c r="X67" s="133">
        <f t="shared" si="33"/>
        <v>0.33333333333333326</v>
      </c>
      <c r="Y67" s="132">
        <f t="shared" si="34"/>
        <v>10.256410256410257</v>
      </c>
      <c r="Z67" s="1">
        <f t="shared" si="13"/>
        <v>14.152205128205125</v>
      </c>
      <c r="AA67" s="1">
        <f t="shared" si="14"/>
        <v>9.4973016490114919</v>
      </c>
      <c r="AB67" s="1">
        <v>0</v>
      </c>
      <c r="AC67" s="1">
        <f t="shared" si="35"/>
        <v>0.18490741415524861</v>
      </c>
      <c r="AD67" s="133">
        <f t="shared" si="16"/>
        <v>0.18490741415524861</v>
      </c>
      <c r="AE67" s="132">
        <f t="shared" si="28"/>
        <v>6.0159999999999991</v>
      </c>
      <c r="AF67" s="1">
        <f t="shared" si="17"/>
        <v>7.754514324457138</v>
      </c>
      <c r="AG67" s="1">
        <f t="shared" si="36"/>
        <v>6.0132492408210947E-2</v>
      </c>
      <c r="AH67" s="1">
        <f t="shared" si="37"/>
        <v>0.56431290210851204</v>
      </c>
      <c r="AI67" s="133">
        <f t="shared" si="19"/>
        <v>0.62444539451672298</v>
      </c>
      <c r="AJ67" s="132">
        <f t="shared" si="20"/>
        <v>3.0079999999999982</v>
      </c>
      <c r="AK67" s="1">
        <f t="shared" si="21"/>
        <v>5.4832696636318605</v>
      </c>
      <c r="AL67" s="1">
        <f t="shared" si="38"/>
        <v>3.006624620410546E-2</v>
      </c>
      <c r="AM67" s="1">
        <f t="shared" si="45"/>
        <v>0.26083200000000001</v>
      </c>
      <c r="AN67" s="136">
        <f t="shared" si="39"/>
        <v>0.11774634666666665</v>
      </c>
      <c r="AO67" s="133">
        <f t="shared" si="23"/>
        <v>0.40864459287077215</v>
      </c>
      <c r="AP67" s="132">
        <f t="shared" si="40"/>
        <v>0.18039747722463281</v>
      </c>
      <c r="AQ67" s="137">
        <f t="shared" si="41"/>
        <v>0.18490741415524861</v>
      </c>
      <c r="AR67" s="137">
        <f t="shared" si="42"/>
        <v>1.6152231232584866</v>
      </c>
      <c r="AS67" s="1">
        <f t="shared" si="43"/>
        <v>1.9759999999999996E-2</v>
      </c>
      <c r="AT67" s="133">
        <f t="shared" si="44"/>
        <v>0.08</v>
      </c>
      <c r="AU67" s="132">
        <f t="shared" si="25"/>
        <v>3.2982854161811122</v>
      </c>
      <c r="AV67" s="1">
        <f t="shared" si="26"/>
        <v>180.47999999999996</v>
      </c>
      <c r="AW67" s="133">
        <f t="shared" si="27"/>
        <v>98.205291006654093</v>
      </c>
    </row>
    <row r="68" spans="17:49" x14ac:dyDescent="0.15">
      <c r="Q68">
        <v>61</v>
      </c>
      <c r="R68" s="132">
        <f t="shared" si="0"/>
        <v>60</v>
      </c>
      <c r="S68" s="1">
        <f t="shared" si="1"/>
        <v>3.0581333333333331</v>
      </c>
      <c r="T68" s="1">
        <f t="shared" si="30"/>
        <v>20</v>
      </c>
      <c r="U68" s="133">
        <f t="shared" si="31"/>
        <v>9.1744000000000003</v>
      </c>
      <c r="V68" s="132">
        <f>IF(Calculations!$B$17=3,2,IF((S68*R68/T68)&lt;((T68*(1-(T68/R68)))/(2*Lm*fsw)),1,2))</f>
        <v>2</v>
      </c>
      <c r="W68" s="1">
        <f t="shared" si="32"/>
        <v>0.66666666666666674</v>
      </c>
      <c r="X68" s="133">
        <f t="shared" si="33"/>
        <v>0.33333333333333326</v>
      </c>
      <c r="Y68" s="132">
        <f t="shared" si="34"/>
        <v>10.256410256410257</v>
      </c>
      <c r="Z68" s="1">
        <f t="shared" si="13"/>
        <v>14.30260512820513</v>
      </c>
      <c r="AA68" s="1">
        <f t="shared" si="14"/>
        <v>9.640320428923328</v>
      </c>
      <c r="AB68" s="1">
        <v>0</v>
      </c>
      <c r="AC68" s="1">
        <f t="shared" si="35"/>
        <v>0.19051834484324873</v>
      </c>
      <c r="AD68" s="133">
        <f t="shared" si="16"/>
        <v>0.19051834484324873</v>
      </c>
      <c r="AE68" s="132">
        <f t="shared" si="28"/>
        <v>6.1162666666666672</v>
      </c>
      <c r="AF68" s="1">
        <f t="shared" si="17"/>
        <v>7.8712886692636079</v>
      </c>
      <c r="AG68" s="1">
        <f t="shared" si="36"/>
        <v>6.1957185314877664E-2</v>
      </c>
      <c r="AH68" s="1">
        <f t="shared" si="37"/>
        <v>0.57371811714365417</v>
      </c>
      <c r="AI68" s="133">
        <f t="shared" si="19"/>
        <v>0.63567530245853188</v>
      </c>
      <c r="AJ68" s="132">
        <f t="shared" si="20"/>
        <v>3.0581333333333327</v>
      </c>
      <c r="AK68" s="1">
        <f t="shared" si="21"/>
        <v>5.5658415947131319</v>
      </c>
      <c r="AL68" s="1">
        <f t="shared" si="38"/>
        <v>3.0978592657438821E-2</v>
      </c>
      <c r="AM68" s="1">
        <f t="shared" si="45"/>
        <v>0.26083200000000001</v>
      </c>
      <c r="AN68" s="136">
        <f t="shared" si="39"/>
        <v>0.11899767466666669</v>
      </c>
      <c r="AO68" s="133">
        <f t="shared" si="23"/>
        <v>0.41080826732410547</v>
      </c>
      <c r="AP68" s="132">
        <f t="shared" si="40"/>
        <v>0.18587155594463292</v>
      </c>
      <c r="AQ68" s="137">
        <f t="shared" si="41"/>
        <v>0.19051834484324873</v>
      </c>
      <c r="AR68" s="137">
        <f t="shared" si="42"/>
        <v>1.6152231232584866</v>
      </c>
      <c r="AS68" s="1">
        <f t="shared" si="43"/>
        <v>1.9759999999999996E-2</v>
      </c>
      <c r="AT68" s="133">
        <f t="shared" si="44"/>
        <v>0.08</v>
      </c>
      <c r="AU68" s="132">
        <f t="shared" si="25"/>
        <v>3.3283749386722548</v>
      </c>
      <c r="AV68" s="1">
        <f t="shared" si="26"/>
        <v>183.488</v>
      </c>
      <c r="AW68" s="133">
        <f t="shared" si="27"/>
        <v>98.218370879016959</v>
      </c>
    </row>
    <row r="69" spans="17:49" x14ac:dyDescent="0.15">
      <c r="Q69">
        <v>62</v>
      </c>
      <c r="R69" s="132">
        <f t="shared" si="0"/>
        <v>60</v>
      </c>
      <c r="S69" s="1">
        <f t="shared" si="1"/>
        <v>3.1082666666666663</v>
      </c>
      <c r="T69" s="1">
        <f t="shared" si="30"/>
        <v>20</v>
      </c>
      <c r="U69" s="133">
        <f t="shared" si="31"/>
        <v>9.3247999999999998</v>
      </c>
      <c r="V69" s="132">
        <f>IF(Calculations!$B$17=3,2,IF((S69*R69/T69)&lt;((T69*(1-(T69/R69)))/(2*Lm*fsw)),1,2))</f>
        <v>2</v>
      </c>
      <c r="W69" s="1">
        <f t="shared" si="32"/>
        <v>0.66666666666666674</v>
      </c>
      <c r="X69" s="133">
        <f t="shared" si="33"/>
        <v>0.33333333333333326</v>
      </c>
      <c r="Y69" s="132">
        <f t="shared" si="34"/>
        <v>10.256410256410257</v>
      </c>
      <c r="Z69" s="1">
        <f t="shared" si="13"/>
        <v>14.453005128205128</v>
      </c>
      <c r="AA69" s="1">
        <f t="shared" si="14"/>
        <v>9.7835605815222735</v>
      </c>
      <c r="AB69" s="1">
        <v>0</v>
      </c>
      <c r="AC69" s="1">
        <f t="shared" si="35"/>
        <v>0.19622201818724869</v>
      </c>
      <c r="AD69" s="133">
        <f t="shared" si="16"/>
        <v>0.19622201818724869</v>
      </c>
      <c r="AE69" s="132">
        <f t="shared" si="28"/>
        <v>6.2165333333333335</v>
      </c>
      <c r="AF69" s="1">
        <f t="shared" si="17"/>
        <v>7.9882437641122106</v>
      </c>
      <c r="AG69" s="1">
        <f t="shared" si="36"/>
        <v>6.3812038434877622E-2</v>
      </c>
      <c r="AH69" s="1">
        <f t="shared" si="37"/>
        <v>0.58312333217879608</v>
      </c>
      <c r="AI69" s="133">
        <f t="shared" si="19"/>
        <v>0.64693537061367368</v>
      </c>
      <c r="AJ69" s="132">
        <f t="shared" si="20"/>
        <v>3.1082666666666658</v>
      </c>
      <c r="AK69" s="1">
        <f t="shared" si="21"/>
        <v>5.6485413353748948</v>
      </c>
      <c r="AL69" s="1">
        <f t="shared" si="38"/>
        <v>3.1906019217438804E-2</v>
      </c>
      <c r="AM69" s="1">
        <f t="shared" si="45"/>
        <v>0.26083200000000001</v>
      </c>
      <c r="AN69" s="136">
        <f t="shared" si="39"/>
        <v>0.12024900266666667</v>
      </c>
      <c r="AO69" s="133">
        <f t="shared" si="23"/>
        <v>0.41298702188410547</v>
      </c>
      <c r="AP69" s="132">
        <f t="shared" si="40"/>
        <v>0.19143611530463289</v>
      </c>
      <c r="AQ69" s="137">
        <f t="shared" si="41"/>
        <v>0.19622201818724869</v>
      </c>
      <c r="AR69" s="137">
        <f t="shared" si="42"/>
        <v>1.6152231232584866</v>
      </c>
      <c r="AS69" s="1">
        <f t="shared" si="43"/>
        <v>1.9759999999999996E-2</v>
      </c>
      <c r="AT69" s="133">
        <f t="shared" si="44"/>
        <v>0.08</v>
      </c>
      <c r="AU69" s="132">
        <f t="shared" si="25"/>
        <v>3.358785667435396</v>
      </c>
      <c r="AV69" s="1">
        <f t="shared" si="26"/>
        <v>186.49599999999998</v>
      </c>
      <c r="AW69" s="133">
        <f t="shared" si="27"/>
        <v>98.230865945450063</v>
      </c>
    </row>
    <row r="70" spans="17:49" x14ac:dyDescent="0.15">
      <c r="Q70">
        <v>63</v>
      </c>
      <c r="R70" s="132">
        <f t="shared" si="0"/>
        <v>60</v>
      </c>
      <c r="S70" s="1">
        <f t="shared" si="1"/>
        <v>3.1583999999999999</v>
      </c>
      <c r="T70" s="1">
        <f t="shared" si="30"/>
        <v>20</v>
      </c>
      <c r="U70" s="133">
        <f t="shared" si="31"/>
        <v>9.4751999999999992</v>
      </c>
      <c r="V70" s="132">
        <f>IF(Calculations!$B$17=3,2,IF((S70*R70/T70)&lt;((T70*(1-(T70/R70)))/(2*Lm*fsw)),1,2))</f>
        <v>2</v>
      </c>
      <c r="W70" s="1">
        <f t="shared" si="32"/>
        <v>0.66666666666666674</v>
      </c>
      <c r="X70" s="133">
        <f t="shared" si="33"/>
        <v>0.33333333333333326</v>
      </c>
      <c r="Y70" s="132">
        <f t="shared" si="34"/>
        <v>10.256410256410257</v>
      </c>
      <c r="Z70" s="1">
        <f t="shared" si="13"/>
        <v>14.603405128205129</v>
      </c>
      <c r="AA70" s="1">
        <f t="shared" si="14"/>
        <v>9.9270125240334242</v>
      </c>
      <c r="AB70" s="1">
        <v>0</v>
      </c>
      <c r="AC70" s="1">
        <f t="shared" si="35"/>
        <v>0.20201843418724871</v>
      </c>
      <c r="AD70" s="133">
        <f t="shared" si="16"/>
        <v>0.20201843418724871</v>
      </c>
      <c r="AE70" s="132">
        <f t="shared" si="28"/>
        <v>6.3167999999999997</v>
      </c>
      <c r="AF70" s="1">
        <f t="shared" si="17"/>
        <v>8.1053717847000062</v>
      </c>
      <c r="AG70" s="1">
        <f t="shared" si="36"/>
        <v>6.5697051768210973E-2</v>
      </c>
      <c r="AH70" s="1">
        <f t="shared" si="37"/>
        <v>0.59252854721393788</v>
      </c>
      <c r="AI70" s="133">
        <f t="shared" si="19"/>
        <v>0.65822559898214883</v>
      </c>
      <c r="AJ70" s="132">
        <f t="shared" si="20"/>
        <v>3.158399999999999</v>
      </c>
      <c r="AK70" s="1">
        <f t="shared" si="21"/>
        <v>5.7313633529994821</v>
      </c>
      <c r="AL70" s="1">
        <f t="shared" si="38"/>
        <v>3.2848525884105466E-2</v>
      </c>
      <c r="AM70" s="1">
        <f t="shared" si="45"/>
        <v>0.26083200000000001</v>
      </c>
      <c r="AN70" s="136">
        <f t="shared" si="39"/>
        <v>0.12150033066666668</v>
      </c>
      <c r="AO70" s="133">
        <f t="shared" si="23"/>
        <v>0.41518085655077219</v>
      </c>
      <c r="AP70" s="132">
        <f t="shared" si="40"/>
        <v>0.19709115530463292</v>
      </c>
      <c r="AQ70" s="137">
        <f t="shared" si="41"/>
        <v>0.20201843418724871</v>
      </c>
      <c r="AR70" s="137">
        <f t="shared" si="42"/>
        <v>1.6152231232584866</v>
      </c>
      <c r="AS70" s="1">
        <f t="shared" si="43"/>
        <v>1.9759999999999996E-2</v>
      </c>
      <c r="AT70" s="133">
        <f t="shared" si="44"/>
        <v>0.08</v>
      </c>
      <c r="AU70" s="132">
        <f t="shared" si="25"/>
        <v>3.389517602470538</v>
      </c>
      <c r="AV70" s="1">
        <f t="shared" si="26"/>
        <v>189.50399999999999</v>
      </c>
      <c r="AW70" s="133">
        <f t="shared" si="27"/>
        <v>98.242803778685868</v>
      </c>
    </row>
    <row r="71" spans="17:49" x14ac:dyDescent="0.15">
      <c r="Q71">
        <v>64</v>
      </c>
      <c r="R71" s="132">
        <f t="shared" ref="R71:R134" si="46">VOUT</f>
        <v>60</v>
      </c>
      <c r="S71" s="1">
        <f t="shared" ref="S71:S134" si="47">Q71*$O$12</f>
        <v>3.208533333333333</v>
      </c>
      <c r="T71" s="1">
        <f t="shared" ref="T71:T102" si="48">Vin_vari</f>
        <v>20</v>
      </c>
      <c r="U71" s="133">
        <f t="shared" ref="U71:U102" si="49">(R71*S71)/(T71*EFF_est)</f>
        <v>9.6255999999999986</v>
      </c>
      <c r="V71" s="132">
        <f>IF(Calculations!$B$17=3,2,IF((S71*R71/T71)&lt;((T71*(1-(T71/R71)))/(2*Lm*fsw)),1,2))</f>
        <v>2</v>
      </c>
      <c r="W71" s="1">
        <f t="shared" ref="W71:W102" si="50">CHOOSE(V71,SQRT((2*S71*Lm*fsw*(R71-T71))/((T71)^2)),1-(T71/R71))</f>
        <v>0.66666666666666674</v>
      </c>
      <c r="X71" s="133">
        <f t="shared" ref="X71:X102" si="51">CHOOSE(V71,(Lm*Z71*fsw)/(R71-T71),1-W71)</f>
        <v>0.33333333333333326</v>
      </c>
      <c r="Y71" s="132">
        <f t="shared" ref="Y71:Y102" si="52">(T71*W71)/(Lm*fsw)</f>
        <v>10.256410256410257</v>
      </c>
      <c r="Z71" s="1">
        <f t="shared" si="13"/>
        <v>14.753805128205126</v>
      </c>
      <c r="AA71" s="1">
        <f t="shared" si="14"/>
        <v>10.070667205916221</v>
      </c>
      <c r="AB71" s="1">
        <v>0</v>
      </c>
      <c r="AC71" s="1">
        <f t="shared" ref="AC71:AC102" si="53">(AA71^2)*Rdcr</f>
        <v>0.20790759284324867</v>
      </c>
      <c r="AD71" s="133">
        <f t="shared" si="16"/>
        <v>0.20790759284324867</v>
      </c>
      <c r="AE71" s="132">
        <f t="shared" si="28"/>
        <v>6.417066666666666</v>
      </c>
      <c r="AF71" s="1">
        <f t="shared" si="17"/>
        <v>8.2226653412915685</v>
      </c>
      <c r="AG71" s="1">
        <f t="shared" ref="AG71:AG102" si="54">(AF71^2)*RDS_on</f>
        <v>6.7612225314877594E-2</v>
      </c>
      <c r="AH71" s="1">
        <f t="shared" ref="AH71:AH102" si="55">((R71*U71)/2)*fsw*(tr_sw+tf_sw)</f>
        <v>0.6019337622490798</v>
      </c>
      <c r="AI71" s="133">
        <f t="shared" si="19"/>
        <v>0.66954598756395733</v>
      </c>
      <c r="AJ71" s="132">
        <f t="shared" si="20"/>
        <v>3.2085333333333321</v>
      </c>
      <c r="AK71" s="1">
        <f t="shared" si="21"/>
        <v>5.8143024222548645</v>
      </c>
      <c r="AL71" s="1">
        <f t="shared" ref="AL71:AL102" si="56">(AK71^2)*RDS_on_HS</f>
        <v>3.3806112657438783E-2</v>
      </c>
      <c r="AM71" s="1">
        <f t="shared" si="45"/>
        <v>0.26083200000000001</v>
      </c>
      <c r="AN71" s="136">
        <f t="shared" ref="AN71:AN102" si="57">Vd_rect*t_dead*fsw*Z71</f>
        <v>0.12275165866666667</v>
      </c>
      <c r="AO71" s="133">
        <f t="shared" si="23"/>
        <v>0.41738977132410543</v>
      </c>
      <c r="AP71" s="132">
        <f t="shared" ref="AP71:AP102" si="58">(AA71^2)*Rcs</f>
        <v>0.20283667594463287</v>
      </c>
      <c r="AQ71" s="137">
        <f t="shared" ref="AQ71:AQ102" si="59">Rdcr*AA71^2</f>
        <v>0.20790759284324867</v>
      </c>
      <c r="AR71" s="137">
        <f t="shared" ref="AR71:AR102" si="60">ABS(7.759*10^-3*fsw^0.9458*(0.00787*Y71)^2.304)</f>
        <v>1.6152231232584866</v>
      </c>
      <c r="AS71" s="1">
        <f t="shared" ref="AS71:AS102" si="61">(Qg_tot+Qg_tot_HS)*VCC*fsw</f>
        <v>1.9759999999999996E-2</v>
      </c>
      <c r="AT71" s="133">
        <f t="shared" ref="AT71:AT102" si="62">IQ*T71</f>
        <v>0.08</v>
      </c>
      <c r="AU71" s="132">
        <f t="shared" si="25"/>
        <v>3.42057074377768</v>
      </c>
      <c r="AV71" s="1">
        <f t="shared" si="26"/>
        <v>192.51199999999997</v>
      </c>
      <c r="AW71" s="133">
        <f t="shared" si="27"/>
        <v>98.254210246518539</v>
      </c>
    </row>
    <row r="72" spans="17:49" x14ac:dyDescent="0.15">
      <c r="Q72">
        <v>65</v>
      </c>
      <c r="R72" s="132">
        <f t="shared" si="46"/>
        <v>60</v>
      </c>
      <c r="S72" s="1">
        <f t="shared" si="47"/>
        <v>3.2586666666666662</v>
      </c>
      <c r="T72" s="1">
        <f t="shared" si="48"/>
        <v>20</v>
      </c>
      <c r="U72" s="133">
        <f t="shared" si="49"/>
        <v>9.7759999999999998</v>
      </c>
      <c r="V72" s="132">
        <f>IF(Calculations!$B$17=3,2,IF((S72*R72/T72)&lt;((T72*(1-(T72/R72)))/(2*Lm*fsw)),1,2))</f>
        <v>2</v>
      </c>
      <c r="W72" s="1">
        <f t="shared" si="50"/>
        <v>0.66666666666666674</v>
      </c>
      <c r="X72" s="133">
        <f t="shared" si="51"/>
        <v>0.33333333333333326</v>
      </c>
      <c r="Y72" s="132">
        <f t="shared" si="52"/>
        <v>10.256410256410257</v>
      </c>
      <c r="Z72" s="1">
        <f t="shared" ref="Z72:Z135" si="63">CHOOSE(V72,Y72,U72+(0.5*Y72))</f>
        <v>14.904205128205128</v>
      </c>
      <c r="AA72" s="1">
        <f t="shared" ref="AA72:AA135" si="64">CHOOSE(V72,Z72*SQRT((W72+X72)/3),SQRT((U72^2)+((Y72^2)/12)))</f>
        <v>10.214516073329976</v>
      </c>
      <c r="AB72" s="1">
        <v>0</v>
      </c>
      <c r="AC72" s="1">
        <f t="shared" si="53"/>
        <v>0.21388949415524866</v>
      </c>
      <c r="AD72" s="133">
        <f t="shared" ref="AD72:AD135" si="65">AB72+AC72</f>
        <v>0.21388949415524866</v>
      </c>
      <c r="AE72" s="132">
        <f t="shared" si="28"/>
        <v>6.5173333333333341</v>
      </c>
      <c r="AF72" s="1">
        <f t="shared" ref="AF72:AF135" si="66">CHOOSE(V72,Z72*SQRT(W72/3),SQRT(W72*((Z72^2)+((Y72^2)/3)-(Z72*Y72))))</f>
        <v>8.3401174497052271</v>
      </c>
      <c r="AG72" s="1">
        <f t="shared" si="54"/>
        <v>6.9557559074877623E-2</v>
      </c>
      <c r="AH72" s="1">
        <f t="shared" si="55"/>
        <v>0.6113389772842216</v>
      </c>
      <c r="AI72" s="133">
        <f t="shared" ref="AI72:AI135" si="67">AG72+AH72</f>
        <v>0.68089653635909919</v>
      </c>
      <c r="AJ72" s="132">
        <f t="shared" ref="AJ72:AJ135" si="68">X72*U72</f>
        <v>3.2586666666666657</v>
      </c>
      <c r="AK72" s="1">
        <f t="shared" ref="AK72:AK135" si="69">CHOOSE(V72,Z72*SQRT(X72/3),SQRT(X72*((Z72^2)+((Y72^2)/3)-(Y72*Z72))))</f>
        <v>5.8973536045788197</v>
      </c>
      <c r="AL72" s="1">
        <f t="shared" si="56"/>
        <v>3.4778779537438805E-2</v>
      </c>
      <c r="AM72" s="1">
        <f t="shared" ref="AM72:AM103" si="70">CHOOSE(V72,(R72+Vd_rect)*Qrr*fsw,(R72+Vd_rect)*Qrr*fsw)</f>
        <v>0.26083200000000001</v>
      </c>
      <c r="AN72" s="136">
        <f t="shared" si="57"/>
        <v>0.12400298666666668</v>
      </c>
      <c r="AO72" s="133">
        <f t="shared" ref="AO72:AO135" si="71">AL72+AM72+AN72</f>
        <v>0.41961376620410551</v>
      </c>
      <c r="AP72" s="132">
        <f t="shared" si="58"/>
        <v>0.20867267722463287</v>
      </c>
      <c r="AQ72" s="137">
        <f t="shared" si="59"/>
        <v>0.21388949415524866</v>
      </c>
      <c r="AR72" s="137">
        <f t="shared" si="60"/>
        <v>1.6152231232584866</v>
      </c>
      <c r="AS72" s="1">
        <f t="shared" si="61"/>
        <v>1.9759999999999996E-2</v>
      </c>
      <c r="AT72" s="133">
        <f t="shared" si="62"/>
        <v>0.08</v>
      </c>
      <c r="AU72" s="132">
        <f t="shared" ref="AU72:AU135" si="72">AP72+AO72+AI72+AD72+AS72+AT72+AQ72+AR72</f>
        <v>3.4519450913568219</v>
      </c>
      <c r="AV72" s="1">
        <f t="shared" ref="AV72:AV135" si="73">R72*S72</f>
        <v>195.51999999999998</v>
      </c>
      <c r="AW72" s="133">
        <f t="shared" ref="AW72:AW135" si="74">(AV72/(AV72+AU72))*100</f>
        <v>98.265109641576913</v>
      </c>
    </row>
    <row r="73" spans="17:49" x14ac:dyDescent="0.15">
      <c r="Q73">
        <v>66</v>
      </c>
      <c r="R73" s="132">
        <f t="shared" si="46"/>
        <v>60</v>
      </c>
      <c r="S73" s="1">
        <f t="shared" si="47"/>
        <v>3.3087999999999997</v>
      </c>
      <c r="T73" s="1">
        <f t="shared" si="48"/>
        <v>20</v>
      </c>
      <c r="U73" s="133">
        <f t="shared" si="49"/>
        <v>9.9263999999999992</v>
      </c>
      <c r="V73" s="132">
        <f>IF(Calculations!$B$17=3,2,IF((S73*R73/T73)&lt;((T73*(1-(T73/R73)))/(2*Lm*fsw)),1,2))</f>
        <v>2</v>
      </c>
      <c r="W73" s="1">
        <f t="shared" si="50"/>
        <v>0.66666666666666674</v>
      </c>
      <c r="X73" s="133">
        <f t="shared" si="51"/>
        <v>0.33333333333333326</v>
      </c>
      <c r="Y73" s="132">
        <f t="shared" si="52"/>
        <v>10.256410256410257</v>
      </c>
      <c r="Z73" s="1">
        <f t="shared" si="63"/>
        <v>15.054605128205129</v>
      </c>
      <c r="AA73" s="1">
        <f t="shared" si="64"/>
        <v>10.358551036333047</v>
      </c>
      <c r="AB73" s="1">
        <v>0</v>
      </c>
      <c r="AC73" s="1">
        <f t="shared" si="53"/>
        <v>0.21996413812324869</v>
      </c>
      <c r="AD73" s="133">
        <f t="shared" si="65"/>
        <v>0.21996413812324869</v>
      </c>
      <c r="AE73" s="132">
        <f t="shared" ref="AE73:AE136" si="75">U73*W73</f>
        <v>6.6176000000000004</v>
      </c>
      <c r="AF73" s="1">
        <f t="shared" si="66"/>
        <v>8.4577215045312872</v>
      </c>
      <c r="AG73" s="1">
        <f t="shared" si="54"/>
        <v>7.153305304821099E-2</v>
      </c>
      <c r="AH73" s="1">
        <f t="shared" si="55"/>
        <v>0.62074419231936351</v>
      </c>
      <c r="AI73" s="133">
        <f t="shared" si="67"/>
        <v>0.69227724536757451</v>
      </c>
      <c r="AJ73" s="132">
        <f t="shared" si="68"/>
        <v>3.3087999999999989</v>
      </c>
      <c r="AK73" s="1">
        <f t="shared" si="69"/>
        <v>5.9805122292413611</v>
      </c>
      <c r="AL73" s="1">
        <f t="shared" si="56"/>
        <v>3.5766526524105474E-2</v>
      </c>
      <c r="AM73" s="1">
        <f t="shared" si="70"/>
        <v>0.26083200000000001</v>
      </c>
      <c r="AN73" s="136">
        <f t="shared" si="57"/>
        <v>0.1252543146666667</v>
      </c>
      <c r="AO73" s="133">
        <f t="shared" si="71"/>
        <v>0.42185284119077215</v>
      </c>
      <c r="AP73" s="132">
        <f t="shared" si="58"/>
        <v>0.2145991591446329</v>
      </c>
      <c r="AQ73" s="137">
        <f t="shared" si="59"/>
        <v>0.21996413812324869</v>
      </c>
      <c r="AR73" s="137">
        <f t="shared" si="60"/>
        <v>1.6152231232584866</v>
      </c>
      <c r="AS73" s="1">
        <f t="shared" si="61"/>
        <v>1.9759999999999996E-2</v>
      </c>
      <c r="AT73" s="133">
        <f t="shared" si="62"/>
        <v>0.08</v>
      </c>
      <c r="AU73" s="132">
        <f t="shared" si="72"/>
        <v>3.4836406452079638</v>
      </c>
      <c r="AV73" s="1">
        <f t="shared" si="73"/>
        <v>198.52799999999999</v>
      </c>
      <c r="AW73" s="133">
        <f t="shared" si="74"/>
        <v>98.275524799421703</v>
      </c>
    </row>
    <row r="74" spans="17:49" x14ac:dyDescent="0.15">
      <c r="Q74">
        <v>67</v>
      </c>
      <c r="R74" s="132">
        <f t="shared" si="46"/>
        <v>60</v>
      </c>
      <c r="S74" s="1">
        <f t="shared" si="47"/>
        <v>3.3589333333333329</v>
      </c>
      <c r="T74" s="1">
        <f t="shared" si="48"/>
        <v>20</v>
      </c>
      <c r="U74" s="133">
        <f t="shared" si="49"/>
        <v>10.076799999999999</v>
      </c>
      <c r="V74" s="132">
        <f>IF(Calculations!$B$17=3,2,IF((S74*R74/T74)&lt;((T74*(1-(T74/R74)))/(2*Lm*fsw)),1,2))</f>
        <v>2</v>
      </c>
      <c r="W74" s="1">
        <f t="shared" si="50"/>
        <v>0.66666666666666674</v>
      </c>
      <c r="X74" s="133">
        <f t="shared" si="51"/>
        <v>0.33333333333333326</v>
      </c>
      <c r="Y74" s="132">
        <f t="shared" si="52"/>
        <v>10.256410256410257</v>
      </c>
      <c r="Z74" s="1">
        <f t="shared" si="63"/>
        <v>15.205005128205126</v>
      </c>
      <c r="AA74" s="1">
        <f t="shared" si="64"/>
        <v>10.502764438580751</v>
      </c>
      <c r="AB74" s="1">
        <v>0</v>
      </c>
      <c r="AC74" s="1">
        <f t="shared" si="53"/>
        <v>0.22613152474724868</v>
      </c>
      <c r="AD74" s="133">
        <f t="shared" si="65"/>
        <v>0.22613152474724868</v>
      </c>
      <c r="AE74" s="132">
        <f t="shared" si="75"/>
        <v>6.7178666666666667</v>
      </c>
      <c r="AF74" s="1">
        <f t="shared" si="66"/>
        <v>8.5754712543904912</v>
      </c>
      <c r="AG74" s="1">
        <f t="shared" si="54"/>
        <v>7.3538707234877626E-2</v>
      </c>
      <c r="AH74" s="1">
        <f t="shared" si="55"/>
        <v>0.63014940735450542</v>
      </c>
      <c r="AI74" s="133">
        <f t="shared" si="67"/>
        <v>0.70368811458938307</v>
      </c>
      <c r="AJ74" s="132">
        <f t="shared" si="68"/>
        <v>3.358933333333332</v>
      </c>
      <c r="AK74" s="1">
        <f t="shared" si="69"/>
        <v>6.0637738758498241</v>
      </c>
      <c r="AL74" s="1">
        <f t="shared" si="56"/>
        <v>3.6769353617438799E-2</v>
      </c>
      <c r="AM74" s="1">
        <f t="shared" si="70"/>
        <v>0.26083200000000001</v>
      </c>
      <c r="AN74" s="136">
        <f t="shared" si="57"/>
        <v>0.12650564266666667</v>
      </c>
      <c r="AO74" s="133">
        <f t="shared" si="71"/>
        <v>0.42410699628410542</v>
      </c>
      <c r="AP74" s="132">
        <f t="shared" si="58"/>
        <v>0.22061612170463291</v>
      </c>
      <c r="AQ74" s="137">
        <f t="shared" si="59"/>
        <v>0.22613152474724868</v>
      </c>
      <c r="AR74" s="137">
        <f t="shared" si="60"/>
        <v>1.6152231232584866</v>
      </c>
      <c r="AS74" s="1">
        <f t="shared" si="61"/>
        <v>1.9759999999999996E-2</v>
      </c>
      <c r="AT74" s="133">
        <f t="shared" si="62"/>
        <v>0.08</v>
      </c>
      <c r="AU74" s="132">
        <f t="shared" si="72"/>
        <v>3.5156574053311052</v>
      </c>
      <c r="AV74" s="1">
        <f t="shared" si="73"/>
        <v>201.53599999999997</v>
      </c>
      <c r="AW74" s="133">
        <f t="shared" si="74"/>
        <v>98.285477206174633</v>
      </c>
    </row>
    <row r="75" spans="17:49" x14ac:dyDescent="0.15">
      <c r="Q75">
        <v>68</v>
      </c>
      <c r="R75" s="132">
        <f t="shared" si="46"/>
        <v>60</v>
      </c>
      <c r="S75" s="1">
        <f t="shared" si="47"/>
        <v>3.4090666666666665</v>
      </c>
      <c r="T75" s="1">
        <f t="shared" si="48"/>
        <v>20</v>
      </c>
      <c r="U75" s="133">
        <f t="shared" si="49"/>
        <v>10.2272</v>
      </c>
      <c r="V75" s="132">
        <f>IF(Calculations!$B$17=3,2,IF((S75*R75/T75)&lt;((T75*(1-(T75/R75)))/(2*Lm*fsw)),1,2))</f>
        <v>2</v>
      </c>
      <c r="W75" s="1">
        <f t="shared" si="50"/>
        <v>0.66666666666666674</v>
      </c>
      <c r="X75" s="133">
        <f t="shared" si="51"/>
        <v>0.33333333333333326</v>
      </c>
      <c r="Y75" s="132">
        <f t="shared" si="52"/>
        <v>10.256410256410257</v>
      </c>
      <c r="Z75" s="1">
        <f t="shared" si="63"/>
        <v>15.355405128205128</v>
      </c>
      <c r="AA75" s="1">
        <f t="shared" si="64"/>
        <v>10.647149029309041</v>
      </c>
      <c r="AB75" s="1">
        <v>0</v>
      </c>
      <c r="AC75" s="1">
        <f t="shared" si="53"/>
        <v>0.23239165402724871</v>
      </c>
      <c r="AD75" s="133">
        <f t="shared" si="65"/>
        <v>0.23239165402724871</v>
      </c>
      <c r="AE75" s="132">
        <f t="shared" si="75"/>
        <v>6.8181333333333338</v>
      </c>
      <c r="AF75" s="1">
        <f t="shared" si="66"/>
        <v>8.693360779058791</v>
      </c>
      <c r="AG75" s="1">
        <f t="shared" si="54"/>
        <v>7.557452163487767E-2</v>
      </c>
      <c r="AH75" s="1">
        <f t="shared" si="55"/>
        <v>0.63955462238964722</v>
      </c>
      <c r="AI75" s="133">
        <f t="shared" si="67"/>
        <v>0.71512914402452488</v>
      </c>
      <c r="AJ75" s="132">
        <f t="shared" si="68"/>
        <v>3.409066666666666</v>
      </c>
      <c r="AK75" s="1">
        <f t="shared" si="69"/>
        <v>6.1471343581736368</v>
      </c>
      <c r="AL75" s="1">
        <f t="shared" si="56"/>
        <v>3.7787260817438814E-2</v>
      </c>
      <c r="AM75" s="1">
        <f t="shared" si="70"/>
        <v>0.26083200000000001</v>
      </c>
      <c r="AN75" s="136">
        <f t="shared" si="57"/>
        <v>0.12775697066666666</v>
      </c>
      <c r="AO75" s="133">
        <f t="shared" si="71"/>
        <v>0.42637623148410553</v>
      </c>
      <c r="AP75" s="132">
        <f t="shared" si="58"/>
        <v>0.22672356490463294</v>
      </c>
      <c r="AQ75" s="137">
        <f t="shared" si="59"/>
        <v>0.23239165402724871</v>
      </c>
      <c r="AR75" s="137">
        <f t="shared" si="60"/>
        <v>1.6152231232584866</v>
      </c>
      <c r="AS75" s="1">
        <f t="shared" si="61"/>
        <v>1.9759999999999996E-2</v>
      </c>
      <c r="AT75" s="133">
        <f t="shared" si="62"/>
        <v>0.08</v>
      </c>
      <c r="AU75" s="132">
        <f t="shared" si="72"/>
        <v>3.5479953717262473</v>
      </c>
      <c r="AV75" s="1">
        <f t="shared" si="73"/>
        <v>204.54399999999998</v>
      </c>
      <c r="AW75" s="133">
        <f t="shared" si="74"/>
        <v>98.294987096746183</v>
      </c>
    </row>
    <row r="76" spans="17:49" x14ac:dyDescent="0.15">
      <c r="Q76">
        <v>69</v>
      </c>
      <c r="R76" s="132">
        <f t="shared" si="46"/>
        <v>60</v>
      </c>
      <c r="S76" s="1">
        <f t="shared" si="47"/>
        <v>3.4591999999999996</v>
      </c>
      <c r="T76" s="1">
        <f t="shared" si="48"/>
        <v>20</v>
      </c>
      <c r="U76" s="133">
        <f t="shared" si="49"/>
        <v>10.377599999999997</v>
      </c>
      <c r="V76" s="132">
        <f>IF(Calculations!$B$17=3,2,IF((S76*R76/T76)&lt;((T76*(1-(T76/R76)))/(2*Lm*fsw)),1,2))</f>
        <v>2</v>
      </c>
      <c r="W76" s="1">
        <f t="shared" si="50"/>
        <v>0.66666666666666674</v>
      </c>
      <c r="X76" s="133">
        <f t="shared" si="51"/>
        <v>0.33333333333333326</v>
      </c>
      <c r="Y76" s="132">
        <f t="shared" si="52"/>
        <v>10.256410256410257</v>
      </c>
      <c r="Z76" s="1">
        <f t="shared" si="63"/>
        <v>15.505805128205125</v>
      </c>
      <c r="AA76" s="1">
        <f t="shared" si="64"/>
        <v>10.791697937410795</v>
      </c>
      <c r="AB76" s="1">
        <v>0</v>
      </c>
      <c r="AC76" s="1">
        <f t="shared" si="53"/>
        <v>0.2387445259632486</v>
      </c>
      <c r="AD76" s="133">
        <f t="shared" si="65"/>
        <v>0.2387445259632486</v>
      </c>
      <c r="AE76" s="132">
        <f t="shared" si="75"/>
        <v>6.9183999999999992</v>
      </c>
      <c r="AF76" s="1">
        <f t="shared" si="66"/>
        <v>8.811384468300707</v>
      </c>
      <c r="AG76" s="1">
        <f t="shared" si="54"/>
        <v>7.7640496248210941E-2</v>
      </c>
      <c r="AH76" s="1">
        <f t="shared" si="55"/>
        <v>0.64895983742478902</v>
      </c>
      <c r="AI76" s="133">
        <f t="shared" si="67"/>
        <v>0.72660033367299992</v>
      </c>
      <c r="AJ76" s="132">
        <f t="shared" si="68"/>
        <v>3.4591999999999983</v>
      </c>
      <c r="AK76" s="1">
        <f t="shared" si="69"/>
        <v>6.2305897091772504</v>
      </c>
      <c r="AL76" s="1">
        <f t="shared" si="56"/>
        <v>3.8820248124105457E-2</v>
      </c>
      <c r="AM76" s="1">
        <f t="shared" si="70"/>
        <v>0.26083200000000001</v>
      </c>
      <c r="AN76" s="136">
        <f t="shared" si="57"/>
        <v>0.12900829866666666</v>
      </c>
      <c r="AO76" s="133">
        <f t="shared" si="71"/>
        <v>0.42866054679077215</v>
      </c>
      <c r="AP76" s="132">
        <f t="shared" si="58"/>
        <v>0.23292148874463284</v>
      </c>
      <c r="AQ76" s="137">
        <f t="shared" si="59"/>
        <v>0.2387445259632486</v>
      </c>
      <c r="AR76" s="137">
        <f t="shared" si="60"/>
        <v>1.6152231232584866</v>
      </c>
      <c r="AS76" s="1">
        <f t="shared" si="61"/>
        <v>1.9759999999999996E-2</v>
      </c>
      <c r="AT76" s="133">
        <f t="shared" si="62"/>
        <v>0.08</v>
      </c>
      <c r="AU76" s="132">
        <f t="shared" si="72"/>
        <v>3.5806545443933886</v>
      </c>
      <c r="AV76" s="1">
        <f t="shared" si="73"/>
        <v>207.55199999999996</v>
      </c>
      <c r="AW76" s="133">
        <f t="shared" si="74"/>
        <v>98.304073544606283</v>
      </c>
    </row>
    <row r="77" spans="17:49" x14ac:dyDescent="0.15">
      <c r="Q77">
        <v>70</v>
      </c>
      <c r="R77" s="132">
        <f t="shared" si="46"/>
        <v>60</v>
      </c>
      <c r="S77" s="1">
        <f t="shared" si="47"/>
        <v>3.5093333333333332</v>
      </c>
      <c r="T77" s="1">
        <f t="shared" si="48"/>
        <v>20</v>
      </c>
      <c r="U77" s="133">
        <f t="shared" si="49"/>
        <v>10.528</v>
      </c>
      <c r="V77" s="132">
        <f>IF(Calculations!$B$17=3,2,IF((S77*R77/T77)&lt;((T77*(1-(T77/R77)))/(2*Lm*fsw)),1,2))</f>
        <v>2</v>
      </c>
      <c r="W77" s="1">
        <f t="shared" si="50"/>
        <v>0.66666666666666674</v>
      </c>
      <c r="X77" s="133">
        <f t="shared" si="51"/>
        <v>0.33333333333333326</v>
      </c>
      <c r="Y77" s="132">
        <f t="shared" si="52"/>
        <v>10.256410256410257</v>
      </c>
      <c r="Z77" s="1">
        <f t="shared" si="63"/>
        <v>15.65620512820513</v>
      </c>
      <c r="AA77" s="1">
        <f t="shared" si="64"/>
        <v>10.93640464742945</v>
      </c>
      <c r="AB77" s="1">
        <v>0</v>
      </c>
      <c r="AC77" s="1">
        <f t="shared" si="53"/>
        <v>0.24519014055524874</v>
      </c>
      <c r="AD77" s="133">
        <f t="shared" si="65"/>
        <v>0.24519014055524874</v>
      </c>
      <c r="AE77" s="132">
        <f t="shared" si="75"/>
        <v>7.0186666666666682</v>
      </c>
      <c r="AF77" s="1">
        <f t="shared" si="66"/>
        <v>8.9295370022682405</v>
      </c>
      <c r="AG77" s="1">
        <f t="shared" si="54"/>
        <v>7.9736631074877676E-2</v>
      </c>
      <c r="AH77" s="1">
        <f t="shared" si="55"/>
        <v>0.65836505245993115</v>
      </c>
      <c r="AI77" s="133">
        <f t="shared" si="67"/>
        <v>0.73810168353480887</v>
      </c>
      <c r="AJ77" s="132">
        <f t="shared" si="68"/>
        <v>3.5093333333333327</v>
      </c>
      <c r="AK77" s="1">
        <f t="shared" si="69"/>
        <v>6.3141361671600675</v>
      </c>
      <c r="AL77" s="1">
        <f t="shared" si="56"/>
        <v>3.9868315537438824E-2</v>
      </c>
      <c r="AM77" s="1">
        <f t="shared" si="70"/>
        <v>0.26083200000000001</v>
      </c>
      <c r="AN77" s="136">
        <f t="shared" si="57"/>
        <v>0.13025962666666668</v>
      </c>
      <c r="AO77" s="133">
        <f t="shared" si="71"/>
        <v>0.4309599422041055</v>
      </c>
      <c r="AP77" s="132">
        <f t="shared" si="58"/>
        <v>0.23920989322463293</v>
      </c>
      <c r="AQ77" s="137">
        <f t="shared" si="59"/>
        <v>0.24519014055524874</v>
      </c>
      <c r="AR77" s="137">
        <f t="shared" si="60"/>
        <v>1.6152231232584866</v>
      </c>
      <c r="AS77" s="1">
        <f t="shared" si="61"/>
        <v>1.9759999999999996E-2</v>
      </c>
      <c r="AT77" s="133">
        <f t="shared" si="62"/>
        <v>0.08</v>
      </c>
      <c r="AU77" s="132">
        <f t="shared" si="72"/>
        <v>3.6136349233325316</v>
      </c>
      <c r="AV77" s="1">
        <f t="shared" si="73"/>
        <v>210.56</v>
      </c>
      <c r="AW77" s="133">
        <f t="shared" si="74"/>
        <v>98.312754543935299</v>
      </c>
    </row>
    <row r="78" spans="17:49" x14ac:dyDescent="0.15">
      <c r="Q78">
        <v>71</v>
      </c>
      <c r="R78" s="132">
        <f t="shared" si="46"/>
        <v>60</v>
      </c>
      <c r="S78" s="1">
        <f t="shared" si="47"/>
        <v>3.5594666666666663</v>
      </c>
      <c r="T78" s="1">
        <f t="shared" si="48"/>
        <v>20</v>
      </c>
      <c r="U78" s="133">
        <f t="shared" si="49"/>
        <v>10.6784</v>
      </c>
      <c r="V78" s="132">
        <f>IF(Calculations!$B$17=3,2,IF((S78*R78/T78)&lt;((T78*(1-(T78/R78)))/(2*Lm*fsw)),1,2))</f>
        <v>2</v>
      </c>
      <c r="W78" s="1">
        <f t="shared" si="50"/>
        <v>0.66666666666666674</v>
      </c>
      <c r="X78" s="133">
        <f t="shared" si="51"/>
        <v>0.33333333333333326</v>
      </c>
      <c r="Y78" s="132">
        <f t="shared" si="52"/>
        <v>10.256410256410257</v>
      </c>
      <c r="Z78" s="1">
        <f t="shared" si="63"/>
        <v>15.806605128205128</v>
      </c>
      <c r="AA78" s="1">
        <f t="shared" si="64"/>
        <v>11.081262977310685</v>
      </c>
      <c r="AB78" s="1">
        <v>0</v>
      </c>
      <c r="AC78" s="1">
        <f t="shared" si="53"/>
        <v>0.25172849780324869</v>
      </c>
      <c r="AD78" s="133">
        <f t="shared" si="65"/>
        <v>0.25172849780324869</v>
      </c>
      <c r="AE78" s="132">
        <f t="shared" si="75"/>
        <v>7.1189333333333344</v>
      </c>
      <c r="AF78" s="1">
        <f t="shared" si="66"/>
        <v>9.0478133333351671</v>
      </c>
      <c r="AG78" s="1">
        <f t="shared" si="54"/>
        <v>8.1862926114877624E-2</v>
      </c>
      <c r="AH78" s="1">
        <f t="shared" si="55"/>
        <v>0.66777026749507284</v>
      </c>
      <c r="AI78" s="133">
        <f t="shared" si="67"/>
        <v>0.74963319360995051</v>
      </c>
      <c r="AJ78" s="132">
        <f t="shared" si="68"/>
        <v>3.5594666666666659</v>
      </c>
      <c r="AK78" s="1">
        <f t="shared" si="69"/>
        <v>6.3977701629113568</v>
      </c>
      <c r="AL78" s="1">
        <f t="shared" si="56"/>
        <v>4.0931463057438812E-2</v>
      </c>
      <c r="AM78" s="1">
        <f t="shared" si="70"/>
        <v>0.26083200000000001</v>
      </c>
      <c r="AN78" s="136">
        <f t="shared" si="57"/>
        <v>0.13151095466666668</v>
      </c>
      <c r="AO78" s="133">
        <f t="shared" si="71"/>
        <v>0.43327441772410552</v>
      </c>
      <c r="AP78" s="132">
        <f t="shared" si="58"/>
        <v>0.24558877834463291</v>
      </c>
      <c r="AQ78" s="137">
        <f t="shared" si="59"/>
        <v>0.25172849780324869</v>
      </c>
      <c r="AR78" s="137">
        <f t="shared" si="60"/>
        <v>1.6152231232584866</v>
      </c>
      <c r="AS78" s="1">
        <f t="shared" si="61"/>
        <v>1.9759999999999996E-2</v>
      </c>
      <c r="AT78" s="133">
        <f t="shared" si="62"/>
        <v>0.08</v>
      </c>
      <c r="AU78" s="132">
        <f t="shared" si="72"/>
        <v>3.6469365085436731</v>
      </c>
      <c r="AV78" s="1">
        <f t="shared" si="73"/>
        <v>213.56799999999998</v>
      </c>
      <c r="AW78" s="133">
        <f t="shared" si="74"/>
        <v>98.321047084899604</v>
      </c>
    </row>
    <row r="79" spans="17:49" x14ac:dyDescent="0.15">
      <c r="Q79">
        <v>72</v>
      </c>
      <c r="R79" s="132">
        <f t="shared" si="46"/>
        <v>60</v>
      </c>
      <c r="S79" s="1">
        <f t="shared" si="47"/>
        <v>3.6095999999999995</v>
      </c>
      <c r="T79" s="1">
        <f t="shared" si="48"/>
        <v>20</v>
      </c>
      <c r="U79" s="133">
        <f t="shared" si="49"/>
        <v>10.828799999999998</v>
      </c>
      <c r="V79" s="132">
        <f>IF(Calculations!$B$17=3,2,IF((S79*R79/T79)&lt;((T79*(1-(T79/R79)))/(2*Lm*fsw)),1,2))</f>
        <v>2</v>
      </c>
      <c r="W79" s="1">
        <f t="shared" si="50"/>
        <v>0.66666666666666674</v>
      </c>
      <c r="X79" s="133">
        <f t="shared" si="51"/>
        <v>0.33333333333333326</v>
      </c>
      <c r="Y79" s="132">
        <f t="shared" si="52"/>
        <v>10.256410256410257</v>
      </c>
      <c r="Z79" s="1">
        <f t="shared" si="63"/>
        <v>15.957005128205125</v>
      </c>
      <c r="AA79" s="1">
        <f t="shared" si="64"/>
        <v>11.226267057767529</v>
      </c>
      <c r="AB79" s="1">
        <v>0</v>
      </c>
      <c r="AC79" s="1">
        <f t="shared" si="53"/>
        <v>0.25835959770724864</v>
      </c>
      <c r="AD79" s="133">
        <f t="shared" si="65"/>
        <v>0.25835959770724864</v>
      </c>
      <c r="AE79" s="132">
        <f t="shared" si="75"/>
        <v>7.219199999999999</v>
      </c>
      <c r="AF79" s="1">
        <f t="shared" si="66"/>
        <v>9.1662086692487481</v>
      </c>
      <c r="AG79" s="1">
        <f t="shared" si="54"/>
        <v>8.4019381368210896E-2</v>
      </c>
      <c r="AH79" s="1">
        <f t="shared" si="55"/>
        <v>0.67717548253021465</v>
      </c>
      <c r="AI79" s="133">
        <f t="shared" si="67"/>
        <v>0.7611948638984255</v>
      </c>
      <c r="AJ79" s="132">
        <f t="shared" si="68"/>
        <v>3.6095999999999986</v>
      </c>
      <c r="AK79" s="1">
        <f t="shared" si="69"/>
        <v>6.4814883077967087</v>
      </c>
      <c r="AL79" s="1">
        <f t="shared" si="56"/>
        <v>4.2009690684105441E-2</v>
      </c>
      <c r="AM79" s="1">
        <f t="shared" si="70"/>
        <v>0.26083200000000001</v>
      </c>
      <c r="AN79" s="136">
        <f t="shared" si="57"/>
        <v>0.13276228266666665</v>
      </c>
      <c r="AO79" s="133">
        <f t="shared" si="71"/>
        <v>0.43560397335077206</v>
      </c>
      <c r="AP79" s="132">
        <f t="shared" si="58"/>
        <v>0.25205814410463284</v>
      </c>
      <c r="AQ79" s="137">
        <f t="shared" si="59"/>
        <v>0.25835959770724864</v>
      </c>
      <c r="AR79" s="137">
        <f t="shared" si="60"/>
        <v>1.6152231232584866</v>
      </c>
      <c r="AS79" s="1">
        <f t="shared" si="61"/>
        <v>1.9759999999999996E-2</v>
      </c>
      <c r="AT79" s="133">
        <f t="shared" si="62"/>
        <v>0.08</v>
      </c>
      <c r="AU79" s="132">
        <f t="shared" si="72"/>
        <v>3.6805593000268146</v>
      </c>
      <c r="AV79" s="1">
        <f t="shared" si="73"/>
        <v>216.57599999999996</v>
      </c>
      <c r="AW79" s="133">
        <f t="shared" si="74"/>
        <v>98.328967222713558</v>
      </c>
    </row>
    <row r="80" spans="17:49" x14ac:dyDescent="0.15">
      <c r="Q80">
        <v>73</v>
      </c>
      <c r="R80" s="132">
        <f t="shared" si="46"/>
        <v>60</v>
      </c>
      <c r="S80" s="1">
        <f t="shared" si="47"/>
        <v>3.6597333333333331</v>
      </c>
      <c r="T80" s="1">
        <f t="shared" si="48"/>
        <v>20</v>
      </c>
      <c r="U80" s="133">
        <f t="shared" si="49"/>
        <v>10.979199999999999</v>
      </c>
      <c r="V80" s="132">
        <f>IF(Calculations!$B$17=3,2,IF((S80*R80/T80)&lt;((T80*(1-(T80/R80)))/(2*Lm*fsw)),1,2))</f>
        <v>2</v>
      </c>
      <c r="W80" s="1">
        <f t="shared" si="50"/>
        <v>0.66666666666666674</v>
      </c>
      <c r="X80" s="133">
        <f t="shared" si="51"/>
        <v>0.33333333333333326</v>
      </c>
      <c r="Y80" s="132">
        <f t="shared" si="52"/>
        <v>10.256410256410257</v>
      </c>
      <c r="Z80" s="1">
        <f t="shared" si="63"/>
        <v>16.107405128205126</v>
      </c>
      <c r="AA80" s="1">
        <f t="shared" si="64"/>
        <v>11.371411313127163</v>
      </c>
      <c r="AB80" s="1">
        <v>0</v>
      </c>
      <c r="AC80" s="1">
        <f t="shared" si="53"/>
        <v>0.26508344026724867</v>
      </c>
      <c r="AD80" s="133">
        <f t="shared" si="65"/>
        <v>0.26508344026724867</v>
      </c>
      <c r="AE80" s="132">
        <f t="shared" si="75"/>
        <v>7.319466666666667</v>
      </c>
      <c r="AF80" s="1">
        <f t="shared" si="66"/>
        <v>9.2847184574911932</v>
      </c>
      <c r="AG80" s="1">
        <f t="shared" si="54"/>
        <v>8.6205996834877646E-2</v>
      </c>
      <c r="AH80" s="1">
        <f t="shared" si="55"/>
        <v>0.68658069756535667</v>
      </c>
      <c r="AI80" s="133">
        <f t="shared" si="67"/>
        <v>0.77278669440023429</v>
      </c>
      <c r="AJ80" s="132">
        <f t="shared" si="68"/>
        <v>3.6597333333333322</v>
      </c>
      <c r="AK80" s="1">
        <f t="shared" si="69"/>
        <v>6.565287382699923</v>
      </c>
      <c r="AL80" s="1">
        <f t="shared" si="56"/>
        <v>4.3102998417438802E-2</v>
      </c>
      <c r="AM80" s="1">
        <f t="shared" si="70"/>
        <v>0.26083200000000001</v>
      </c>
      <c r="AN80" s="136">
        <f t="shared" si="57"/>
        <v>0.13401361066666667</v>
      </c>
      <c r="AO80" s="133">
        <f t="shared" si="71"/>
        <v>0.43794860908410549</v>
      </c>
      <c r="AP80" s="132">
        <f t="shared" si="58"/>
        <v>0.25861799050463286</v>
      </c>
      <c r="AQ80" s="137">
        <f t="shared" si="59"/>
        <v>0.26508344026724867</v>
      </c>
      <c r="AR80" s="137">
        <f t="shared" si="60"/>
        <v>1.6152231232584866</v>
      </c>
      <c r="AS80" s="1">
        <f t="shared" si="61"/>
        <v>1.9759999999999996E-2</v>
      </c>
      <c r="AT80" s="133">
        <f t="shared" si="62"/>
        <v>0.08</v>
      </c>
      <c r="AU80" s="132">
        <f t="shared" si="72"/>
        <v>3.714503297781957</v>
      </c>
      <c r="AV80" s="1">
        <f t="shared" si="73"/>
        <v>219.58399999999997</v>
      </c>
      <c r="AW80" s="133">
        <f t="shared" si="74"/>
        <v>98.336530141078256</v>
      </c>
    </row>
    <row r="81" spans="17:49" x14ac:dyDescent="0.15">
      <c r="Q81">
        <v>74</v>
      </c>
      <c r="R81" s="132">
        <f t="shared" si="46"/>
        <v>60</v>
      </c>
      <c r="S81" s="1">
        <f t="shared" si="47"/>
        <v>3.7098666666666662</v>
      </c>
      <c r="T81" s="1">
        <f t="shared" si="48"/>
        <v>20</v>
      </c>
      <c r="U81" s="133">
        <f t="shared" si="49"/>
        <v>11.1296</v>
      </c>
      <c r="V81" s="132">
        <f>IF(Calculations!$B$17=3,2,IF((S81*R81/T81)&lt;((T81*(1-(T81/R81)))/(2*Lm*fsw)),1,2))</f>
        <v>2</v>
      </c>
      <c r="W81" s="1">
        <f t="shared" si="50"/>
        <v>0.66666666666666674</v>
      </c>
      <c r="X81" s="133">
        <f t="shared" si="51"/>
        <v>0.33333333333333326</v>
      </c>
      <c r="Y81" s="132">
        <f t="shared" si="52"/>
        <v>10.256410256410257</v>
      </c>
      <c r="Z81" s="1">
        <f t="shared" si="63"/>
        <v>16.257805128205128</v>
      </c>
      <c r="AA81" s="1">
        <f t="shared" si="64"/>
        <v>11.516690443539604</v>
      </c>
      <c r="AB81" s="1">
        <v>0</v>
      </c>
      <c r="AC81" s="1">
        <f t="shared" si="53"/>
        <v>0.27190002548324865</v>
      </c>
      <c r="AD81" s="133">
        <f t="shared" si="65"/>
        <v>0.27190002548324865</v>
      </c>
      <c r="AE81" s="132">
        <f t="shared" si="75"/>
        <v>7.4197333333333342</v>
      </c>
      <c r="AF81" s="1">
        <f t="shared" si="66"/>
        <v>9.4033383707531044</v>
      </c>
      <c r="AG81" s="1">
        <f t="shared" si="54"/>
        <v>8.8422772514877651E-2</v>
      </c>
      <c r="AH81" s="1">
        <f t="shared" si="55"/>
        <v>0.69598591260049847</v>
      </c>
      <c r="AI81" s="133">
        <f t="shared" si="67"/>
        <v>0.78440868511537609</v>
      </c>
      <c r="AJ81" s="132">
        <f t="shared" si="68"/>
        <v>3.7098666666666658</v>
      </c>
      <c r="AK81" s="1">
        <f t="shared" si="69"/>
        <v>6.6491643277511807</v>
      </c>
      <c r="AL81" s="1">
        <f t="shared" si="56"/>
        <v>4.4211386257438812E-2</v>
      </c>
      <c r="AM81" s="1">
        <f t="shared" si="70"/>
        <v>0.26083200000000001</v>
      </c>
      <c r="AN81" s="136">
        <f t="shared" si="57"/>
        <v>0.13526493866666667</v>
      </c>
      <c r="AO81" s="133">
        <f t="shared" si="71"/>
        <v>0.44030832492410549</v>
      </c>
      <c r="AP81" s="132">
        <f t="shared" si="58"/>
        <v>0.26526831754463287</v>
      </c>
      <c r="AQ81" s="137">
        <f t="shared" si="59"/>
        <v>0.27190002548324865</v>
      </c>
      <c r="AR81" s="137">
        <f t="shared" si="60"/>
        <v>1.6152231232584866</v>
      </c>
      <c r="AS81" s="1">
        <f t="shared" si="61"/>
        <v>1.9759999999999996E-2</v>
      </c>
      <c r="AT81" s="133">
        <f t="shared" si="62"/>
        <v>0.08</v>
      </c>
      <c r="AU81" s="132">
        <f t="shared" si="72"/>
        <v>3.7487685018090984</v>
      </c>
      <c r="AV81" s="1">
        <f t="shared" si="73"/>
        <v>222.59199999999998</v>
      </c>
      <c r="AW81" s="133">
        <f t="shared" si="74"/>
        <v>98.343750210524206</v>
      </c>
    </row>
    <row r="82" spans="17:49" x14ac:dyDescent="0.15">
      <c r="Q82">
        <v>75</v>
      </c>
      <c r="R82" s="132">
        <f t="shared" si="46"/>
        <v>60</v>
      </c>
      <c r="S82" s="1">
        <f t="shared" si="47"/>
        <v>3.76</v>
      </c>
      <c r="T82" s="1">
        <f t="shared" si="48"/>
        <v>20</v>
      </c>
      <c r="U82" s="133">
        <f t="shared" si="49"/>
        <v>11.28</v>
      </c>
      <c r="V82" s="132">
        <f>IF(Calculations!$B$17=3,2,IF((S82*R82/T82)&lt;((T82*(1-(T82/R82)))/(2*Lm*fsw)),1,2))</f>
        <v>2</v>
      </c>
      <c r="W82" s="1">
        <f t="shared" si="50"/>
        <v>0.66666666666666674</v>
      </c>
      <c r="X82" s="133">
        <f t="shared" si="51"/>
        <v>0.33333333333333326</v>
      </c>
      <c r="Y82" s="132">
        <f t="shared" si="52"/>
        <v>10.256410256410257</v>
      </c>
      <c r="Z82" s="1">
        <f t="shared" si="63"/>
        <v>16.408205128205129</v>
      </c>
      <c r="AA82" s="1">
        <f t="shared" si="64"/>
        <v>11.662099408439136</v>
      </c>
      <c r="AB82" s="1">
        <v>0</v>
      </c>
      <c r="AC82" s="1">
        <f t="shared" si="53"/>
        <v>0.2788093533552487</v>
      </c>
      <c r="AD82" s="133">
        <f t="shared" si="65"/>
        <v>0.2788093533552487</v>
      </c>
      <c r="AE82" s="132">
        <f t="shared" si="75"/>
        <v>7.5200000000000005</v>
      </c>
      <c r="AF82" s="1">
        <f t="shared" si="66"/>
        <v>9.5220642934298123</v>
      </c>
      <c r="AG82" s="1">
        <f t="shared" si="54"/>
        <v>9.0669708408210994E-2</v>
      </c>
      <c r="AH82" s="1">
        <f t="shared" si="55"/>
        <v>0.70539112763564038</v>
      </c>
      <c r="AI82" s="133">
        <f t="shared" si="67"/>
        <v>0.79606083604385136</v>
      </c>
      <c r="AJ82" s="132">
        <f t="shared" si="68"/>
        <v>3.7599999999999989</v>
      </c>
      <c r="AK82" s="1">
        <f t="shared" si="69"/>
        <v>6.733116232778511</v>
      </c>
      <c r="AL82" s="1">
        <f t="shared" si="56"/>
        <v>4.533485420410549E-2</v>
      </c>
      <c r="AM82" s="1">
        <f t="shared" si="70"/>
        <v>0.26083200000000001</v>
      </c>
      <c r="AN82" s="136">
        <f t="shared" si="57"/>
        <v>0.13651626666666669</v>
      </c>
      <c r="AO82" s="133">
        <f t="shared" si="71"/>
        <v>0.44268312087077222</v>
      </c>
      <c r="AP82" s="132">
        <f t="shared" si="58"/>
        <v>0.27200912522463289</v>
      </c>
      <c r="AQ82" s="137">
        <f t="shared" si="59"/>
        <v>0.2788093533552487</v>
      </c>
      <c r="AR82" s="137">
        <f t="shared" si="60"/>
        <v>1.6152231232584866</v>
      </c>
      <c r="AS82" s="1">
        <f t="shared" si="61"/>
        <v>1.9759999999999996E-2</v>
      </c>
      <c r="AT82" s="133">
        <f t="shared" si="62"/>
        <v>0.08</v>
      </c>
      <c r="AU82" s="132">
        <f t="shared" si="72"/>
        <v>3.7833549121082406</v>
      </c>
      <c r="AV82" s="1">
        <f t="shared" si="73"/>
        <v>225.6</v>
      </c>
      <c r="AW82" s="133">
        <f t="shared" si="74"/>
        <v>98.350641042128842</v>
      </c>
    </row>
    <row r="83" spans="17:49" x14ac:dyDescent="0.15">
      <c r="Q83">
        <v>76</v>
      </c>
      <c r="R83" s="132">
        <f t="shared" si="46"/>
        <v>60</v>
      </c>
      <c r="S83" s="1">
        <f t="shared" si="47"/>
        <v>3.8101333333333329</v>
      </c>
      <c r="T83" s="1">
        <f t="shared" si="48"/>
        <v>20</v>
      </c>
      <c r="U83" s="133">
        <f t="shared" si="49"/>
        <v>11.430399999999999</v>
      </c>
      <c r="V83" s="132">
        <f>IF(Calculations!$B$17=3,2,IF((S83*R83/T83)&lt;((T83*(1-(T83/R83)))/(2*Lm*fsw)),1,2))</f>
        <v>2</v>
      </c>
      <c r="W83" s="1">
        <f t="shared" si="50"/>
        <v>0.66666666666666674</v>
      </c>
      <c r="X83" s="133">
        <f t="shared" si="51"/>
        <v>0.33333333333333326</v>
      </c>
      <c r="Y83" s="132">
        <f t="shared" si="52"/>
        <v>10.256410256410257</v>
      </c>
      <c r="Z83" s="1">
        <f t="shared" si="63"/>
        <v>16.558605128205127</v>
      </c>
      <c r="AA83" s="1">
        <f t="shared" si="64"/>
        <v>11.807633411158921</v>
      </c>
      <c r="AB83" s="1">
        <v>0</v>
      </c>
      <c r="AC83" s="1">
        <f t="shared" si="53"/>
        <v>0.28581142388324871</v>
      </c>
      <c r="AD83" s="133">
        <f t="shared" si="65"/>
        <v>0.28581142388324871</v>
      </c>
      <c r="AE83" s="132">
        <f t="shared" si="75"/>
        <v>7.6202666666666667</v>
      </c>
      <c r="AF83" s="1">
        <f t="shared" si="66"/>
        <v>9.6408923090592413</v>
      </c>
      <c r="AG83" s="1">
        <f t="shared" si="54"/>
        <v>9.2946804514877635E-2</v>
      </c>
      <c r="AH83" s="1">
        <f t="shared" si="55"/>
        <v>0.71479634267078218</v>
      </c>
      <c r="AI83" s="133">
        <f t="shared" si="67"/>
        <v>0.80774314718565976</v>
      </c>
      <c r="AJ83" s="132">
        <f t="shared" si="68"/>
        <v>3.810133333333332</v>
      </c>
      <c r="AK83" s="1">
        <f t="shared" si="69"/>
        <v>6.8171403284250207</v>
      </c>
      <c r="AL83" s="1">
        <f t="shared" si="56"/>
        <v>4.6473402257438803E-2</v>
      </c>
      <c r="AM83" s="1">
        <f t="shared" si="70"/>
        <v>0.26083200000000001</v>
      </c>
      <c r="AN83" s="136">
        <f t="shared" si="57"/>
        <v>0.13776759466666666</v>
      </c>
      <c r="AO83" s="133">
        <f t="shared" si="71"/>
        <v>0.44507299692410546</v>
      </c>
      <c r="AP83" s="132">
        <f t="shared" si="58"/>
        <v>0.2788404135446329</v>
      </c>
      <c r="AQ83" s="137">
        <f t="shared" si="59"/>
        <v>0.28581142388324871</v>
      </c>
      <c r="AR83" s="137">
        <f t="shared" si="60"/>
        <v>1.6152231232584866</v>
      </c>
      <c r="AS83" s="1">
        <f t="shared" si="61"/>
        <v>1.9759999999999996E-2</v>
      </c>
      <c r="AT83" s="133">
        <f t="shared" si="62"/>
        <v>0.08</v>
      </c>
      <c r="AU83" s="132">
        <f t="shared" si="72"/>
        <v>3.8182625286793819</v>
      </c>
      <c r="AV83" s="1">
        <f t="shared" si="73"/>
        <v>228.60799999999998</v>
      </c>
      <c r="AW83" s="133">
        <f t="shared" si="74"/>
        <v>98.357215537031564</v>
      </c>
    </row>
    <row r="84" spans="17:49" x14ac:dyDescent="0.15">
      <c r="Q84">
        <v>77</v>
      </c>
      <c r="R84" s="132">
        <f t="shared" si="46"/>
        <v>60</v>
      </c>
      <c r="S84" s="1">
        <f t="shared" si="47"/>
        <v>3.8602666666666661</v>
      </c>
      <c r="T84" s="1">
        <f t="shared" si="48"/>
        <v>20</v>
      </c>
      <c r="U84" s="133">
        <f t="shared" si="49"/>
        <v>11.580799999999998</v>
      </c>
      <c r="V84" s="132">
        <f>IF(Calculations!$B$17=3,2,IF((S84*R84/T84)&lt;((T84*(1-(T84/R84)))/(2*Lm*fsw)),1,2))</f>
        <v>2</v>
      </c>
      <c r="W84" s="1">
        <f t="shared" si="50"/>
        <v>0.66666666666666674</v>
      </c>
      <c r="X84" s="133">
        <f t="shared" si="51"/>
        <v>0.33333333333333326</v>
      </c>
      <c r="Y84" s="132">
        <f t="shared" si="52"/>
        <v>10.256410256410257</v>
      </c>
      <c r="Z84" s="1">
        <f t="shared" si="63"/>
        <v>16.709005128205128</v>
      </c>
      <c r="AA84" s="1">
        <f t="shared" si="64"/>
        <v>11.953287884608001</v>
      </c>
      <c r="AB84" s="1">
        <v>0</v>
      </c>
      <c r="AC84" s="1">
        <f t="shared" si="53"/>
        <v>0.29290623706724861</v>
      </c>
      <c r="AD84" s="133">
        <f t="shared" si="65"/>
        <v>0.29290623706724861</v>
      </c>
      <c r="AE84" s="132">
        <f t="shared" si="75"/>
        <v>7.720533333333333</v>
      </c>
      <c r="AF84" s="1">
        <f t="shared" si="66"/>
        <v>9.7598186886272451</v>
      </c>
      <c r="AG84" s="1">
        <f t="shared" si="54"/>
        <v>9.5254060834877641E-2</v>
      </c>
      <c r="AH84" s="1">
        <f t="shared" si="55"/>
        <v>0.72420155770592398</v>
      </c>
      <c r="AI84" s="133">
        <f t="shared" si="67"/>
        <v>0.81945561854080162</v>
      </c>
      <c r="AJ84" s="132">
        <f t="shared" si="68"/>
        <v>3.8602666666666652</v>
      </c>
      <c r="AK84" s="1">
        <f t="shared" si="69"/>
        <v>6.9012339778795218</v>
      </c>
      <c r="AL84" s="1">
        <f t="shared" si="56"/>
        <v>4.7627030417438813E-2</v>
      </c>
      <c r="AM84" s="1">
        <f t="shared" si="70"/>
        <v>0.26083200000000001</v>
      </c>
      <c r="AN84" s="136">
        <f t="shared" si="57"/>
        <v>0.13901892266666668</v>
      </c>
      <c r="AO84" s="133">
        <f t="shared" si="71"/>
        <v>0.44747795308410554</v>
      </c>
      <c r="AP84" s="132">
        <f t="shared" si="58"/>
        <v>0.28576218250463287</v>
      </c>
      <c r="AQ84" s="137">
        <f t="shared" si="59"/>
        <v>0.29290623706724861</v>
      </c>
      <c r="AR84" s="137">
        <f t="shared" si="60"/>
        <v>1.6152231232584866</v>
      </c>
      <c r="AS84" s="1">
        <f t="shared" si="61"/>
        <v>1.9759999999999996E-2</v>
      </c>
      <c r="AT84" s="133">
        <f t="shared" si="62"/>
        <v>0.08</v>
      </c>
      <c r="AU84" s="132">
        <f t="shared" si="72"/>
        <v>3.853491351522524</v>
      </c>
      <c r="AV84" s="1">
        <f t="shared" si="73"/>
        <v>231.61599999999996</v>
      </c>
      <c r="AW84" s="133">
        <f t="shared" si="74"/>
        <v>98.363485932124505</v>
      </c>
    </row>
    <row r="85" spans="17:49" x14ac:dyDescent="0.15">
      <c r="Q85">
        <v>78</v>
      </c>
      <c r="R85" s="132">
        <f t="shared" si="46"/>
        <v>60</v>
      </c>
      <c r="S85" s="1">
        <f t="shared" si="47"/>
        <v>3.9103999999999997</v>
      </c>
      <c r="T85" s="1">
        <f t="shared" si="48"/>
        <v>20</v>
      </c>
      <c r="U85" s="133">
        <f t="shared" si="49"/>
        <v>11.731199999999998</v>
      </c>
      <c r="V85" s="132">
        <f>IF(Calculations!$B$17=3,2,IF((S85*R85/T85)&lt;((T85*(1-(T85/R85)))/(2*Lm*fsw)),1,2))</f>
        <v>2</v>
      </c>
      <c r="W85" s="1">
        <f t="shared" si="50"/>
        <v>0.66666666666666674</v>
      </c>
      <c r="X85" s="133">
        <f t="shared" si="51"/>
        <v>0.33333333333333326</v>
      </c>
      <c r="Y85" s="132">
        <f t="shared" si="52"/>
        <v>10.256410256410257</v>
      </c>
      <c r="Z85" s="1">
        <f t="shared" si="63"/>
        <v>16.859405128205125</v>
      </c>
      <c r="AA85" s="1">
        <f t="shared" si="64"/>
        <v>12.099058477927793</v>
      </c>
      <c r="AB85" s="1">
        <v>0</v>
      </c>
      <c r="AC85" s="1">
        <f t="shared" si="53"/>
        <v>0.30009379290724858</v>
      </c>
      <c r="AD85" s="133">
        <f t="shared" si="65"/>
        <v>0.30009379290724858</v>
      </c>
      <c r="AE85" s="132">
        <f t="shared" si="75"/>
        <v>7.8207999999999993</v>
      </c>
      <c r="AF85" s="1">
        <f t="shared" si="66"/>
        <v>9.8788398796726611</v>
      </c>
      <c r="AG85" s="1">
        <f t="shared" si="54"/>
        <v>9.7591477368210958E-2</v>
      </c>
      <c r="AH85" s="1">
        <f t="shared" si="55"/>
        <v>0.73360677274106589</v>
      </c>
      <c r="AI85" s="133">
        <f t="shared" si="67"/>
        <v>0.83119825010927684</v>
      </c>
      <c r="AJ85" s="132">
        <f t="shared" si="68"/>
        <v>3.9103999999999983</v>
      </c>
      <c r="AK85" s="1">
        <f t="shared" si="69"/>
        <v>6.9853946691726341</v>
      </c>
      <c r="AL85" s="1">
        <f t="shared" si="56"/>
        <v>4.8795738684105451E-2</v>
      </c>
      <c r="AM85" s="1">
        <f t="shared" si="70"/>
        <v>0.26083200000000001</v>
      </c>
      <c r="AN85" s="136">
        <f t="shared" si="57"/>
        <v>0.14027025066666665</v>
      </c>
      <c r="AO85" s="133">
        <f t="shared" si="71"/>
        <v>0.44989798935077213</v>
      </c>
      <c r="AP85" s="132">
        <f t="shared" si="58"/>
        <v>0.29277443210463283</v>
      </c>
      <c r="AQ85" s="137">
        <f t="shared" si="59"/>
        <v>0.30009379290724858</v>
      </c>
      <c r="AR85" s="137">
        <f t="shared" si="60"/>
        <v>1.6152231232584866</v>
      </c>
      <c r="AS85" s="1">
        <f t="shared" si="61"/>
        <v>1.9759999999999996E-2</v>
      </c>
      <c r="AT85" s="133">
        <f t="shared" si="62"/>
        <v>0.08</v>
      </c>
      <c r="AU85" s="132">
        <f t="shared" si="72"/>
        <v>3.889041380637666</v>
      </c>
      <c r="AV85" s="1">
        <f t="shared" si="73"/>
        <v>234.62399999999997</v>
      </c>
      <c r="AW85" s="133">
        <f t="shared" si="74"/>
        <v>98.369463842259577</v>
      </c>
    </row>
    <row r="86" spans="17:49" x14ac:dyDescent="0.15">
      <c r="Q86">
        <v>79</v>
      </c>
      <c r="R86" s="132">
        <f t="shared" si="46"/>
        <v>60</v>
      </c>
      <c r="S86" s="1">
        <f t="shared" si="47"/>
        <v>3.9605333333333328</v>
      </c>
      <c r="T86" s="1">
        <f t="shared" si="48"/>
        <v>20</v>
      </c>
      <c r="U86" s="133">
        <f t="shared" si="49"/>
        <v>11.881599999999999</v>
      </c>
      <c r="V86" s="132">
        <f>IF(Calculations!$B$17=3,2,IF((S86*R86/T86)&lt;((T86*(1-(T86/R86)))/(2*Lm*fsw)),1,2))</f>
        <v>2</v>
      </c>
      <c r="W86" s="1">
        <f t="shared" si="50"/>
        <v>0.66666666666666674</v>
      </c>
      <c r="X86" s="133">
        <f t="shared" si="51"/>
        <v>0.33333333333333326</v>
      </c>
      <c r="Y86" s="132">
        <f t="shared" si="52"/>
        <v>10.256410256410257</v>
      </c>
      <c r="Z86" s="1">
        <f t="shared" si="63"/>
        <v>17.009805128205127</v>
      </c>
      <c r="AA86" s="1">
        <f t="shared" si="64"/>
        <v>12.244941044052293</v>
      </c>
      <c r="AB86" s="1">
        <v>0</v>
      </c>
      <c r="AC86" s="1">
        <f t="shared" si="53"/>
        <v>0.30737409140324873</v>
      </c>
      <c r="AD86" s="133">
        <f t="shared" si="65"/>
        <v>0.30737409140324873</v>
      </c>
      <c r="AE86" s="132">
        <f t="shared" si="75"/>
        <v>7.9210666666666665</v>
      </c>
      <c r="AF86" s="1">
        <f t="shared" si="66"/>
        <v>9.9979524961302761</v>
      </c>
      <c r="AG86" s="1">
        <f t="shared" si="54"/>
        <v>9.9959054114877613E-2</v>
      </c>
      <c r="AH86" s="1">
        <f t="shared" si="55"/>
        <v>0.74301198777620781</v>
      </c>
      <c r="AI86" s="133">
        <f t="shared" si="67"/>
        <v>0.8429710418910854</v>
      </c>
      <c r="AJ86" s="132">
        <f t="shared" si="68"/>
        <v>3.9605333333333319</v>
      </c>
      <c r="AK86" s="1">
        <f t="shared" si="69"/>
        <v>7.0696200079946863</v>
      </c>
      <c r="AL86" s="1">
        <f t="shared" si="56"/>
        <v>4.9979527057438786E-2</v>
      </c>
      <c r="AM86" s="1">
        <f t="shared" si="70"/>
        <v>0.26083200000000001</v>
      </c>
      <c r="AN86" s="136">
        <f t="shared" si="57"/>
        <v>0.14152157866666668</v>
      </c>
      <c r="AO86" s="133">
        <f t="shared" si="71"/>
        <v>0.45233310572410546</v>
      </c>
      <c r="AP86" s="132">
        <f t="shared" si="58"/>
        <v>0.29987716234463296</v>
      </c>
      <c r="AQ86" s="137">
        <f t="shared" si="59"/>
        <v>0.30737409140324873</v>
      </c>
      <c r="AR86" s="137">
        <f t="shared" si="60"/>
        <v>1.6152231232584866</v>
      </c>
      <c r="AS86" s="1">
        <f t="shared" si="61"/>
        <v>1.9759999999999996E-2</v>
      </c>
      <c r="AT86" s="133">
        <f t="shared" si="62"/>
        <v>0.08</v>
      </c>
      <c r="AU86" s="132">
        <f t="shared" si="72"/>
        <v>3.924912616024808</v>
      </c>
      <c r="AV86" s="1">
        <f t="shared" si="73"/>
        <v>237.63199999999998</v>
      </c>
      <c r="AW86" s="133">
        <f t="shared" si="74"/>
        <v>98.375160299277468</v>
      </c>
    </row>
    <row r="87" spans="17:49" x14ac:dyDescent="0.15">
      <c r="Q87">
        <v>80</v>
      </c>
      <c r="R87" s="132">
        <f t="shared" si="46"/>
        <v>60</v>
      </c>
      <c r="S87" s="1">
        <f t="shared" si="47"/>
        <v>4.0106666666666664</v>
      </c>
      <c r="T87" s="1">
        <f t="shared" si="48"/>
        <v>20</v>
      </c>
      <c r="U87" s="133">
        <f t="shared" si="49"/>
        <v>12.032</v>
      </c>
      <c r="V87" s="132">
        <f>IF(Calculations!$B$17=3,2,IF((S87*R87/T87)&lt;((T87*(1-(T87/R87)))/(2*Lm*fsw)),1,2))</f>
        <v>2</v>
      </c>
      <c r="W87" s="1">
        <f t="shared" si="50"/>
        <v>0.66666666666666674</v>
      </c>
      <c r="X87" s="133">
        <f t="shared" si="51"/>
        <v>0.33333333333333326</v>
      </c>
      <c r="Y87" s="132">
        <f t="shared" si="52"/>
        <v>10.256410256410257</v>
      </c>
      <c r="Z87" s="1">
        <f t="shared" si="63"/>
        <v>17.160205128205128</v>
      </c>
      <c r="AA87" s="1">
        <f t="shared" si="64"/>
        <v>12.390931628102726</v>
      </c>
      <c r="AB87" s="1">
        <v>0</v>
      </c>
      <c r="AC87" s="1">
        <f t="shared" si="53"/>
        <v>0.31474713255524872</v>
      </c>
      <c r="AD87" s="133">
        <f t="shared" si="65"/>
        <v>0.31474713255524872</v>
      </c>
      <c r="AE87" s="132">
        <f t="shared" si="75"/>
        <v>8.0213333333333345</v>
      </c>
      <c r="AF87" s="1">
        <f t="shared" si="66"/>
        <v>10.117153308855096</v>
      </c>
      <c r="AG87" s="1">
        <f t="shared" si="54"/>
        <v>0.10235679107487762</v>
      </c>
      <c r="AH87" s="1">
        <f t="shared" si="55"/>
        <v>0.75241720281134972</v>
      </c>
      <c r="AI87" s="133">
        <f t="shared" si="67"/>
        <v>0.85477399388622732</v>
      </c>
      <c r="AJ87" s="132">
        <f t="shared" si="68"/>
        <v>4.0106666666666655</v>
      </c>
      <c r="AK87" s="1">
        <f t="shared" si="69"/>
        <v>7.1539077109953553</v>
      </c>
      <c r="AL87" s="1">
        <f t="shared" si="56"/>
        <v>5.1178395537438803E-2</v>
      </c>
      <c r="AM87" s="1">
        <f t="shared" si="70"/>
        <v>0.26083200000000001</v>
      </c>
      <c r="AN87" s="136">
        <f t="shared" si="57"/>
        <v>0.14277290666666667</v>
      </c>
      <c r="AO87" s="133">
        <f t="shared" si="71"/>
        <v>0.45478330220410546</v>
      </c>
      <c r="AP87" s="132">
        <f t="shared" si="58"/>
        <v>0.30707037322463293</v>
      </c>
      <c r="AQ87" s="137">
        <f t="shared" si="59"/>
        <v>0.31474713255524872</v>
      </c>
      <c r="AR87" s="137">
        <f t="shared" si="60"/>
        <v>1.6152231232584866</v>
      </c>
      <c r="AS87" s="1">
        <f t="shared" si="61"/>
        <v>1.9759999999999996E-2</v>
      </c>
      <c r="AT87" s="133">
        <f t="shared" si="62"/>
        <v>0.08</v>
      </c>
      <c r="AU87" s="132">
        <f t="shared" si="72"/>
        <v>3.9611050576839499</v>
      </c>
      <c r="AV87" s="1">
        <f t="shared" si="73"/>
        <v>240.64</v>
      </c>
      <c r="AW87" s="133">
        <f t="shared" si="74"/>
        <v>98.380585788134596</v>
      </c>
    </row>
    <row r="88" spans="17:49" x14ac:dyDescent="0.15">
      <c r="Q88">
        <v>81</v>
      </c>
      <c r="R88" s="132">
        <f t="shared" si="46"/>
        <v>60</v>
      </c>
      <c r="S88" s="1">
        <f t="shared" si="47"/>
        <v>4.0607999999999995</v>
      </c>
      <c r="T88" s="1">
        <f t="shared" si="48"/>
        <v>20</v>
      </c>
      <c r="U88" s="133">
        <f t="shared" si="49"/>
        <v>12.182399999999998</v>
      </c>
      <c r="V88" s="132">
        <f>IF(Calculations!$B$17=3,2,IF((S88*R88/T88)&lt;((T88*(1-(T88/R88)))/(2*Lm*fsw)),1,2))</f>
        <v>2</v>
      </c>
      <c r="W88" s="1">
        <f t="shared" si="50"/>
        <v>0.66666666666666674</v>
      </c>
      <c r="X88" s="133">
        <f t="shared" si="51"/>
        <v>0.33333333333333326</v>
      </c>
      <c r="Y88" s="132">
        <f t="shared" si="52"/>
        <v>10.256410256410257</v>
      </c>
      <c r="Z88" s="1">
        <f t="shared" si="63"/>
        <v>17.310605128205125</v>
      </c>
      <c r="AA88" s="1">
        <f t="shared" si="64"/>
        <v>12.53702645655326</v>
      </c>
      <c r="AB88" s="1">
        <v>0</v>
      </c>
      <c r="AC88" s="1">
        <f t="shared" si="53"/>
        <v>0.32221291636324861</v>
      </c>
      <c r="AD88" s="133">
        <f t="shared" si="65"/>
        <v>0.32221291636324861</v>
      </c>
      <c r="AE88" s="132">
        <f t="shared" si="75"/>
        <v>8.121599999999999</v>
      </c>
      <c r="AF88" s="1">
        <f t="shared" si="66"/>
        <v>10.236439236776183</v>
      </c>
      <c r="AG88" s="1">
        <f t="shared" si="54"/>
        <v>0.10478468824821097</v>
      </c>
      <c r="AH88" s="1">
        <f t="shared" si="55"/>
        <v>0.76182241784649152</v>
      </c>
      <c r="AI88" s="133">
        <f t="shared" si="67"/>
        <v>0.86660710609470248</v>
      </c>
      <c r="AJ88" s="132">
        <f t="shared" si="68"/>
        <v>4.0607999999999986</v>
      </c>
      <c r="AK88" s="1">
        <f t="shared" si="69"/>
        <v>7.2382555995284843</v>
      </c>
      <c r="AL88" s="1">
        <f t="shared" si="56"/>
        <v>5.2392344124105455E-2</v>
      </c>
      <c r="AM88" s="1">
        <f t="shared" si="70"/>
        <v>0.26083200000000001</v>
      </c>
      <c r="AN88" s="136">
        <f t="shared" si="57"/>
        <v>0.14402423466666667</v>
      </c>
      <c r="AO88" s="133">
        <f t="shared" si="71"/>
        <v>0.45724857879077219</v>
      </c>
      <c r="AP88" s="132">
        <f t="shared" si="58"/>
        <v>0.31435406474463279</v>
      </c>
      <c r="AQ88" s="137">
        <f t="shared" si="59"/>
        <v>0.32221291636324861</v>
      </c>
      <c r="AR88" s="137">
        <f t="shared" si="60"/>
        <v>1.6152231232584866</v>
      </c>
      <c r="AS88" s="1">
        <f t="shared" si="61"/>
        <v>1.9759999999999996E-2</v>
      </c>
      <c r="AT88" s="133">
        <f t="shared" si="62"/>
        <v>0.08</v>
      </c>
      <c r="AU88" s="132">
        <f t="shared" si="72"/>
        <v>3.9976187056150918</v>
      </c>
      <c r="AV88" s="1">
        <f t="shared" si="73"/>
        <v>243.64799999999997</v>
      </c>
      <c r="AW88" s="133">
        <f t="shared" si="74"/>
        <v>98.38575028037657</v>
      </c>
    </row>
    <row r="89" spans="17:49" x14ac:dyDescent="0.15">
      <c r="Q89">
        <v>82</v>
      </c>
      <c r="R89" s="132">
        <f t="shared" si="46"/>
        <v>60</v>
      </c>
      <c r="S89" s="1">
        <f t="shared" si="47"/>
        <v>4.1109333333333327</v>
      </c>
      <c r="T89" s="1">
        <f t="shared" si="48"/>
        <v>20</v>
      </c>
      <c r="U89" s="133">
        <f t="shared" si="49"/>
        <v>12.332799999999997</v>
      </c>
      <c r="V89" s="132">
        <f>IF(Calculations!$B$17=3,2,IF((S89*R89/T89)&lt;((T89*(1-(T89/R89)))/(2*Lm*fsw)),1,2))</f>
        <v>2</v>
      </c>
      <c r="W89" s="1">
        <f t="shared" si="50"/>
        <v>0.66666666666666674</v>
      </c>
      <c r="X89" s="133">
        <f t="shared" si="51"/>
        <v>0.33333333333333326</v>
      </c>
      <c r="Y89" s="132">
        <f t="shared" si="52"/>
        <v>10.256410256410257</v>
      </c>
      <c r="Z89" s="1">
        <f t="shared" si="63"/>
        <v>17.461005128205127</v>
      </c>
      <c r="AA89" s="1">
        <f t="shared" si="64"/>
        <v>12.683221927109704</v>
      </c>
      <c r="AB89" s="1">
        <v>0</v>
      </c>
      <c r="AC89" s="1">
        <f t="shared" si="53"/>
        <v>0.32977144282724857</v>
      </c>
      <c r="AD89" s="133">
        <f t="shared" si="65"/>
        <v>0.32977144282724857</v>
      </c>
      <c r="AE89" s="132">
        <f t="shared" si="75"/>
        <v>8.2218666666666653</v>
      </c>
      <c r="AF89" s="1">
        <f t="shared" si="66"/>
        <v>10.355807338632641</v>
      </c>
      <c r="AG89" s="1">
        <f t="shared" si="54"/>
        <v>0.10724274563487765</v>
      </c>
      <c r="AH89" s="1">
        <f t="shared" si="55"/>
        <v>0.77122763288163332</v>
      </c>
      <c r="AI89" s="133">
        <f t="shared" si="67"/>
        <v>0.878470378516511</v>
      </c>
      <c r="AJ89" s="132">
        <f t="shared" si="68"/>
        <v>4.1109333333333318</v>
      </c>
      <c r="AK89" s="1">
        <f t="shared" si="69"/>
        <v>7.3226615938085517</v>
      </c>
      <c r="AL89" s="1">
        <f t="shared" si="56"/>
        <v>5.3621372817438798E-2</v>
      </c>
      <c r="AM89" s="1">
        <f t="shared" si="70"/>
        <v>0.26083200000000001</v>
      </c>
      <c r="AN89" s="136">
        <f t="shared" si="57"/>
        <v>0.14527556266666666</v>
      </c>
      <c r="AO89" s="133">
        <f t="shared" si="71"/>
        <v>0.45972893548410543</v>
      </c>
      <c r="AP89" s="132">
        <f t="shared" si="58"/>
        <v>0.32172823690463281</v>
      </c>
      <c r="AQ89" s="137">
        <f t="shared" si="59"/>
        <v>0.32977144282724857</v>
      </c>
      <c r="AR89" s="137">
        <f t="shared" si="60"/>
        <v>1.6152231232584866</v>
      </c>
      <c r="AS89" s="1">
        <f t="shared" si="61"/>
        <v>1.9759999999999996E-2</v>
      </c>
      <c r="AT89" s="133">
        <f t="shared" si="62"/>
        <v>0.08</v>
      </c>
      <c r="AU89" s="132">
        <f t="shared" si="72"/>
        <v>4.0344535598182327</v>
      </c>
      <c r="AV89" s="1">
        <f t="shared" si="73"/>
        <v>246.65599999999995</v>
      </c>
      <c r="AW89" s="133">
        <f t="shared" si="74"/>
        <v>98.39066326518271</v>
      </c>
    </row>
    <row r="90" spans="17:49" x14ac:dyDescent="0.15">
      <c r="Q90">
        <v>83</v>
      </c>
      <c r="R90" s="132">
        <f t="shared" si="46"/>
        <v>60</v>
      </c>
      <c r="S90" s="1">
        <f t="shared" si="47"/>
        <v>4.1610666666666667</v>
      </c>
      <c r="T90" s="1">
        <f t="shared" si="48"/>
        <v>20</v>
      </c>
      <c r="U90" s="133">
        <f t="shared" si="49"/>
        <v>12.4832</v>
      </c>
      <c r="V90" s="132">
        <f>IF(Calculations!$B$17=3,2,IF((S90*R90/T90)&lt;((T90*(1-(T90/R90)))/(2*Lm*fsw)),1,2))</f>
        <v>2</v>
      </c>
      <c r="W90" s="1">
        <f t="shared" si="50"/>
        <v>0.66666666666666674</v>
      </c>
      <c r="X90" s="133">
        <f t="shared" si="51"/>
        <v>0.33333333333333326</v>
      </c>
      <c r="Y90" s="132">
        <f t="shared" si="52"/>
        <v>10.256410256410257</v>
      </c>
      <c r="Z90" s="1">
        <f t="shared" si="63"/>
        <v>17.611405128205128</v>
      </c>
      <c r="AA90" s="1">
        <f t="shared" si="64"/>
        <v>12.829514599247958</v>
      </c>
      <c r="AB90" s="1">
        <v>0</v>
      </c>
      <c r="AC90" s="1">
        <f t="shared" si="53"/>
        <v>0.33742271194724877</v>
      </c>
      <c r="AD90" s="133">
        <f t="shared" si="65"/>
        <v>0.33742271194724877</v>
      </c>
      <c r="AE90" s="132">
        <f t="shared" si="75"/>
        <v>8.3221333333333352</v>
      </c>
      <c r="AF90" s="1">
        <f t="shared" si="66"/>
        <v>10.475254805248303</v>
      </c>
      <c r="AG90" s="1">
        <f t="shared" si="54"/>
        <v>0.10973096323487766</v>
      </c>
      <c r="AH90" s="1">
        <f t="shared" si="55"/>
        <v>0.78063284791677534</v>
      </c>
      <c r="AI90" s="133">
        <f t="shared" si="67"/>
        <v>0.89036381115165297</v>
      </c>
      <c r="AJ90" s="132">
        <f t="shared" si="68"/>
        <v>4.1610666666666658</v>
      </c>
      <c r="AK90" s="1">
        <f t="shared" si="69"/>
        <v>7.4071237074480409</v>
      </c>
      <c r="AL90" s="1">
        <f t="shared" si="56"/>
        <v>5.4865481617438809E-2</v>
      </c>
      <c r="AM90" s="1">
        <f t="shared" si="70"/>
        <v>0.26083200000000001</v>
      </c>
      <c r="AN90" s="136">
        <f t="shared" si="57"/>
        <v>0.14652689066666669</v>
      </c>
      <c r="AO90" s="133">
        <f t="shared" si="71"/>
        <v>0.46222437228410551</v>
      </c>
      <c r="AP90" s="132">
        <f t="shared" si="58"/>
        <v>0.32919288970463301</v>
      </c>
      <c r="AQ90" s="137">
        <f t="shared" si="59"/>
        <v>0.33742271194724877</v>
      </c>
      <c r="AR90" s="137">
        <f t="shared" si="60"/>
        <v>1.6152231232584866</v>
      </c>
      <c r="AS90" s="1">
        <f t="shared" si="61"/>
        <v>1.9759999999999996E-2</v>
      </c>
      <c r="AT90" s="133">
        <f t="shared" si="62"/>
        <v>0.08</v>
      </c>
      <c r="AU90" s="132">
        <f t="shared" si="72"/>
        <v>4.0716096202933754</v>
      </c>
      <c r="AV90" s="1">
        <f t="shared" si="73"/>
        <v>249.66399999999999</v>
      </c>
      <c r="AW90" s="133">
        <f t="shared" si="74"/>
        <v>98.395333778184934</v>
      </c>
    </row>
    <row r="91" spans="17:49" x14ac:dyDescent="0.15">
      <c r="Q91">
        <v>84</v>
      </c>
      <c r="R91" s="132">
        <f t="shared" si="46"/>
        <v>60</v>
      </c>
      <c r="S91" s="1">
        <f t="shared" si="47"/>
        <v>4.2111999999999998</v>
      </c>
      <c r="T91" s="1">
        <f t="shared" si="48"/>
        <v>20</v>
      </c>
      <c r="U91" s="133">
        <f t="shared" si="49"/>
        <v>12.633599999999999</v>
      </c>
      <c r="V91" s="132">
        <f>IF(Calculations!$B$17=3,2,IF((S91*R91/T91)&lt;((T91*(1-(T91/R91)))/(2*Lm*fsw)),1,2))</f>
        <v>2</v>
      </c>
      <c r="W91" s="1">
        <f t="shared" si="50"/>
        <v>0.66666666666666674</v>
      </c>
      <c r="X91" s="133">
        <f t="shared" si="51"/>
        <v>0.33333333333333326</v>
      </c>
      <c r="Y91" s="132">
        <f t="shared" si="52"/>
        <v>10.256410256410257</v>
      </c>
      <c r="Z91" s="1">
        <f t="shared" si="63"/>
        <v>17.761805128205129</v>
      </c>
      <c r="AA91" s="1">
        <f t="shared" si="64"/>
        <v>12.975901185363444</v>
      </c>
      <c r="AB91" s="1">
        <v>0</v>
      </c>
      <c r="AC91" s="1">
        <f t="shared" si="53"/>
        <v>0.34516672372324864</v>
      </c>
      <c r="AD91" s="133">
        <f t="shared" si="65"/>
        <v>0.34516672372324864</v>
      </c>
      <c r="AE91" s="132">
        <f t="shared" si="75"/>
        <v>8.4224000000000014</v>
      </c>
      <c r="AF91" s="1">
        <f t="shared" si="66"/>
        <v>10.594778952305282</v>
      </c>
      <c r="AG91" s="1">
        <f t="shared" si="54"/>
        <v>0.11224934104821099</v>
      </c>
      <c r="AH91" s="1">
        <f t="shared" si="55"/>
        <v>0.79003806295191725</v>
      </c>
      <c r="AI91" s="133">
        <f t="shared" si="67"/>
        <v>0.9022874040001283</v>
      </c>
      <c r="AJ91" s="132">
        <f t="shared" si="68"/>
        <v>4.2111999999999989</v>
      </c>
      <c r="AK91" s="1">
        <f t="shared" si="69"/>
        <v>7.4916400423475684</v>
      </c>
      <c r="AL91" s="1">
        <f t="shared" si="56"/>
        <v>5.6124670524105476E-2</v>
      </c>
      <c r="AM91" s="1">
        <f t="shared" si="70"/>
        <v>0.26083200000000001</v>
      </c>
      <c r="AN91" s="136">
        <f t="shared" si="57"/>
        <v>0.14777821866666668</v>
      </c>
      <c r="AO91" s="133">
        <f t="shared" si="71"/>
        <v>0.46473488919077216</v>
      </c>
      <c r="AP91" s="132">
        <f t="shared" si="58"/>
        <v>0.33674802314463287</v>
      </c>
      <c r="AQ91" s="137">
        <f t="shared" si="59"/>
        <v>0.34516672372324864</v>
      </c>
      <c r="AR91" s="137">
        <f t="shared" si="60"/>
        <v>1.6152231232584866</v>
      </c>
      <c r="AS91" s="1">
        <f t="shared" si="61"/>
        <v>1.9759999999999996E-2</v>
      </c>
      <c r="AT91" s="133">
        <f t="shared" si="62"/>
        <v>0.08</v>
      </c>
      <c r="AU91" s="132">
        <f t="shared" si="72"/>
        <v>4.1090868870405171</v>
      </c>
      <c r="AV91" s="1">
        <f t="shared" si="73"/>
        <v>252.672</v>
      </c>
      <c r="AW91" s="133">
        <f t="shared" si="74"/>
        <v>98.399770428244935</v>
      </c>
    </row>
    <row r="92" spans="17:49" x14ac:dyDescent="0.15">
      <c r="Q92">
        <v>85</v>
      </c>
      <c r="R92" s="132">
        <f t="shared" si="46"/>
        <v>60</v>
      </c>
      <c r="S92" s="1">
        <f t="shared" si="47"/>
        <v>4.261333333333333</v>
      </c>
      <c r="T92" s="1">
        <f t="shared" si="48"/>
        <v>20</v>
      </c>
      <c r="U92" s="133">
        <f t="shared" si="49"/>
        <v>12.783999999999999</v>
      </c>
      <c r="V92" s="132">
        <f>IF(Calculations!$B$17=3,2,IF((S92*R92/T92)&lt;((T92*(1-(T92/R92)))/(2*Lm*fsw)),1,2))</f>
        <v>2</v>
      </c>
      <c r="W92" s="1">
        <f t="shared" si="50"/>
        <v>0.66666666666666674</v>
      </c>
      <c r="X92" s="133">
        <f t="shared" si="51"/>
        <v>0.33333333333333326</v>
      </c>
      <c r="Y92" s="132">
        <f t="shared" si="52"/>
        <v>10.256410256410257</v>
      </c>
      <c r="Z92" s="1">
        <f t="shared" si="63"/>
        <v>17.912205128205127</v>
      </c>
      <c r="AA92" s="1">
        <f t="shared" si="64"/>
        <v>13.122378542486741</v>
      </c>
      <c r="AB92" s="1">
        <v>0</v>
      </c>
      <c r="AC92" s="1">
        <f t="shared" si="53"/>
        <v>0.35300347815524868</v>
      </c>
      <c r="AD92" s="133">
        <f t="shared" si="65"/>
        <v>0.35300347815524868</v>
      </c>
      <c r="AE92" s="132">
        <f t="shared" si="75"/>
        <v>8.5226666666666677</v>
      </c>
      <c r="AF92" s="1">
        <f t="shared" si="66"/>
        <v>10.714377213579782</v>
      </c>
      <c r="AG92" s="1">
        <f t="shared" si="54"/>
        <v>0.11479787907487767</v>
      </c>
      <c r="AH92" s="1">
        <f t="shared" si="55"/>
        <v>0.79944327798705905</v>
      </c>
      <c r="AI92" s="133">
        <f t="shared" si="67"/>
        <v>0.91424115706193676</v>
      </c>
      <c r="AJ92" s="132">
        <f t="shared" si="68"/>
        <v>4.2613333333333321</v>
      </c>
      <c r="AK92" s="1">
        <f t="shared" si="69"/>
        <v>7.5762087839128878</v>
      </c>
      <c r="AL92" s="1">
        <f t="shared" si="56"/>
        <v>5.7398939537438798E-2</v>
      </c>
      <c r="AM92" s="1">
        <f t="shared" si="70"/>
        <v>0.26083200000000001</v>
      </c>
      <c r="AN92" s="136">
        <f t="shared" si="57"/>
        <v>0.14902954666666668</v>
      </c>
      <c r="AO92" s="133">
        <f t="shared" si="71"/>
        <v>0.46726048620410549</v>
      </c>
      <c r="AP92" s="132">
        <f t="shared" si="58"/>
        <v>0.34439363722463295</v>
      </c>
      <c r="AQ92" s="137">
        <f t="shared" si="59"/>
        <v>0.35300347815524868</v>
      </c>
      <c r="AR92" s="137">
        <f t="shared" si="60"/>
        <v>1.6152231232584866</v>
      </c>
      <c r="AS92" s="1">
        <f t="shared" si="61"/>
        <v>1.9759999999999996E-2</v>
      </c>
      <c r="AT92" s="133">
        <f t="shared" si="62"/>
        <v>0.08</v>
      </c>
      <c r="AU92" s="132">
        <f t="shared" si="72"/>
        <v>4.1468853600596587</v>
      </c>
      <c r="AV92" s="1">
        <f t="shared" si="73"/>
        <v>255.67999999999998</v>
      </c>
      <c r="AW92" s="133">
        <f t="shared" si="74"/>
        <v>98.403981422356253</v>
      </c>
    </row>
    <row r="93" spans="17:49" x14ac:dyDescent="0.15">
      <c r="Q93">
        <v>86</v>
      </c>
      <c r="R93" s="132">
        <f t="shared" si="46"/>
        <v>60</v>
      </c>
      <c r="S93" s="1">
        <f t="shared" si="47"/>
        <v>4.3114666666666661</v>
      </c>
      <c r="T93" s="1">
        <f t="shared" si="48"/>
        <v>20</v>
      </c>
      <c r="U93" s="133">
        <f t="shared" si="49"/>
        <v>12.9344</v>
      </c>
      <c r="V93" s="132">
        <f>IF(Calculations!$B$17=3,2,IF((S93*R93/T93)&lt;((T93*(1-(T93/R93)))/(2*Lm*fsw)),1,2))</f>
        <v>2</v>
      </c>
      <c r="W93" s="1">
        <f t="shared" si="50"/>
        <v>0.66666666666666674</v>
      </c>
      <c r="X93" s="133">
        <f t="shared" si="51"/>
        <v>0.33333333333333326</v>
      </c>
      <c r="Y93" s="132">
        <f t="shared" si="52"/>
        <v>10.256410256410257</v>
      </c>
      <c r="Z93" s="1">
        <f t="shared" si="63"/>
        <v>18.062605128205128</v>
      </c>
      <c r="AA93" s="1">
        <f t="shared" si="64"/>
        <v>13.268943664524183</v>
      </c>
      <c r="AB93" s="1">
        <v>0</v>
      </c>
      <c r="AC93" s="1">
        <f t="shared" si="53"/>
        <v>0.36093297524324869</v>
      </c>
      <c r="AD93" s="133">
        <f t="shared" si="65"/>
        <v>0.36093297524324869</v>
      </c>
      <c r="AE93" s="132">
        <f t="shared" si="75"/>
        <v>8.622933333333334</v>
      </c>
      <c r="AF93" s="1">
        <f t="shared" si="66"/>
        <v>10.834047134606609</v>
      </c>
      <c r="AG93" s="1">
        <f t="shared" si="54"/>
        <v>0.11737657731487766</v>
      </c>
      <c r="AH93" s="1">
        <f t="shared" si="55"/>
        <v>0.80884849302220097</v>
      </c>
      <c r="AI93" s="133">
        <f t="shared" si="67"/>
        <v>0.92622507033707868</v>
      </c>
      <c r="AJ93" s="132">
        <f t="shared" si="68"/>
        <v>4.3114666666666661</v>
      </c>
      <c r="AK93" s="1">
        <f t="shared" si="69"/>
        <v>7.6608281965750153</v>
      </c>
      <c r="AL93" s="1">
        <f t="shared" si="56"/>
        <v>5.8688288657438803E-2</v>
      </c>
      <c r="AM93" s="1">
        <f t="shared" si="70"/>
        <v>0.26083200000000001</v>
      </c>
      <c r="AN93" s="136">
        <f t="shared" si="57"/>
        <v>0.15028087466666668</v>
      </c>
      <c r="AO93" s="133">
        <f t="shared" si="71"/>
        <v>0.46980116332410549</v>
      </c>
      <c r="AP93" s="132">
        <f t="shared" si="58"/>
        <v>0.35212973194463293</v>
      </c>
      <c r="AQ93" s="137">
        <f t="shared" si="59"/>
        <v>0.36093297524324869</v>
      </c>
      <c r="AR93" s="137">
        <f t="shared" si="60"/>
        <v>1.6152231232584866</v>
      </c>
      <c r="AS93" s="1">
        <f t="shared" si="61"/>
        <v>1.9759999999999996E-2</v>
      </c>
      <c r="AT93" s="133">
        <f t="shared" si="62"/>
        <v>0.08</v>
      </c>
      <c r="AU93" s="132">
        <f t="shared" si="72"/>
        <v>4.1850050393508011</v>
      </c>
      <c r="AV93" s="1">
        <f t="shared" si="73"/>
        <v>258.68799999999999</v>
      </c>
      <c r="AW93" s="133">
        <f t="shared" si="74"/>
        <v>98.407974588823095</v>
      </c>
    </row>
    <row r="94" spans="17:49" x14ac:dyDescent="0.15">
      <c r="Q94">
        <v>87</v>
      </c>
      <c r="R94" s="132">
        <f t="shared" si="46"/>
        <v>60</v>
      </c>
      <c r="S94" s="1">
        <f t="shared" si="47"/>
        <v>4.3615999999999993</v>
      </c>
      <c r="T94" s="1">
        <f t="shared" si="48"/>
        <v>20</v>
      </c>
      <c r="U94" s="133">
        <f t="shared" si="49"/>
        <v>13.084799999999998</v>
      </c>
      <c r="V94" s="132">
        <f>IF(Calculations!$B$17=3,2,IF((S94*R94/T94)&lt;((T94*(1-(T94/R94)))/(2*Lm*fsw)),1,2))</f>
        <v>2</v>
      </c>
      <c r="W94" s="1">
        <f t="shared" si="50"/>
        <v>0.66666666666666674</v>
      </c>
      <c r="X94" s="133">
        <f t="shared" si="51"/>
        <v>0.33333333333333326</v>
      </c>
      <c r="Y94" s="132">
        <f t="shared" si="52"/>
        <v>10.256410256410257</v>
      </c>
      <c r="Z94" s="1">
        <f t="shared" si="63"/>
        <v>18.213005128205126</v>
      </c>
      <c r="AA94" s="1">
        <f t="shared" si="64"/>
        <v>13.415593674985702</v>
      </c>
      <c r="AB94" s="1">
        <v>0</v>
      </c>
      <c r="AC94" s="1">
        <f t="shared" si="53"/>
        <v>0.36895521498724854</v>
      </c>
      <c r="AD94" s="133">
        <f t="shared" si="65"/>
        <v>0.36895521498724854</v>
      </c>
      <c r="AE94" s="132">
        <f t="shared" si="75"/>
        <v>8.7232000000000003</v>
      </c>
      <c r="AF94" s="1">
        <f t="shared" si="66"/>
        <v>10.953786366741454</v>
      </c>
      <c r="AG94" s="1">
        <f t="shared" si="54"/>
        <v>0.11998543576821095</v>
      </c>
      <c r="AH94" s="1">
        <f t="shared" si="55"/>
        <v>0.81825370805734265</v>
      </c>
      <c r="AI94" s="133">
        <f t="shared" si="67"/>
        <v>0.93823914382555362</v>
      </c>
      <c r="AJ94" s="132">
        <f t="shared" si="68"/>
        <v>4.3615999999999984</v>
      </c>
      <c r="AK94" s="1">
        <f t="shared" si="69"/>
        <v>7.7454966195916359</v>
      </c>
      <c r="AL94" s="1">
        <f t="shared" si="56"/>
        <v>5.9992717884105463E-2</v>
      </c>
      <c r="AM94" s="1">
        <f t="shared" si="70"/>
        <v>0.26083200000000001</v>
      </c>
      <c r="AN94" s="136">
        <f t="shared" si="57"/>
        <v>0.15153220266666667</v>
      </c>
      <c r="AO94" s="133">
        <f t="shared" si="71"/>
        <v>0.47235692055077216</v>
      </c>
      <c r="AP94" s="132">
        <f t="shared" si="58"/>
        <v>0.35995630730463279</v>
      </c>
      <c r="AQ94" s="137">
        <f t="shared" si="59"/>
        <v>0.36895521498724854</v>
      </c>
      <c r="AR94" s="137">
        <f t="shared" si="60"/>
        <v>1.6152231232584866</v>
      </c>
      <c r="AS94" s="1">
        <f t="shared" si="61"/>
        <v>1.9759999999999996E-2</v>
      </c>
      <c r="AT94" s="133">
        <f t="shared" si="62"/>
        <v>0.08</v>
      </c>
      <c r="AU94" s="132">
        <f t="shared" si="72"/>
        <v>4.2234459249139418</v>
      </c>
      <c r="AV94" s="1">
        <f t="shared" si="73"/>
        <v>261.69599999999997</v>
      </c>
      <c r="AW94" s="133">
        <f t="shared" si="74"/>
        <v>98.411757398852842</v>
      </c>
    </row>
    <row r="95" spans="17:49" x14ac:dyDescent="0.15">
      <c r="Q95">
        <v>88</v>
      </c>
      <c r="R95" s="132">
        <f t="shared" si="46"/>
        <v>60</v>
      </c>
      <c r="S95" s="1">
        <f t="shared" si="47"/>
        <v>4.4117333333333333</v>
      </c>
      <c r="T95" s="1">
        <f t="shared" si="48"/>
        <v>20</v>
      </c>
      <c r="U95" s="133">
        <f t="shared" si="49"/>
        <v>13.235200000000001</v>
      </c>
      <c r="V95" s="132">
        <f>IF(Calculations!$B$17=3,2,IF((S95*R95/T95)&lt;((T95*(1-(T95/R95)))/(2*Lm*fsw)),1,2))</f>
        <v>2</v>
      </c>
      <c r="W95" s="1">
        <f t="shared" si="50"/>
        <v>0.66666666666666674</v>
      </c>
      <c r="X95" s="133">
        <f t="shared" si="51"/>
        <v>0.33333333333333326</v>
      </c>
      <c r="Y95" s="132">
        <f t="shared" si="52"/>
        <v>10.256410256410257</v>
      </c>
      <c r="Z95" s="1">
        <f t="shared" si="63"/>
        <v>18.36340512820513</v>
      </c>
      <c r="AA95" s="1">
        <f t="shared" si="64"/>
        <v>13.562325820165082</v>
      </c>
      <c r="AB95" s="1">
        <v>0</v>
      </c>
      <c r="AC95" s="1">
        <f t="shared" si="53"/>
        <v>0.37707019738724867</v>
      </c>
      <c r="AD95" s="133">
        <f t="shared" si="65"/>
        <v>0.37707019738724867</v>
      </c>
      <c r="AE95" s="132">
        <f t="shared" si="75"/>
        <v>8.8234666666666683</v>
      </c>
      <c r="AF95" s="1">
        <f t="shared" si="66"/>
        <v>11.07359266159261</v>
      </c>
      <c r="AG95" s="1">
        <f t="shared" si="54"/>
        <v>0.1226244544348777</v>
      </c>
      <c r="AH95" s="1">
        <f t="shared" si="55"/>
        <v>0.82765892309248479</v>
      </c>
      <c r="AI95" s="133">
        <f t="shared" si="67"/>
        <v>0.95028337752736247</v>
      </c>
      <c r="AJ95" s="132">
        <f t="shared" si="68"/>
        <v>4.4117333333333324</v>
      </c>
      <c r="AK95" s="1">
        <f t="shared" si="69"/>
        <v>7.8302124631097225</v>
      </c>
      <c r="AL95" s="1">
        <f t="shared" si="56"/>
        <v>6.1312227217438828E-2</v>
      </c>
      <c r="AM95" s="1">
        <f t="shared" si="70"/>
        <v>0.26083200000000001</v>
      </c>
      <c r="AN95" s="136">
        <f t="shared" si="57"/>
        <v>0.15278353066666669</v>
      </c>
      <c r="AO95" s="133">
        <f t="shared" si="71"/>
        <v>0.47492775788410557</v>
      </c>
      <c r="AP95" s="132">
        <f t="shared" si="58"/>
        <v>0.36787336330463288</v>
      </c>
      <c r="AQ95" s="137">
        <f t="shared" si="59"/>
        <v>0.37707019738724867</v>
      </c>
      <c r="AR95" s="137">
        <f t="shared" si="60"/>
        <v>1.6152231232584866</v>
      </c>
      <c r="AS95" s="1">
        <f t="shared" si="61"/>
        <v>1.9759999999999996E-2</v>
      </c>
      <c r="AT95" s="133">
        <f t="shared" si="62"/>
        <v>0.08</v>
      </c>
      <c r="AU95" s="132">
        <f t="shared" si="72"/>
        <v>4.262208016749085</v>
      </c>
      <c r="AV95" s="1">
        <f t="shared" si="73"/>
        <v>264.70400000000001</v>
      </c>
      <c r="AW95" s="133">
        <f t="shared" si="74"/>
        <v>98.415336986688061</v>
      </c>
    </row>
    <row r="96" spans="17:49" x14ac:dyDescent="0.15">
      <c r="Q96">
        <v>89</v>
      </c>
      <c r="R96" s="132">
        <f t="shared" si="46"/>
        <v>60</v>
      </c>
      <c r="S96" s="1">
        <f t="shared" si="47"/>
        <v>4.4618666666666664</v>
      </c>
      <c r="T96" s="1">
        <f t="shared" si="48"/>
        <v>20</v>
      </c>
      <c r="U96" s="133">
        <f t="shared" si="49"/>
        <v>13.3856</v>
      </c>
      <c r="V96" s="132">
        <f>IF(Calculations!$B$17=3,2,IF((S96*R96/T96)&lt;((T96*(1-(T96/R96)))/(2*Lm*fsw)),1,2))</f>
        <v>2</v>
      </c>
      <c r="W96" s="1">
        <f t="shared" si="50"/>
        <v>0.66666666666666674</v>
      </c>
      <c r="X96" s="133">
        <f t="shared" si="51"/>
        <v>0.33333333333333326</v>
      </c>
      <c r="Y96" s="132">
        <f t="shared" si="52"/>
        <v>10.256410256410257</v>
      </c>
      <c r="Z96" s="1">
        <f t="shared" si="63"/>
        <v>18.513805128205128</v>
      </c>
      <c r="AA96" s="1">
        <f t="shared" si="64"/>
        <v>13.709137462740552</v>
      </c>
      <c r="AB96" s="1">
        <v>0</v>
      </c>
      <c r="AC96" s="1">
        <f t="shared" si="53"/>
        <v>0.38527792244324871</v>
      </c>
      <c r="AD96" s="133">
        <f t="shared" si="65"/>
        <v>0.38527792244324871</v>
      </c>
      <c r="AE96" s="132">
        <f t="shared" si="75"/>
        <v>8.9237333333333346</v>
      </c>
      <c r="AF96" s="1">
        <f t="shared" si="66"/>
        <v>11.193463865795863</v>
      </c>
      <c r="AG96" s="1">
        <f t="shared" si="54"/>
        <v>0.12529363331487767</v>
      </c>
      <c r="AH96" s="1">
        <f t="shared" si="55"/>
        <v>0.83706413812762659</v>
      </c>
      <c r="AI96" s="133">
        <f t="shared" si="67"/>
        <v>0.96235777144250423</v>
      </c>
      <c r="AJ96" s="132">
        <f t="shared" si="68"/>
        <v>4.4618666666666655</v>
      </c>
      <c r="AK96" s="1">
        <f t="shared" si="69"/>
        <v>7.9149742044708402</v>
      </c>
      <c r="AL96" s="1">
        <f t="shared" si="56"/>
        <v>6.264681665743882E-2</v>
      </c>
      <c r="AM96" s="1">
        <f t="shared" si="70"/>
        <v>0.26083200000000001</v>
      </c>
      <c r="AN96" s="136">
        <f t="shared" si="57"/>
        <v>0.15403485866666669</v>
      </c>
      <c r="AO96" s="133">
        <f t="shared" si="71"/>
        <v>0.47751367532410549</v>
      </c>
      <c r="AP96" s="132">
        <f t="shared" si="58"/>
        <v>0.37588089994463292</v>
      </c>
      <c r="AQ96" s="137">
        <f t="shared" si="59"/>
        <v>0.38527792244324871</v>
      </c>
      <c r="AR96" s="137">
        <f t="shared" si="60"/>
        <v>1.6152231232584866</v>
      </c>
      <c r="AS96" s="1">
        <f t="shared" si="61"/>
        <v>1.9759999999999996E-2</v>
      </c>
      <c r="AT96" s="133">
        <f t="shared" si="62"/>
        <v>0.08</v>
      </c>
      <c r="AU96" s="132">
        <f t="shared" si="72"/>
        <v>4.3012913148562264</v>
      </c>
      <c r="AV96" s="1">
        <f t="shared" si="73"/>
        <v>267.71199999999999</v>
      </c>
      <c r="AW96" s="133">
        <f t="shared" si="74"/>
        <v>98.418720168391545</v>
      </c>
    </row>
    <row r="97" spans="17:49" x14ac:dyDescent="0.15">
      <c r="Q97">
        <v>90</v>
      </c>
      <c r="R97" s="132">
        <f t="shared" si="46"/>
        <v>60</v>
      </c>
      <c r="S97" s="1">
        <f t="shared" si="47"/>
        <v>4.5119999999999996</v>
      </c>
      <c r="T97" s="1">
        <f t="shared" si="48"/>
        <v>20</v>
      </c>
      <c r="U97" s="133">
        <f t="shared" si="49"/>
        <v>13.535999999999998</v>
      </c>
      <c r="V97" s="132">
        <f>IF(Calculations!$B$17=3,2,IF((S97*R97/T97)&lt;((T97*(1-(T97/R97)))/(2*Lm*fsw)),1,2))</f>
        <v>2</v>
      </c>
      <c r="W97" s="1">
        <f t="shared" si="50"/>
        <v>0.66666666666666674</v>
      </c>
      <c r="X97" s="133">
        <f t="shared" si="51"/>
        <v>0.33333333333333326</v>
      </c>
      <c r="Y97" s="132">
        <f t="shared" si="52"/>
        <v>10.256410256410257</v>
      </c>
      <c r="Z97" s="1">
        <f t="shared" si="63"/>
        <v>18.664205128205126</v>
      </c>
      <c r="AA97" s="1">
        <f t="shared" si="64"/>
        <v>13.856026075766328</v>
      </c>
      <c r="AB97" s="1">
        <v>0</v>
      </c>
      <c r="AC97" s="1">
        <f t="shared" si="53"/>
        <v>0.39357839015524865</v>
      </c>
      <c r="AD97" s="133">
        <f t="shared" si="65"/>
        <v>0.39357839015524865</v>
      </c>
      <c r="AE97" s="132">
        <f t="shared" si="75"/>
        <v>9.0239999999999991</v>
      </c>
      <c r="AF97" s="1">
        <f t="shared" si="66"/>
        <v>11.313397916108624</v>
      </c>
      <c r="AG97" s="1">
        <f t="shared" si="54"/>
        <v>0.12799297240821095</v>
      </c>
      <c r="AH97" s="1">
        <f t="shared" si="55"/>
        <v>0.84646935316276828</v>
      </c>
      <c r="AI97" s="133">
        <f t="shared" si="67"/>
        <v>0.97446232557097923</v>
      </c>
      <c r="AJ97" s="132">
        <f t="shared" si="68"/>
        <v>4.5119999999999987</v>
      </c>
      <c r="AK97" s="1">
        <f t="shared" si="69"/>
        <v>7.999780384742162</v>
      </c>
      <c r="AL97" s="1">
        <f t="shared" si="56"/>
        <v>6.3996486204105446E-2</v>
      </c>
      <c r="AM97" s="1">
        <f t="shared" si="70"/>
        <v>0.26083200000000001</v>
      </c>
      <c r="AN97" s="136">
        <f t="shared" si="57"/>
        <v>0.15528618666666666</v>
      </c>
      <c r="AO97" s="133">
        <f t="shared" si="71"/>
        <v>0.48011467287077209</v>
      </c>
      <c r="AP97" s="132">
        <f t="shared" si="58"/>
        <v>0.3839789172246329</v>
      </c>
      <c r="AQ97" s="137">
        <f t="shared" si="59"/>
        <v>0.39357839015524865</v>
      </c>
      <c r="AR97" s="137">
        <f t="shared" si="60"/>
        <v>1.6152231232584866</v>
      </c>
      <c r="AS97" s="1">
        <f t="shared" si="61"/>
        <v>1.9759999999999996E-2</v>
      </c>
      <c r="AT97" s="133">
        <f t="shared" si="62"/>
        <v>0.08</v>
      </c>
      <c r="AU97" s="132">
        <f t="shared" si="72"/>
        <v>4.3406958192353677</v>
      </c>
      <c r="AV97" s="1">
        <f t="shared" si="73"/>
        <v>270.71999999999997</v>
      </c>
      <c r="AW97" s="133">
        <f t="shared" si="74"/>
        <v>98.42191345938862</v>
      </c>
    </row>
    <row r="98" spans="17:49" x14ac:dyDescent="0.15">
      <c r="Q98">
        <v>91</v>
      </c>
      <c r="R98" s="132">
        <f t="shared" si="46"/>
        <v>60</v>
      </c>
      <c r="S98" s="1">
        <f t="shared" si="47"/>
        <v>4.5621333333333327</v>
      </c>
      <c r="T98" s="1">
        <f t="shared" si="48"/>
        <v>20</v>
      </c>
      <c r="U98" s="133">
        <f t="shared" si="49"/>
        <v>13.686399999999997</v>
      </c>
      <c r="V98" s="132">
        <f>IF(Calculations!$B$17=3,2,IF((S98*R98/T98)&lt;((T98*(1-(T98/R98)))/(2*Lm*fsw)),1,2))</f>
        <v>2</v>
      </c>
      <c r="W98" s="1">
        <f t="shared" si="50"/>
        <v>0.66666666666666674</v>
      </c>
      <c r="X98" s="133">
        <f t="shared" si="51"/>
        <v>0.33333333333333326</v>
      </c>
      <c r="Y98" s="132">
        <f t="shared" si="52"/>
        <v>10.256410256410257</v>
      </c>
      <c r="Z98" s="1">
        <f t="shared" si="63"/>
        <v>18.814605128205127</v>
      </c>
      <c r="AA98" s="1">
        <f t="shared" si="64"/>
        <v>14.0029892370278</v>
      </c>
      <c r="AB98" s="1">
        <v>0</v>
      </c>
      <c r="AC98" s="1">
        <f t="shared" si="53"/>
        <v>0.40197160052324854</v>
      </c>
      <c r="AD98" s="133">
        <f t="shared" si="65"/>
        <v>0.40197160052324854</v>
      </c>
      <c r="AE98" s="132">
        <f t="shared" si="75"/>
        <v>9.1242666666666654</v>
      </c>
      <c r="AF98" s="1">
        <f t="shared" si="66"/>
        <v>11.433392834800946</v>
      </c>
      <c r="AG98" s="1">
        <f t="shared" si="54"/>
        <v>0.13072247171487764</v>
      </c>
      <c r="AH98" s="1">
        <f t="shared" si="55"/>
        <v>0.85587456819791019</v>
      </c>
      <c r="AI98" s="133">
        <f t="shared" si="67"/>
        <v>0.9865970399127878</v>
      </c>
      <c r="AJ98" s="132">
        <f t="shared" si="68"/>
        <v>4.5621333333333318</v>
      </c>
      <c r="AK98" s="1">
        <f t="shared" si="69"/>
        <v>8.0846296054574314</v>
      </c>
      <c r="AL98" s="1">
        <f t="shared" si="56"/>
        <v>6.536123585743879E-2</v>
      </c>
      <c r="AM98" s="1">
        <f t="shared" si="70"/>
        <v>0.26083200000000001</v>
      </c>
      <c r="AN98" s="136">
        <f t="shared" si="57"/>
        <v>0.15653751466666668</v>
      </c>
      <c r="AO98" s="133">
        <f t="shared" si="71"/>
        <v>0.48273075052410552</v>
      </c>
      <c r="AP98" s="132">
        <f t="shared" si="58"/>
        <v>0.39216741514463282</v>
      </c>
      <c r="AQ98" s="137">
        <f t="shared" si="59"/>
        <v>0.40197160052324854</v>
      </c>
      <c r="AR98" s="137">
        <f t="shared" si="60"/>
        <v>1.6152231232584866</v>
      </c>
      <c r="AS98" s="1">
        <f t="shared" si="61"/>
        <v>1.9759999999999996E-2</v>
      </c>
      <c r="AT98" s="133">
        <f t="shared" si="62"/>
        <v>0.08</v>
      </c>
      <c r="AU98" s="132">
        <f t="shared" si="72"/>
        <v>4.3804215298865099</v>
      </c>
      <c r="AV98" s="1">
        <f t="shared" si="73"/>
        <v>273.72799999999995</v>
      </c>
      <c r="AW98" s="133">
        <f t="shared" si="74"/>
        <v>98.424923090861611</v>
      </c>
    </row>
    <row r="99" spans="17:49" x14ac:dyDescent="0.15">
      <c r="Q99">
        <v>92</v>
      </c>
      <c r="R99" s="132">
        <f t="shared" si="46"/>
        <v>60</v>
      </c>
      <c r="S99" s="1">
        <f t="shared" si="47"/>
        <v>4.6122666666666658</v>
      </c>
      <c r="T99" s="1">
        <f t="shared" si="48"/>
        <v>20</v>
      </c>
      <c r="U99" s="133">
        <f t="shared" si="49"/>
        <v>13.836799999999997</v>
      </c>
      <c r="V99" s="132">
        <f>IF(Calculations!$B$17=3,2,IF((S99*R99/T99)&lt;((T99*(1-(T99/R99)))/(2*Lm*fsw)),1,2))</f>
        <v>2</v>
      </c>
      <c r="W99" s="1">
        <f t="shared" si="50"/>
        <v>0.66666666666666674</v>
      </c>
      <c r="X99" s="133">
        <f t="shared" si="51"/>
        <v>0.33333333333333326</v>
      </c>
      <c r="Y99" s="132">
        <f t="shared" si="52"/>
        <v>10.256410256410257</v>
      </c>
      <c r="Z99" s="1">
        <f t="shared" si="63"/>
        <v>18.965005128205124</v>
      </c>
      <c r="AA99" s="1">
        <f t="shared" si="64"/>
        <v>14.150024623735337</v>
      </c>
      <c r="AB99" s="1">
        <v>0</v>
      </c>
      <c r="AC99" s="1">
        <f t="shared" si="53"/>
        <v>0.4104575535472485</v>
      </c>
      <c r="AD99" s="133">
        <f t="shared" si="65"/>
        <v>0.4104575535472485</v>
      </c>
      <c r="AE99" s="132">
        <f t="shared" si="75"/>
        <v>9.2245333333333317</v>
      </c>
      <c r="AF99" s="1">
        <f t="shared" si="66"/>
        <v>11.553446725323036</v>
      </c>
      <c r="AG99" s="1">
        <f t="shared" si="54"/>
        <v>0.13348213123487759</v>
      </c>
      <c r="AH99" s="1">
        <f t="shared" si="55"/>
        <v>0.8652797832330521</v>
      </c>
      <c r="AI99" s="133">
        <f t="shared" si="67"/>
        <v>0.99876191446792972</v>
      </c>
      <c r="AJ99" s="132">
        <f t="shared" si="68"/>
        <v>4.612266666666665</v>
      </c>
      <c r="AK99" s="1">
        <f t="shared" si="69"/>
        <v>8.1695205255534287</v>
      </c>
      <c r="AL99" s="1">
        <f t="shared" si="56"/>
        <v>6.6741065617438769E-2</v>
      </c>
      <c r="AM99" s="1">
        <f t="shared" si="70"/>
        <v>0.26083200000000001</v>
      </c>
      <c r="AN99" s="136">
        <f t="shared" si="57"/>
        <v>0.15778884266666665</v>
      </c>
      <c r="AO99" s="133">
        <f t="shared" si="71"/>
        <v>0.48536190828410541</v>
      </c>
      <c r="AP99" s="132">
        <f t="shared" si="58"/>
        <v>0.40044639370463275</v>
      </c>
      <c r="AQ99" s="137">
        <f t="shared" si="59"/>
        <v>0.4104575535472485</v>
      </c>
      <c r="AR99" s="137">
        <f t="shared" si="60"/>
        <v>1.6152231232584866</v>
      </c>
      <c r="AS99" s="1">
        <f t="shared" si="61"/>
        <v>1.9759999999999996E-2</v>
      </c>
      <c r="AT99" s="133">
        <f t="shared" si="62"/>
        <v>0.08</v>
      </c>
      <c r="AU99" s="132">
        <f t="shared" si="72"/>
        <v>4.4204684468096511</v>
      </c>
      <c r="AV99" s="1">
        <f t="shared" si="73"/>
        <v>276.73599999999993</v>
      </c>
      <c r="AW99" s="133">
        <f t="shared" si="74"/>
        <v>98.427755025082803</v>
      </c>
    </row>
    <row r="100" spans="17:49" x14ac:dyDescent="0.15">
      <c r="Q100">
        <v>93</v>
      </c>
      <c r="R100" s="132">
        <f t="shared" si="46"/>
        <v>60</v>
      </c>
      <c r="S100" s="1">
        <f t="shared" si="47"/>
        <v>4.6623999999999999</v>
      </c>
      <c r="T100" s="1">
        <f t="shared" si="48"/>
        <v>20</v>
      </c>
      <c r="U100" s="133">
        <f t="shared" si="49"/>
        <v>13.987199999999998</v>
      </c>
      <c r="V100" s="132">
        <f>IF(Calculations!$B$17=3,2,IF((S100*R100/T100)&lt;((T100*(1-(T100/R100)))/(2*Lm*fsw)),1,2))</f>
        <v>2</v>
      </c>
      <c r="W100" s="1">
        <f t="shared" si="50"/>
        <v>0.66666666666666674</v>
      </c>
      <c r="X100" s="133">
        <f t="shared" si="51"/>
        <v>0.33333333333333326</v>
      </c>
      <c r="Y100" s="132">
        <f t="shared" si="52"/>
        <v>10.256410256410257</v>
      </c>
      <c r="Z100" s="1">
        <f t="shared" si="63"/>
        <v>19.115405128205126</v>
      </c>
      <c r="AA100" s="1">
        <f t="shared" si="64"/>
        <v>14.297130007533555</v>
      </c>
      <c r="AB100" s="1">
        <v>0</v>
      </c>
      <c r="AC100" s="1">
        <f t="shared" si="53"/>
        <v>0.41903624922724864</v>
      </c>
      <c r="AD100" s="133">
        <f t="shared" si="65"/>
        <v>0.41903624922724864</v>
      </c>
      <c r="AE100" s="132">
        <f t="shared" si="75"/>
        <v>9.3247999999999998</v>
      </c>
      <c r="AF100" s="1">
        <f t="shared" si="66"/>
        <v>11.67355776823034</v>
      </c>
      <c r="AG100" s="1">
        <f t="shared" si="54"/>
        <v>0.13627195096821093</v>
      </c>
      <c r="AH100" s="1">
        <f t="shared" si="55"/>
        <v>0.8746849982681939</v>
      </c>
      <c r="AI100" s="133">
        <f t="shared" si="67"/>
        <v>1.0109569492364048</v>
      </c>
      <c r="AJ100" s="132">
        <f t="shared" si="68"/>
        <v>4.6623999999999981</v>
      </c>
      <c r="AK100" s="1">
        <f t="shared" si="69"/>
        <v>8.2544518584885722</v>
      </c>
      <c r="AL100" s="1">
        <f t="shared" si="56"/>
        <v>6.8135975484105452E-2</v>
      </c>
      <c r="AM100" s="1">
        <f t="shared" si="70"/>
        <v>0.26083200000000001</v>
      </c>
      <c r="AN100" s="136">
        <f t="shared" si="57"/>
        <v>0.15904017066666667</v>
      </c>
      <c r="AO100" s="133">
        <f t="shared" si="71"/>
        <v>0.48800814615077215</v>
      </c>
      <c r="AP100" s="132">
        <f t="shared" si="58"/>
        <v>0.4088158529046329</v>
      </c>
      <c r="AQ100" s="137">
        <f t="shared" si="59"/>
        <v>0.41903624922724864</v>
      </c>
      <c r="AR100" s="137">
        <f t="shared" si="60"/>
        <v>1.6152231232584866</v>
      </c>
      <c r="AS100" s="1">
        <f t="shared" si="61"/>
        <v>1.9759999999999996E-2</v>
      </c>
      <c r="AT100" s="133">
        <f t="shared" si="62"/>
        <v>0.08</v>
      </c>
      <c r="AU100" s="132">
        <f t="shared" si="72"/>
        <v>4.4608365700047941</v>
      </c>
      <c r="AV100" s="1">
        <f t="shared" si="73"/>
        <v>279.74399999999997</v>
      </c>
      <c r="AW100" s="133">
        <f t="shared" si="74"/>
        <v>98.43041496976565</v>
      </c>
    </row>
    <row r="101" spans="17:49" x14ac:dyDescent="0.15">
      <c r="Q101">
        <v>94</v>
      </c>
      <c r="R101" s="132">
        <f t="shared" si="46"/>
        <v>60</v>
      </c>
      <c r="S101" s="1">
        <f t="shared" si="47"/>
        <v>4.712533333333333</v>
      </c>
      <c r="T101" s="1">
        <f t="shared" si="48"/>
        <v>20</v>
      </c>
      <c r="U101" s="133">
        <f t="shared" si="49"/>
        <v>14.137599999999997</v>
      </c>
      <c r="V101" s="132">
        <f>IF(Calculations!$B$17=3,2,IF((S101*R101/T101)&lt;((T101*(1-(T101/R101)))/(2*Lm*fsw)),1,2))</f>
        <v>2</v>
      </c>
      <c r="W101" s="1">
        <f t="shared" si="50"/>
        <v>0.66666666666666674</v>
      </c>
      <c r="X101" s="133">
        <f t="shared" si="51"/>
        <v>0.33333333333333326</v>
      </c>
      <c r="Y101" s="132">
        <f t="shared" si="52"/>
        <v>10.256410256410257</v>
      </c>
      <c r="Z101" s="1">
        <f t="shared" si="63"/>
        <v>19.265805128205127</v>
      </c>
      <c r="AA101" s="1">
        <f t="shared" si="64"/>
        <v>14.444303249804623</v>
      </c>
      <c r="AB101" s="1">
        <v>0</v>
      </c>
      <c r="AC101" s="1">
        <f t="shared" si="53"/>
        <v>0.42770768756324856</v>
      </c>
      <c r="AD101" s="133">
        <f t="shared" si="65"/>
        <v>0.42770768756324856</v>
      </c>
      <c r="AE101" s="132">
        <f t="shared" si="75"/>
        <v>9.425066666666666</v>
      </c>
      <c r="AF101" s="1">
        <f t="shared" si="66"/>
        <v>11.793724217348718</v>
      </c>
      <c r="AG101" s="1">
        <f t="shared" si="54"/>
        <v>0.13909193091487762</v>
      </c>
      <c r="AH101" s="1">
        <f t="shared" si="55"/>
        <v>0.88409021330333581</v>
      </c>
      <c r="AI101" s="133">
        <f t="shared" si="67"/>
        <v>1.0231821442182134</v>
      </c>
      <c r="AJ101" s="132">
        <f t="shared" si="68"/>
        <v>4.7125333333333312</v>
      </c>
      <c r="AK101" s="1">
        <f t="shared" si="69"/>
        <v>8.3394223695312846</v>
      </c>
      <c r="AL101" s="1">
        <f t="shared" si="56"/>
        <v>6.9545965457438783E-2</v>
      </c>
      <c r="AM101" s="1">
        <f t="shared" si="70"/>
        <v>0.26083200000000001</v>
      </c>
      <c r="AN101" s="136">
        <f t="shared" si="57"/>
        <v>0.16029149866666667</v>
      </c>
      <c r="AO101" s="133">
        <f t="shared" si="71"/>
        <v>0.4906694641241055</v>
      </c>
      <c r="AP101" s="132">
        <f t="shared" si="58"/>
        <v>0.41727579274463278</v>
      </c>
      <c r="AQ101" s="137">
        <f t="shared" si="59"/>
        <v>0.42770768756324856</v>
      </c>
      <c r="AR101" s="137">
        <f t="shared" si="60"/>
        <v>1.6152231232584866</v>
      </c>
      <c r="AS101" s="1">
        <f t="shared" si="61"/>
        <v>1.9759999999999996E-2</v>
      </c>
      <c r="AT101" s="133">
        <f t="shared" si="62"/>
        <v>0.08</v>
      </c>
      <c r="AU101" s="132">
        <f t="shared" si="72"/>
        <v>4.5015258994719352</v>
      </c>
      <c r="AV101" s="1">
        <f t="shared" si="73"/>
        <v>282.75199999999995</v>
      </c>
      <c r="AW101" s="133">
        <f t="shared" si="74"/>
        <v>98.432908391506643</v>
      </c>
    </row>
    <row r="102" spans="17:49" x14ac:dyDescent="0.15">
      <c r="Q102">
        <v>95</v>
      </c>
      <c r="R102" s="132">
        <f t="shared" si="46"/>
        <v>60</v>
      </c>
      <c r="S102" s="1">
        <f t="shared" si="47"/>
        <v>4.7626666666666662</v>
      </c>
      <c r="T102" s="1">
        <f t="shared" si="48"/>
        <v>20</v>
      </c>
      <c r="U102" s="133">
        <f t="shared" si="49"/>
        <v>14.288</v>
      </c>
      <c r="V102" s="132">
        <f>IF(Calculations!$B$17=3,2,IF((S102*R102/T102)&lt;((T102*(1-(T102/R102)))/(2*Lm*fsw)),1,2))</f>
        <v>2</v>
      </c>
      <c r="W102" s="1">
        <f t="shared" si="50"/>
        <v>0.66666666666666674</v>
      </c>
      <c r="X102" s="133">
        <f t="shared" si="51"/>
        <v>0.33333333333333326</v>
      </c>
      <c r="Y102" s="132">
        <f t="shared" si="52"/>
        <v>10.256410256410257</v>
      </c>
      <c r="Z102" s="1">
        <f t="shared" si="63"/>
        <v>19.416205128205128</v>
      </c>
      <c r="AA102" s="1">
        <f t="shared" si="64"/>
        <v>14.591542297245912</v>
      </c>
      <c r="AB102" s="1">
        <v>0</v>
      </c>
      <c r="AC102" s="1">
        <f t="shared" si="53"/>
        <v>0.43647186855524878</v>
      </c>
      <c r="AD102" s="133">
        <f t="shared" si="65"/>
        <v>0.43647186855524878</v>
      </c>
      <c r="AE102" s="132">
        <f t="shared" si="75"/>
        <v>9.5253333333333341</v>
      </c>
      <c r="AF102" s="1">
        <f t="shared" si="66"/>
        <v>11.913944396163583</v>
      </c>
      <c r="AG102" s="1">
        <f t="shared" si="54"/>
        <v>0.14194207107487763</v>
      </c>
      <c r="AH102" s="1">
        <f t="shared" si="55"/>
        <v>0.89349542833847784</v>
      </c>
      <c r="AI102" s="133">
        <f t="shared" si="67"/>
        <v>1.0354374994133555</v>
      </c>
      <c r="AJ102" s="132">
        <f t="shared" si="68"/>
        <v>4.7626666666666653</v>
      </c>
      <c r="AK102" s="1">
        <f t="shared" si="69"/>
        <v>8.4244308732067346</v>
      </c>
      <c r="AL102" s="1">
        <f t="shared" si="56"/>
        <v>7.0971035537438776E-2</v>
      </c>
      <c r="AM102" s="1">
        <f t="shared" si="70"/>
        <v>0.26083200000000001</v>
      </c>
      <c r="AN102" s="136">
        <f t="shared" si="57"/>
        <v>0.16154282666666669</v>
      </c>
      <c r="AO102" s="133">
        <f t="shared" si="71"/>
        <v>0.49334586220410548</v>
      </c>
      <c r="AP102" s="132">
        <f t="shared" si="58"/>
        <v>0.42582621322463304</v>
      </c>
      <c r="AQ102" s="137">
        <f t="shared" si="59"/>
        <v>0.43647186855524878</v>
      </c>
      <c r="AR102" s="137">
        <f t="shared" si="60"/>
        <v>1.6152231232584866</v>
      </c>
      <c r="AS102" s="1">
        <f t="shared" si="61"/>
        <v>1.9759999999999996E-2</v>
      </c>
      <c r="AT102" s="133">
        <f t="shared" si="62"/>
        <v>0.08</v>
      </c>
      <c r="AU102" s="132">
        <f t="shared" si="72"/>
        <v>4.542536435211078</v>
      </c>
      <c r="AV102" s="1">
        <f t="shared" si="73"/>
        <v>285.76</v>
      </c>
      <c r="AW102" s="133">
        <f t="shared" si="74"/>
        <v>98.435240528384114</v>
      </c>
    </row>
    <row r="103" spans="17:49" x14ac:dyDescent="0.15">
      <c r="Q103">
        <v>96</v>
      </c>
      <c r="R103" s="132">
        <f t="shared" si="46"/>
        <v>60</v>
      </c>
      <c r="S103" s="1">
        <f t="shared" si="47"/>
        <v>4.8127999999999993</v>
      </c>
      <c r="T103" s="1">
        <f t="shared" ref="T103:T134" si="76">Vin_vari</f>
        <v>20</v>
      </c>
      <c r="U103" s="133">
        <f t="shared" ref="U103:U134" si="77">(R103*S103)/(T103*EFF_est)</f>
        <v>14.438399999999998</v>
      </c>
      <c r="V103" s="132">
        <f>IF(Calculations!$B$17=3,2,IF((S103*R103/T103)&lt;((T103*(1-(T103/R103)))/(2*Lm*fsw)),1,2))</f>
        <v>2</v>
      </c>
      <c r="W103" s="1">
        <f t="shared" ref="W103:W134" si="78">CHOOSE(V103,SQRT((2*S103*Lm*fsw*(R103-T103))/((T103)^2)),1-(T103/R103))</f>
        <v>0.66666666666666674</v>
      </c>
      <c r="X103" s="133">
        <f t="shared" ref="X103:X134" si="79">CHOOSE(V103,(Lm*Z103*fsw)/(R103-T103),1-W103)</f>
        <v>0.33333333333333326</v>
      </c>
      <c r="Y103" s="132">
        <f t="shared" ref="Y103:Y134" si="80">(T103*W103)/(Lm*fsw)</f>
        <v>10.256410256410257</v>
      </c>
      <c r="Z103" s="1">
        <f t="shared" si="63"/>
        <v>19.566605128205126</v>
      </c>
      <c r="AA103" s="1">
        <f t="shared" si="64"/>
        <v>14.738845177703592</v>
      </c>
      <c r="AB103" s="1">
        <v>0</v>
      </c>
      <c r="AC103" s="1">
        <f t="shared" ref="AC103:AC134" si="81">(AA103^2)*Rdcr</f>
        <v>0.44532879220324856</v>
      </c>
      <c r="AD103" s="133">
        <f t="shared" si="65"/>
        <v>0.44532879220324856</v>
      </c>
      <c r="AE103" s="132">
        <f t="shared" si="75"/>
        <v>9.6256000000000004</v>
      </c>
      <c r="AF103" s="1">
        <f t="shared" si="66"/>
        <v>12.034216694418085</v>
      </c>
      <c r="AG103" s="1">
        <f t="shared" ref="AG103:AG134" si="82">(AF103^2)*RDS_on</f>
        <v>0.14482237144821095</v>
      </c>
      <c r="AH103" s="1">
        <f t="shared" ref="AH103:AH134" si="83">((R103*U103)/2)*fsw*(tr_sw+tf_sw)</f>
        <v>0.90290064337361953</v>
      </c>
      <c r="AI103" s="133">
        <f t="shared" si="67"/>
        <v>1.0477230148218304</v>
      </c>
      <c r="AJ103" s="132">
        <f t="shared" si="68"/>
        <v>4.8127999999999984</v>
      </c>
      <c r="AK103" s="1">
        <f t="shared" si="69"/>
        <v>8.5094762308913854</v>
      </c>
      <c r="AL103" s="1">
        <f t="shared" ref="AL103:AL134" si="84">(AK103^2)*RDS_on_HS</f>
        <v>7.2411185724105473E-2</v>
      </c>
      <c r="AM103" s="1">
        <f t="shared" si="70"/>
        <v>0.26083200000000001</v>
      </c>
      <c r="AN103" s="136">
        <f t="shared" ref="AN103:AN134" si="85">Vd_rect*t_dead*fsw*Z103</f>
        <v>0.16279415466666666</v>
      </c>
      <c r="AO103" s="133">
        <f t="shared" si="71"/>
        <v>0.49603734039077219</v>
      </c>
      <c r="AP103" s="132">
        <f t="shared" ref="AP103:AP134" si="86">(AA103^2)*Rcs</f>
        <v>0.43446711434463281</v>
      </c>
      <c r="AQ103" s="137">
        <f t="shared" ref="AQ103:AQ134" si="87">Rdcr*AA103^2</f>
        <v>0.44532879220324856</v>
      </c>
      <c r="AR103" s="137">
        <f t="shared" ref="AR103:AR134" si="88">ABS(7.759*10^-3*fsw^0.9458*(0.00787*Y103)^2.304)</f>
        <v>1.6152231232584866</v>
      </c>
      <c r="AS103" s="1">
        <f t="shared" ref="AS103:AS134" si="89">(Qg_tot+Qg_tot_HS)*VCC*fsw</f>
        <v>1.9759999999999996E-2</v>
      </c>
      <c r="AT103" s="133">
        <f t="shared" ref="AT103:AT134" si="90">IQ*T103</f>
        <v>0.08</v>
      </c>
      <c r="AU103" s="132">
        <f t="shared" si="72"/>
        <v>4.583868177222219</v>
      </c>
      <c r="AV103" s="1">
        <f t="shared" si="73"/>
        <v>288.76799999999997</v>
      </c>
      <c r="AW103" s="133">
        <f t="shared" si="74"/>
        <v>98.437416401775579</v>
      </c>
    </row>
    <row r="104" spans="17:49" x14ac:dyDescent="0.15">
      <c r="Q104">
        <v>97</v>
      </c>
      <c r="R104" s="132">
        <f t="shared" si="46"/>
        <v>60</v>
      </c>
      <c r="S104" s="1">
        <f t="shared" si="47"/>
        <v>4.8629333333333324</v>
      </c>
      <c r="T104" s="1">
        <f t="shared" si="76"/>
        <v>20</v>
      </c>
      <c r="U104" s="133">
        <f t="shared" si="77"/>
        <v>14.588799999999997</v>
      </c>
      <c r="V104" s="132">
        <f>IF(Calculations!$B$17=3,2,IF((S104*R104/T104)&lt;((T104*(1-(T104/R104)))/(2*Lm*fsw)),1,2))</f>
        <v>2</v>
      </c>
      <c r="W104" s="1">
        <f t="shared" si="78"/>
        <v>0.66666666666666674</v>
      </c>
      <c r="X104" s="133">
        <f t="shared" si="79"/>
        <v>0.33333333333333326</v>
      </c>
      <c r="Y104" s="132">
        <f t="shared" si="80"/>
        <v>10.256410256410257</v>
      </c>
      <c r="Z104" s="1">
        <f t="shared" si="63"/>
        <v>19.717005128205127</v>
      </c>
      <c r="AA104" s="1">
        <f t="shared" si="64"/>
        <v>14.886209996245398</v>
      </c>
      <c r="AB104" s="1">
        <v>0</v>
      </c>
      <c r="AC104" s="1">
        <f t="shared" si="81"/>
        <v>0.45427845850724863</v>
      </c>
      <c r="AD104" s="133">
        <f t="shared" si="65"/>
        <v>0.45427845850724863</v>
      </c>
      <c r="AE104" s="132">
        <f t="shared" si="75"/>
        <v>9.7258666666666667</v>
      </c>
      <c r="AF104" s="1">
        <f t="shared" si="66"/>
        <v>12.154539564906507</v>
      </c>
      <c r="AG104" s="1">
        <f t="shared" si="82"/>
        <v>0.14773283203487766</v>
      </c>
      <c r="AH104" s="1">
        <f t="shared" si="83"/>
        <v>0.91230585840876144</v>
      </c>
      <c r="AI104" s="133">
        <f t="shared" si="67"/>
        <v>1.0600386904436392</v>
      </c>
      <c r="AJ104" s="132">
        <f t="shared" si="68"/>
        <v>4.8629333333333316</v>
      </c>
      <c r="AK104" s="1">
        <f t="shared" si="69"/>
        <v>8.5945573485455782</v>
      </c>
      <c r="AL104" s="1">
        <f t="shared" si="84"/>
        <v>7.3866416017438791E-2</v>
      </c>
      <c r="AM104" s="1">
        <f t="shared" ref="AM104:AM135" si="91">CHOOSE(V104,(R104+Vd_rect)*Qrr*fsw,(R104+Vd_rect)*Qrr*fsw)</f>
        <v>0.26083200000000001</v>
      </c>
      <c r="AN104" s="136">
        <f t="shared" si="85"/>
        <v>0.16404548266666669</v>
      </c>
      <c r="AO104" s="133">
        <f t="shared" si="71"/>
        <v>0.49874389868410546</v>
      </c>
      <c r="AP104" s="132">
        <f t="shared" si="86"/>
        <v>0.44319849610463286</v>
      </c>
      <c r="AQ104" s="137">
        <f t="shared" si="87"/>
        <v>0.45427845850724863</v>
      </c>
      <c r="AR104" s="137">
        <f t="shared" si="88"/>
        <v>1.6152231232584866</v>
      </c>
      <c r="AS104" s="1">
        <f t="shared" si="89"/>
        <v>1.9759999999999996E-2</v>
      </c>
      <c r="AT104" s="133">
        <f t="shared" si="90"/>
        <v>0.08</v>
      </c>
      <c r="AU104" s="132">
        <f t="shared" si="72"/>
        <v>4.6255211255053608</v>
      </c>
      <c r="AV104" s="1">
        <f t="shared" si="73"/>
        <v>291.77599999999995</v>
      </c>
      <c r="AW104" s="133">
        <f t="shared" si="74"/>
        <v>98.439440827448806</v>
      </c>
    </row>
    <row r="105" spans="17:49" x14ac:dyDescent="0.15">
      <c r="Q105">
        <v>98</v>
      </c>
      <c r="R105" s="132">
        <f t="shared" si="46"/>
        <v>60</v>
      </c>
      <c r="S105" s="1">
        <f t="shared" si="47"/>
        <v>4.9130666666666665</v>
      </c>
      <c r="T105" s="1">
        <f t="shared" si="76"/>
        <v>20</v>
      </c>
      <c r="U105" s="133">
        <f t="shared" si="77"/>
        <v>14.7392</v>
      </c>
      <c r="V105" s="132">
        <f>IF(Calculations!$B$17=3,2,IF((S105*R105/T105)&lt;((T105*(1-(T105/R105)))/(2*Lm*fsw)),1,2))</f>
        <v>2</v>
      </c>
      <c r="W105" s="1">
        <f t="shared" si="78"/>
        <v>0.66666666666666674</v>
      </c>
      <c r="X105" s="133">
        <f t="shared" si="79"/>
        <v>0.33333333333333326</v>
      </c>
      <c r="Y105" s="132">
        <f t="shared" si="80"/>
        <v>10.256410256410257</v>
      </c>
      <c r="Z105" s="1">
        <f t="shared" si="63"/>
        <v>19.867405128205128</v>
      </c>
      <c r="AA105" s="1">
        <f t="shared" si="64"/>
        <v>15.033634931456746</v>
      </c>
      <c r="AB105" s="1">
        <v>0</v>
      </c>
      <c r="AC105" s="1">
        <f t="shared" si="81"/>
        <v>0.46332086746724871</v>
      </c>
      <c r="AD105" s="133">
        <f t="shared" si="65"/>
        <v>0.46332086746724871</v>
      </c>
      <c r="AE105" s="132">
        <f t="shared" si="75"/>
        <v>9.8261333333333347</v>
      </c>
      <c r="AF105" s="1">
        <f t="shared" si="66"/>
        <v>12.274911520450061</v>
      </c>
      <c r="AG105" s="1">
        <f t="shared" si="82"/>
        <v>0.15067345283487762</v>
      </c>
      <c r="AH105" s="1">
        <f t="shared" si="83"/>
        <v>0.92171107344390346</v>
      </c>
      <c r="AI105" s="133">
        <f t="shared" si="67"/>
        <v>1.072384526278781</v>
      </c>
      <c r="AJ105" s="132">
        <f t="shared" si="68"/>
        <v>4.9130666666666656</v>
      </c>
      <c r="AK105" s="1">
        <f t="shared" si="69"/>
        <v>8.679673174575111</v>
      </c>
      <c r="AL105" s="1">
        <f t="shared" si="84"/>
        <v>7.5336726417438785E-2</v>
      </c>
      <c r="AM105" s="1">
        <f t="shared" si="91"/>
        <v>0.26083200000000001</v>
      </c>
      <c r="AN105" s="136">
        <f t="shared" si="85"/>
        <v>0.16529681066666668</v>
      </c>
      <c r="AO105" s="133">
        <f t="shared" si="71"/>
        <v>0.50146553708410546</v>
      </c>
      <c r="AP105" s="132">
        <f t="shared" si="86"/>
        <v>0.45202035850463296</v>
      </c>
      <c r="AQ105" s="137">
        <f t="shared" si="87"/>
        <v>0.46332086746724871</v>
      </c>
      <c r="AR105" s="137">
        <f t="shared" si="88"/>
        <v>1.6152231232584866</v>
      </c>
      <c r="AS105" s="1">
        <f t="shared" si="89"/>
        <v>1.9759999999999996E-2</v>
      </c>
      <c r="AT105" s="133">
        <f t="shared" si="90"/>
        <v>0.08</v>
      </c>
      <c r="AU105" s="132">
        <f t="shared" si="72"/>
        <v>4.6674952800605034</v>
      </c>
      <c r="AV105" s="1">
        <f t="shared" si="73"/>
        <v>294.78399999999999</v>
      </c>
      <c r="AW105" s="133">
        <f t="shared" si="74"/>
        <v>98.441318425979048</v>
      </c>
    </row>
    <row r="106" spans="17:49" x14ac:dyDescent="0.15">
      <c r="Q106">
        <v>99</v>
      </c>
      <c r="R106" s="132">
        <f t="shared" si="46"/>
        <v>60</v>
      </c>
      <c r="S106" s="1">
        <f t="shared" si="47"/>
        <v>4.9631999999999996</v>
      </c>
      <c r="T106" s="1">
        <f t="shared" si="76"/>
        <v>20</v>
      </c>
      <c r="U106" s="133">
        <f t="shared" si="77"/>
        <v>14.889599999999998</v>
      </c>
      <c r="V106" s="132">
        <f>IF(Calculations!$B$17=3,2,IF((S106*R106/T106)&lt;((T106*(1-(T106/R106)))/(2*Lm*fsw)),1,2))</f>
        <v>2</v>
      </c>
      <c r="W106" s="1">
        <f t="shared" si="78"/>
        <v>0.66666666666666674</v>
      </c>
      <c r="X106" s="133">
        <f t="shared" si="79"/>
        <v>0.33333333333333326</v>
      </c>
      <c r="Y106" s="132">
        <f t="shared" si="80"/>
        <v>10.256410256410257</v>
      </c>
      <c r="Z106" s="1">
        <f t="shared" si="63"/>
        <v>20.017805128205126</v>
      </c>
      <c r="AA106" s="1">
        <f t="shared" si="64"/>
        <v>15.181118231945774</v>
      </c>
      <c r="AB106" s="1">
        <v>0</v>
      </c>
      <c r="AC106" s="1">
        <f t="shared" si="81"/>
        <v>0.47245601908324852</v>
      </c>
      <c r="AD106" s="133">
        <f t="shared" si="65"/>
        <v>0.47245601908324852</v>
      </c>
      <c r="AE106" s="132">
        <f t="shared" si="75"/>
        <v>9.9263999999999992</v>
      </c>
      <c r="AF106" s="1">
        <f t="shared" si="66"/>
        <v>12.395331131043292</v>
      </c>
      <c r="AG106" s="1">
        <f t="shared" si="82"/>
        <v>0.15364423384821096</v>
      </c>
      <c r="AH106" s="1">
        <f t="shared" si="83"/>
        <v>0.93111628847904515</v>
      </c>
      <c r="AI106" s="133">
        <f t="shared" si="67"/>
        <v>1.0847605223272561</v>
      </c>
      <c r="AJ106" s="132">
        <f t="shared" si="68"/>
        <v>4.9631999999999978</v>
      </c>
      <c r="AK106" s="1">
        <f t="shared" si="69"/>
        <v>8.7648226978134272</v>
      </c>
      <c r="AL106" s="1">
        <f t="shared" si="84"/>
        <v>7.6822116924105441E-2</v>
      </c>
      <c r="AM106" s="1">
        <f t="shared" si="91"/>
        <v>0.26083200000000001</v>
      </c>
      <c r="AN106" s="136">
        <f t="shared" si="85"/>
        <v>0.16654813866666668</v>
      </c>
      <c r="AO106" s="133">
        <f t="shared" si="71"/>
        <v>0.50420225559077214</v>
      </c>
      <c r="AP106" s="132">
        <f t="shared" si="86"/>
        <v>0.46093270154463278</v>
      </c>
      <c r="AQ106" s="137">
        <f t="shared" si="87"/>
        <v>0.47245601908324852</v>
      </c>
      <c r="AR106" s="137">
        <f t="shared" si="88"/>
        <v>1.6152231232584866</v>
      </c>
      <c r="AS106" s="1">
        <f t="shared" si="89"/>
        <v>1.9759999999999996E-2</v>
      </c>
      <c r="AT106" s="133">
        <f t="shared" si="90"/>
        <v>0.08</v>
      </c>
      <c r="AU106" s="132">
        <f t="shared" si="72"/>
        <v>4.7097906408876442</v>
      </c>
      <c r="AV106" s="1">
        <f t="shared" si="73"/>
        <v>297.79199999999997</v>
      </c>
      <c r="AW106" s="133">
        <f t="shared" si="74"/>
        <v>98.443053632539034</v>
      </c>
    </row>
    <row r="107" spans="17:49" x14ac:dyDescent="0.15">
      <c r="Q107">
        <v>100</v>
      </c>
      <c r="R107" s="132">
        <f t="shared" si="46"/>
        <v>60</v>
      </c>
      <c r="S107" s="1">
        <f t="shared" si="47"/>
        <v>5.0133333333333328</v>
      </c>
      <c r="T107" s="1">
        <f t="shared" si="76"/>
        <v>20</v>
      </c>
      <c r="U107" s="133">
        <f t="shared" si="77"/>
        <v>15.039999999999997</v>
      </c>
      <c r="V107" s="132">
        <f>IF(Calculations!$B$17=3,2,IF((S107*R107/T107)&lt;((T107*(1-(T107/R107)))/(2*Lm*fsw)),1,2))</f>
        <v>2</v>
      </c>
      <c r="W107" s="1">
        <f t="shared" si="78"/>
        <v>0.66666666666666674</v>
      </c>
      <c r="X107" s="133">
        <f t="shared" si="79"/>
        <v>0.33333333333333326</v>
      </c>
      <c r="Y107" s="132">
        <f t="shared" si="80"/>
        <v>10.256410256410257</v>
      </c>
      <c r="Z107" s="1">
        <f t="shared" si="63"/>
        <v>20.168205128205127</v>
      </c>
      <c r="AA107" s="1">
        <f t="shared" si="64"/>
        <v>15.328658213043841</v>
      </c>
      <c r="AB107" s="1">
        <v>0</v>
      </c>
      <c r="AC107" s="1">
        <f t="shared" si="81"/>
        <v>0.48168391335524852</v>
      </c>
      <c r="AD107" s="133">
        <f t="shared" si="65"/>
        <v>0.48168391335524852</v>
      </c>
      <c r="AE107" s="132">
        <f t="shared" si="75"/>
        <v>10.026666666666666</v>
      </c>
      <c r="AF107" s="1">
        <f t="shared" si="66"/>
        <v>12.515797021160004</v>
      </c>
      <c r="AG107" s="1">
        <f t="shared" si="82"/>
        <v>0.15664517507487766</v>
      </c>
      <c r="AH107" s="1">
        <f t="shared" si="83"/>
        <v>0.94052150351418706</v>
      </c>
      <c r="AI107" s="133">
        <f t="shared" si="67"/>
        <v>1.0971666785890648</v>
      </c>
      <c r="AJ107" s="132">
        <f t="shared" si="68"/>
        <v>5.013333333333331</v>
      </c>
      <c r="AK107" s="1">
        <f t="shared" si="69"/>
        <v>8.8500049456166288</v>
      </c>
      <c r="AL107" s="1">
        <f t="shared" si="84"/>
        <v>7.8322587537438801E-2</v>
      </c>
      <c r="AM107" s="1">
        <f t="shared" si="91"/>
        <v>0.26083200000000001</v>
      </c>
      <c r="AN107" s="136">
        <f t="shared" si="85"/>
        <v>0.16779946666666667</v>
      </c>
      <c r="AO107" s="133">
        <f t="shared" si="71"/>
        <v>0.50695405420410555</v>
      </c>
      <c r="AP107" s="132">
        <f t="shared" si="86"/>
        <v>0.46993552522463278</v>
      </c>
      <c r="AQ107" s="137">
        <f t="shared" si="87"/>
        <v>0.48168391335524852</v>
      </c>
      <c r="AR107" s="137">
        <f t="shared" si="88"/>
        <v>1.6152231232584866</v>
      </c>
      <c r="AS107" s="1">
        <f t="shared" si="89"/>
        <v>1.9759999999999996E-2</v>
      </c>
      <c r="AT107" s="133">
        <f t="shared" si="90"/>
        <v>0.08</v>
      </c>
      <c r="AU107" s="132">
        <f t="shared" si="72"/>
        <v>4.7524072079867867</v>
      </c>
      <c r="AV107" s="1">
        <f t="shared" si="73"/>
        <v>300.79999999999995</v>
      </c>
      <c r="AW107" s="133">
        <f t="shared" si="74"/>
        <v>98.444650706105591</v>
      </c>
    </row>
    <row r="108" spans="17:49" x14ac:dyDescent="0.15">
      <c r="Q108">
        <v>101</v>
      </c>
      <c r="R108" s="132">
        <f t="shared" si="46"/>
        <v>60</v>
      </c>
      <c r="S108" s="1">
        <f t="shared" si="47"/>
        <v>5.0634666666666659</v>
      </c>
      <c r="T108" s="1">
        <f t="shared" si="76"/>
        <v>20</v>
      </c>
      <c r="U108" s="133">
        <f t="shared" si="77"/>
        <v>15.190399999999997</v>
      </c>
      <c r="V108" s="132">
        <f>IF(Calculations!$B$17=3,2,IF((S108*R108/T108)&lt;((T108*(1-(T108/R108)))/(2*Lm*fsw)),1,2))</f>
        <v>2</v>
      </c>
      <c r="W108" s="1">
        <f t="shared" si="78"/>
        <v>0.66666666666666674</v>
      </c>
      <c r="X108" s="133">
        <f t="shared" si="79"/>
        <v>0.33333333333333326</v>
      </c>
      <c r="Y108" s="132">
        <f t="shared" si="80"/>
        <v>10.256410256410257</v>
      </c>
      <c r="Z108" s="1">
        <f t="shared" si="63"/>
        <v>20.318605128205125</v>
      </c>
      <c r="AA108" s="1">
        <f t="shared" si="64"/>
        <v>15.476253253688903</v>
      </c>
      <c r="AB108" s="1">
        <v>0</v>
      </c>
      <c r="AC108" s="1">
        <f t="shared" si="81"/>
        <v>0.49100455028324846</v>
      </c>
      <c r="AD108" s="133">
        <f t="shared" si="65"/>
        <v>0.49100455028324846</v>
      </c>
      <c r="AE108" s="132">
        <f t="shared" si="75"/>
        <v>10.126933333333332</v>
      </c>
      <c r="AF108" s="1">
        <f t="shared" si="66"/>
        <v>12.636307867208584</v>
      </c>
      <c r="AG108" s="1">
        <f t="shared" si="82"/>
        <v>0.15967627651487756</v>
      </c>
      <c r="AH108" s="1">
        <f t="shared" si="83"/>
        <v>0.94992671854932875</v>
      </c>
      <c r="AI108" s="133">
        <f t="shared" si="67"/>
        <v>1.1096029950642063</v>
      </c>
      <c r="AJ108" s="132">
        <f t="shared" si="68"/>
        <v>5.0634666666666641</v>
      </c>
      <c r="AK108" s="1">
        <f t="shared" si="69"/>
        <v>8.935218982064109</v>
      </c>
      <c r="AL108" s="1">
        <f t="shared" si="84"/>
        <v>7.9838138257438768E-2</v>
      </c>
      <c r="AM108" s="1">
        <f t="shared" si="91"/>
        <v>0.26083200000000001</v>
      </c>
      <c r="AN108" s="136">
        <f t="shared" si="85"/>
        <v>0.16905079466666664</v>
      </c>
      <c r="AO108" s="133">
        <f t="shared" si="71"/>
        <v>0.50972093292410536</v>
      </c>
      <c r="AP108" s="132">
        <f t="shared" si="86"/>
        <v>0.47902882954463272</v>
      </c>
      <c r="AQ108" s="137">
        <f t="shared" si="87"/>
        <v>0.49100455028324846</v>
      </c>
      <c r="AR108" s="137">
        <f t="shared" si="88"/>
        <v>1.6152231232584866</v>
      </c>
      <c r="AS108" s="1">
        <f t="shared" si="89"/>
        <v>1.9759999999999996E-2</v>
      </c>
      <c r="AT108" s="133">
        <f t="shared" si="90"/>
        <v>0.08</v>
      </c>
      <c r="AU108" s="132">
        <f t="shared" si="72"/>
        <v>4.7953449813579274</v>
      </c>
      <c r="AV108" s="1">
        <f t="shared" si="73"/>
        <v>303.80799999999994</v>
      </c>
      <c r="AW108" s="133">
        <f t="shared" si="74"/>
        <v>98.446113738123103</v>
      </c>
    </row>
    <row r="109" spans="17:49" x14ac:dyDescent="0.15">
      <c r="Q109">
        <v>102</v>
      </c>
      <c r="R109" s="132">
        <f t="shared" si="46"/>
        <v>60</v>
      </c>
      <c r="S109" s="1">
        <f t="shared" si="47"/>
        <v>5.1135999999999999</v>
      </c>
      <c r="T109" s="1">
        <f t="shared" si="76"/>
        <v>20</v>
      </c>
      <c r="U109" s="133">
        <f t="shared" si="77"/>
        <v>15.340799999999998</v>
      </c>
      <c r="V109" s="132">
        <f>IF(Calculations!$B$17=3,2,IF((S109*R109/T109)&lt;((T109*(1-(T109/R109)))/(2*Lm*fsw)),1,2))</f>
        <v>2</v>
      </c>
      <c r="W109" s="1">
        <f t="shared" si="78"/>
        <v>0.66666666666666674</v>
      </c>
      <c r="X109" s="133">
        <f t="shared" si="79"/>
        <v>0.33333333333333326</v>
      </c>
      <c r="Y109" s="132">
        <f t="shared" si="80"/>
        <v>10.256410256410257</v>
      </c>
      <c r="Z109" s="1">
        <f t="shared" si="63"/>
        <v>20.469005128205126</v>
      </c>
      <c r="AA109" s="1">
        <f t="shared" si="64"/>
        <v>15.623901793480282</v>
      </c>
      <c r="AB109" s="1">
        <v>0</v>
      </c>
      <c r="AC109" s="1">
        <f t="shared" si="81"/>
        <v>0.50041792986724853</v>
      </c>
      <c r="AD109" s="133">
        <f t="shared" si="65"/>
        <v>0.50041792986724853</v>
      </c>
      <c r="AE109" s="132">
        <f t="shared" si="75"/>
        <v>10.2272</v>
      </c>
      <c r="AF109" s="1">
        <f t="shared" si="66"/>
        <v>12.756862395127218</v>
      </c>
      <c r="AG109" s="1">
        <f t="shared" si="82"/>
        <v>0.16273753816821093</v>
      </c>
      <c r="AH109" s="1">
        <f t="shared" si="83"/>
        <v>0.95933193358447078</v>
      </c>
      <c r="AI109" s="133">
        <f t="shared" si="67"/>
        <v>1.1220694717526818</v>
      </c>
      <c r="AJ109" s="132">
        <f t="shared" si="68"/>
        <v>5.1135999999999981</v>
      </c>
      <c r="AK109" s="1">
        <f t="shared" si="69"/>
        <v>9.0204639062581169</v>
      </c>
      <c r="AL109" s="1">
        <f t="shared" si="84"/>
        <v>8.1368769084105452E-2</v>
      </c>
      <c r="AM109" s="1">
        <f t="shared" si="91"/>
        <v>0.26083200000000001</v>
      </c>
      <c r="AN109" s="136">
        <f t="shared" si="85"/>
        <v>0.17030212266666667</v>
      </c>
      <c r="AO109" s="133">
        <f t="shared" si="71"/>
        <v>0.51250289175077213</v>
      </c>
      <c r="AP109" s="132">
        <f t="shared" si="86"/>
        <v>0.48821261450463277</v>
      </c>
      <c r="AQ109" s="137">
        <f t="shared" si="87"/>
        <v>0.50041792986724853</v>
      </c>
      <c r="AR109" s="137">
        <f t="shared" si="88"/>
        <v>1.6152231232584866</v>
      </c>
      <c r="AS109" s="1">
        <f t="shared" si="89"/>
        <v>1.9759999999999996E-2</v>
      </c>
      <c r="AT109" s="133">
        <f t="shared" si="90"/>
        <v>0.08</v>
      </c>
      <c r="AU109" s="132">
        <f t="shared" si="72"/>
        <v>4.8386039610010707</v>
      </c>
      <c r="AV109" s="1">
        <f t="shared" si="73"/>
        <v>306.81599999999997</v>
      </c>
      <c r="AW109" s="133">
        <f t="shared" si="74"/>
        <v>98.447446660660745</v>
      </c>
    </row>
    <row r="110" spans="17:49" x14ac:dyDescent="0.15">
      <c r="Q110">
        <v>103</v>
      </c>
      <c r="R110" s="132">
        <f t="shared" si="46"/>
        <v>60</v>
      </c>
      <c r="S110" s="1">
        <f t="shared" si="47"/>
        <v>5.1637333333333331</v>
      </c>
      <c r="T110" s="1">
        <f t="shared" si="76"/>
        <v>20</v>
      </c>
      <c r="U110" s="133">
        <f t="shared" si="77"/>
        <v>15.491199999999997</v>
      </c>
      <c r="V110" s="132">
        <f>IF(Calculations!$B$17=3,2,IF((S110*R110/T110)&lt;((T110*(1-(T110/R110)))/(2*Lm*fsw)),1,2))</f>
        <v>2</v>
      </c>
      <c r="W110" s="1">
        <f t="shared" si="78"/>
        <v>0.66666666666666674</v>
      </c>
      <c r="X110" s="133">
        <f t="shared" si="79"/>
        <v>0.33333333333333326</v>
      </c>
      <c r="Y110" s="132">
        <f t="shared" si="80"/>
        <v>10.256410256410257</v>
      </c>
      <c r="Z110" s="1">
        <f t="shared" si="63"/>
        <v>20.619405128205127</v>
      </c>
      <c r="AA110" s="1">
        <f t="shared" si="64"/>
        <v>15.771602329893954</v>
      </c>
      <c r="AB110" s="1">
        <v>0</v>
      </c>
      <c r="AC110" s="1">
        <f t="shared" si="81"/>
        <v>0.50992405210724845</v>
      </c>
      <c r="AD110" s="133">
        <f t="shared" si="65"/>
        <v>0.50992405210724845</v>
      </c>
      <c r="AE110" s="132">
        <f t="shared" si="75"/>
        <v>10.327466666666666</v>
      </c>
      <c r="AF110" s="1">
        <f t="shared" si="66"/>
        <v>12.877459378110172</v>
      </c>
      <c r="AG110" s="1">
        <f t="shared" si="82"/>
        <v>0.16582896003487765</v>
      </c>
      <c r="AH110" s="1">
        <f t="shared" si="83"/>
        <v>0.96873714861961269</v>
      </c>
      <c r="AI110" s="133">
        <f t="shared" si="67"/>
        <v>1.1345661086544903</v>
      </c>
      <c r="AJ110" s="132">
        <f t="shared" si="68"/>
        <v>5.1637333333333313</v>
      </c>
      <c r="AK110" s="1">
        <f t="shared" si="69"/>
        <v>9.1057388507160031</v>
      </c>
      <c r="AL110" s="1">
        <f t="shared" si="84"/>
        <v>8.2914480017438799E-2</v>
      </c>
      <c r="AM110" s="1">
        <f t="shared" si="91"/>
        <v>0.26083200000000001</v>
      </c>
      <c r="AN110" s="136">
        <f t="shared" si="85"/>
        <v>0.17155345066666669</v>
      </c>
      <c r="AO110" s="133">
        <f t="shared" si="71"/>
        <v>0.51529993068410551</v>
      </c>
      <c r="AP110" s="132">
        <f t="shared" si="86"/>
        <v>0.49748688010463277</v>
      </c>
      <c r="AQ110" s="137">
        <f t="shared" si="87"/>
        <v>0.50992405210724845</v>
      </c>
      <c r="AR110" s="137">
        <f t="shared" si="88"/>
        <v>1.6152231232584866</v>
      </c>
      <c r="AS110" s="1">
        <f t="shared" si="89"/>
        <v>1.9759999999999996E-2</v>
      </c>
      <c r="AT110" s="133">
        <f t="shared" si="90"/>
        <v>0.08</v>
      </c>
      <c r="AU110" s="132">
        <f t="shared" si="72"/>
        <v>4.8821841469162122</v>
      </c>
      <c r="AV110" s="1">
        <f t="shared" si="73"/>
        <v>309.82399999999996</v>
      </c>
      <c r="AW110" s="133">
        <f t="shared" si="74"/>
        <v>98.448653254097792</v>
      </c>
    </row>
    <row r="111" spans="17:49" x14ac:dyDescent="0.15">
      <c r="Q111">
        <v>104</v>
      </c>
      <c r="R111" s="132">
        <f t="shared" si="46"/>
        <v>60</v>
      </c>
      <c r="S111" s="1">
        <f t="shared" si="47"/>
        <v>5.2138666666666662</v>
      </c>
      <c r="T111" s="1">
        <f t="shared" si="76"/>
        <v>20</v>
      </c>
      <c r="U111" s="133">
        <f t="shared" si="77"/>
        <v>15.6416</v>
      </c>
      <c r="V111" s="132">
        <f>IF(Calculations!$B$17=3,2,IF((S111*R111/T111)&lt;((T111*(1-(T111/R111)))/(2*Lm*fsw)),1,2))</f>
        <v>2</v>
      </c>
      <c r="W111" s="1">
        <f t="shared" si="78"/>
        <v>0.66666666666666674</v>
      </c>
      <c r="X111" s="133">
        <f t="shared" si="79"/>
        <v>0.33333333333333326</v>
      </c>
      <c r="Y111" s="132">
        <f t="shared" si="80"/>
        <v>10.256410256410257</v>
      </c>
      <c r="Z111" s="1">
        <f t="shared" si="63"/>
        <v>20.769805128205128</v>
      </c>
      <c r="AA111" s="1">
        <f t="shared" si="64"/>
        <v>15.919353415648404</v>
      </c>
      <c r="AB111" s="1">
        <v>0</v>
      </c>
      <c r="AC111" s="1">
        <f t="shared" si="81"/>
        <v>0.51952291700324882</v>
      </c>
      <c r="AD111" s="133">
        <f t="shared" si="65"/>
        <v>0.51952291700324882</v>
      </c>
      <c r="AE111" s="132">
        <f t="shared" si="75"/>
        <v>10.427733333333334</v>
      </c>
      <c r="AF111" s="1">
        <f t="shared" si="66"/>
        <v>12.998097634457039</v>
      </c>
      <c r="AG111" s="1">
        <f t="shared" si="82"/>
        <v>0.1689505421148777</v>
      </c>
      <c r="AH111" s="1">
        <f t="shared" si="83"/>
        <v>0.9781423636547546</v>
      </c>
      <c r="AI111" s="133">
        <f t="shared" si="67"/>
        <v>1.1470929057696324</v>
      </c>
      <c r="AJ111" s="132">
        <f t="shared" si="68"/>
        <v>5.2138666666666653</v>
      </c>
      <c r="AK111" s="1">
        <f t="shared" si="69"/>
        <v>9.1910429798493922</v>
      </c>
      <c r="AL111" s="1">
        <f t="shared" si="84"/>
        <v>8.4475271057438794E-2</v>
      </c>
      <c r="AM111" s="1">
        <f t="shared" si="91"/>
        <v>0.26083200000000001</v>
      </c>
      <c r="AN111" s="136">
        <f t="shared" si="85"/>
        <v>0.17280477866666669</v>
      </c>
      <c r="AO111" s="133">
        <f t="shared" si="71"/>
        <v>0.51811204972410552</v>
      </c>
      <c r="AP111" s="132">
        <f t="shared" si="86"/>
        <v>0.50685162634463299</v>
      </c>
      <c r="AQ111" s="137">
        <f t="shared" si="87"/>
        <v>0.51952291700324882</v>
      </c>
      <c r="AR111" s="137">
        <f t="shared" si="88"/>
        <v>1.6152231232584866</v>
      </c>
      <c r="AS111" s="1">
        <f t="shared" si="89"/>
        <v>1.9759999999999996E-2</v>
      </c>
      <c r="AT111" s="133">
        <f t="shared" si="90"/>
        <v>0.08</v>
      </c>
      <c r="AU111" s="132">
        <f t="shared" si="72"/>
        <v>4.9260855391033544</v>
      </c>
      <c r="AV111" s="1">
        <f t="shared" si="73"/>
        <v>312.83199999999999</v>
      </c>
      <c r="AW111" s="133">
        <f t="shared" si="74"/>
        <v>98.449737154368279</v>
      </c>
    </row>
    <row r="112" spans="17:49" x14ac:dyDescent="0.15">
      <c r="Q112">
        <v>105</v>
      </c>
      <c r="R112" s="132">
        <f t="shared" si="46"/>
        <v>60</v>
      </c>
      <c r="S112" s="1">
        <f t="shared" si="47"/>
        <v>5.2639999999999993</v>
      </c>
      <c r="T112" s="1">
        <f t="shared" si="76"/>
        <v>20</v>
      </c>
      <c r="U112" s="133">
        <f t="shared" si="77"/>
        <v>15.791999999999998</v>
      </c>
      <c r="V112" s="132">
        <f>IF(Calculations!$B$17=3,2,IF((S112*R112/T112)&lt;((T112*(1-(T112/R112)))/(2*Lm*fsw)),1,2))</f>
        <v>2</v>
      </c>
      <c r="W112" s="1">
        <f t="shared" si="78"/>
        <v>0.66666666666666674</v>
      </c>
      <c r="X112" s="133">
        <f t="shared" si="79"/>
        <v>0.33333333333333326</v>
      </c>
      <c r="Y112" s="132">
        <f t="shared" si="80"/>
        <v>10.256410256410257</v>
      </c>
      <c r="Z112" s="1">
        <f t="shared" si="63"/>
        <v>20.920205128205126</v>
      </c>
      <c r="AA112" s="1">
        <f t="shared" si="64"/>
        <v>16.06715365621168</v>
      </c>
      <c r="AB112" s="1">
        <v>0</v>
      </c>
      <c r="AC112" s="1">
        <f t="shared" si="81"/>
        <v>0.52921452455524853</v>
      </c>
      <c r="AD112" s="133">
        <f t="shared" si="65"/>
        <v>0.52921452455524853</v>
      </c>
      <c r="AE112" s="132">
        <f t="shared" si="75"/>
        <v>10.528</v>
      </c>
      <c r="AF112" s="1">
        <f t="shared" si="66"/>
        <v>13.118776025537249</v>
      </c>
      <c r="AG112" s="1">
        <f t="shared" si="82"/>
        <v>0.1721022844082109</v>
      </c>
      <c r="AH112" s="1">
        <f t="shared" si="83"/>
        <v>0.9875475786898964</v>
      </c>
      <c r="AI112" s="133">
        <f t="shared" si="67"/>
        <v>1.1596498630981074</v>
      </c>
      <c r="AJ112" s="132">
        <f t="shared" si="68"/>
        <v>5.2639999999999985</v>
      </c>
      <c r="AK112" s="1">
        <f t="shared" si="69"/>
        <v>9.2763754885248915</v>
      </c>
      <c r="AL112" s="1">
        <f t="shared" si="84"/>
        <v>8.6051142204105424E-2</v>
      </c>
      <c r="AM112" s="1">
        <f t="shared" si="91"/>
        <v>0.26083200000000001</v>
      </c>
      <c r="AN112" s="136">
        <f t="shared" si="85"/>
        <v>0.17405610666666665</v>
      </c>
      <c r="AO112" s="133">
        <f t="shared" si="71"/>
        <v>0.52093924887077203</v>
      </c>
      <c r="AP112" s="132">
        <f t="shared" si="86"/>
        <v>0.51630685322463277</v>
      </c>
      <c r="AQ112" s="137">
        <f t="shared" si="87"/>
        <v>0.52921452455524853</v>
      </c>
      <c r="AR112" s="137">
        <f t="shared" si="88"/>
        <v>1.6152231232584866</v>
      </c>
      <c r="AS112" s="1">
        <f t="shared" si="89"/>
        <v>1.9759999999999996E-2</v>
      </c>
      <c r="AT112" s="133">
        <f t="shared" si="90"/>
        <v>0.08</v>
      </c>
      <c r="AU112" s="132">
        <f t="shared" si="72"/>
        <v>4.9703081375624958</v>
      </c>
      <c r="AV112" s="1">
        <f t="shared" si="73"/>
        <v>315.83999999999997</v>
      </c>
      <c r="AW112" s="133">
        <f t="shared" si="74"/>
        <v>98.450701859794592</v>
      </c>
    </row>
    <row r="113" spans="17:49" x14ac:dyDescent="0.15">
      <c r="Q113">
        <v>106</v>
      </c>
      <c r="R113" s="132">
        <f t="shared" si="46"/>
        <v>60</v>
      </c>
      <c r="S113" s="1">
        <f t="shared" si="47"/>
        <v>5.3141333333333325</v>
      </c>
      <c r="T113" s="1">
        <f t="shared" si="76"/>
        <v>20</v>
      </c>
      <c r="U113" s="133">
        <f t="shared" si="77"/>
        <v>15.942399999999997</v>
      </c>
      <c r="V113" s="132">
        <f>IF(Calculations!$B$17=3,2,IF((S113*R113/T113)&lt;((T113*(1-(T113/R113)))/(2*Lm*fsw)),1,2))</f>
        <v>2</v>
      </c>
      <c r="W113" s="1">
        <f t="shared" si="78"/>
        <v>0.66666666666666674</v>
      </c>
      <c r="X113" s="133">
        <f t="shared" si="79"/>
        <v>0.33333333333333326</v>
      </c>
      <c r="Y113" s="132">
        <f t="shared" si="80"/>
        <v>10.256410256410257</v>
      </c>
      <c r="Z113" s="1">
        <f t="shared" si="63"/>
        <v>21.070605128205127</v>
      </c>
      <c r="AA113" s="1">
        <f t="shared" si="64"/>
        <v>16.215001707441054</v>
      </c>
      <c r="AB113" s="1">
        <v>0</v>
      </c>
      <c r="AC113" s="1">
        <f t="shared" si="81"/>
        <v>0.53899887476324837</v>
      </c>
      <c r="AD113" s="133">
        <f t="shared" si="65"/>
        <v>0.53899887476324837</v>
      </c>
      <c r="AE113" s="132">
        <f t="shared" si="75"/>
        <v>10.628266666666667</v>
      </c>
      <c r="AF113" s="1">
        <f t="shared" si="66"/>
        <v>13.239493453862863</v>
      </c>
      <c r="AG113" s="1">
        <f t="shared" si="82"/>
        <v>0.1752841869148776</v>
      </c>
      <c r="AH113" s="1">
        <f t="shared" si="83"/>
        <v>0.99695279372503831</v>
      </c>
      <c r="AI113" s="133">
        <f t="shared" si="67"/>
        <v>1.172236980639916</v>
      </c>
      <c r="AJ113" s="132">
        <f t="shared" si="68"/>
        <v>5.3141333333333316</v>
      </c>
      <c r="AK113" s="1">
        <f t="shared" si="69"/>
        <v>9.3617356007013353</v>
      </c>
      <c r="AL113" s="1">
        <f t="shared" si="84"/>
        <v>8.7642093457438786E-2</v>
      </c>
      <c r="AM113" s="1">
        <f t="shared" si="91"/>
        <v>0.26083200000000001</v>
      </c>
      <c r="AN113" s="136">
        <f t="shared" si="85"/>
        <v>0.17530743466666668</v>
      </c>
      <c r="AO113" s="133">
        <f t="shared" si="71"/>
        <v>0.5237815281241055</v>
      </c>
      <c r="AP113" s="132">
        <f t="shared" si="86"/>
        <v>0.5258525607446326</v>
      </c>
      <c r="AQ113" s="137">
        <f t="shared" si="87"/>
        <v>0.53899887476324837</v>
      </c>
      <c r="AR113" s="137">
        <f t="shared" si="88"/>
        <v>1.6152231232584866</v>
      </c>
      <c r="AS113" s="1">
        <f t="shared" si="89"/>
        <v>1.9759999999999996E-2</v>
      </c>
      <c r="AT113" s="133">
        <f t="shared" si="90"/>
        <v>0.08</v>
      </c>
      <c r="AU113" s="132">
        <f t="shared" si="72"/>
        <v>5.0148519422936371</v>
      </c>
      <c r="AV113" s="1">
        <f t="shared" si="73"/>
        <v>318.84799999999996</v>
      </c>
      <c r="AW113" s="133">
        <f t="shared" si="74"/>
        <v>98.451550737536508</v>
      </c>
    </row>
    <row r="114" spans="17:49" x14ac:dyDescent="0.15">
      <c r="Q114">
        <v>107</v>
      </c>
      <c r="R114" s="132">
        <f t="shared" si="46"/>
        <v>60</v>
      </c>
      <c r="S114" s="1">
        <f t="shared" si="47"/>
        <v>5.3642666666666665</v>
      </c>
      <c r="T114" s="1">
        <f t="shared" si="76"/>
        <v>20</v>
      </c>
      <c r="U114" s="133">
        <f t="shared" si="77"/>
        <v>16.0928</v>
      </c>
      <c r="V114" s="132">
        <f>IF(Calculations!$B$17=3,2,IF((S114*R114/T114)&lt;((T114*(1-(T114/R114)))/(2*Lm*fsw)),1,2))</f>
        <v>2</v>
      </c>
      <c r="W114" s="1">
        <f t="shared" si="78"/>
        <v>0.66666666666666674</v>
      </c>
      <c r="X114" s="133">
        <f t="shared" si="79"/>
        <v>0.33333333333333326</v>
      </c>
      <c r="Y114" s="132">
        <f t="shared" si="80"/>
        <v>10.256410256410257</v>
      </c>
      <c r="Z114" s="1">
        <f t="shared" si="63"/>
        <v>21.221005128205128</v>
      </c>
      <c r="AA114" s="1">
        <f t="shared" si="64"/>
        <v>16.362896273347104</v>
      </c>
      <c r="AB114" s="1">
        <v>0</v>
      </c>
      <c r="AC114" s="1">
        <f t="shared" si="81"/>
        <v>0.54887596762724888</v>
      </c>
      <c r="AD114" s="133">
        <f t="shared" si="65"/>
        <v>0.54887596762724888</v>
      </c>
      <c r="AE114" s="132">
        <f t="shared" si="75"/>
        <v>10.728533333333335</v>
      </c>
      <c r="AF114" s="1">
        <f t="shared" si="66"/>
        <v>13.360248861262939</v>
      </c>
      <c r="AG114" s="1">
        <f t="shared" si="82"/>
        <v>0.17849624963487765</v>
      </c>
      <c r="AH114" s="1">
        <f t="shared" si="83"/>
        <v>1.0063580087601802</v>
      </c>
      <c r="AI114" s="133">
        <f t="shared" si="67"/>
        <v>1.1848542583950579</v>
      </c>
      <c r="AJ114" s="132">
        <f t="shared" si="68"/>
        <v>5.3642666666666656</v>
      </c>
      <c r="AK114" s="1">
        <f t="shared" si="69"/>
        <v>9.4471225681388731</v>
      </c>
      <c r="AL114" s="1">
        <f t="shared" si="84"/>
        <v>8.9248124817438823E-2</v>
      </c>
      <c r="AM114" s="1">
        <f t="shared" si="91"/>
        <v>0.26083200000000001</v>
      </c>
      <c r="AN114" s="136">
        <f t="shared" si="85"/>
        <v>0.17655876266666667</v>
      </c>
      <c r="AO114" s="133">
        <f t="shared" si="71"/>
        <v>0.52663888748410548</v>
      </c>
      <c r="AP114" s="132">
        <f t="shared" si="86"/>
        <v>0.53548874890463316</v>
      </c>
      <c r="AQ114" s="137">
        <f t="shared" si="87"/>
        <v>0.54887596762724888</v>
      </c>
      <c r="AR114" s="137">
        <f t="shared" si="88"/>
        <v>1.6152231232584866</v>
      </c>
      <c r="AS114" s="1">
        <f t="shared" si="89"/>
        <v>1.9759999999999996E-2</v>
      </c>
      <c r="AT114" s="133">
        <f t="shared" si="90"/>
        <v>0.08</v>
      </c>
      <c r="AU114" s="132">
        <f t="shared" si="72"/>
        <v>5.0597169532967801</v>
      </c>
      <c r="AV114" s="1">
        <f t="shared" si="73"/>
        <v>321.85599999999999</v>
      </c>
      <c r="AW114" s="133">
        <f t="shared" si="74"/>
        <v>98.452287029681216</v>
      </c>
    </row>
    <row r="115" spans="17:49" x14ac:dyDescent="0.15">
      <c r="Q115">
        <v>108</v>
      </c>
      <c r="R115" s="132">
        <f t="shared" si="46"/>
        <v>60</v>
      </c>
      <c r="S115" s="1">
        <f t="shared" si="47"/>
        <v>5.4143999999999997</v>
      </c>
      <c r="T115" s="1">
        <f t="shared" si="76"/>
        <v>20</v>
      </c>
      <c r="U115" s="133">
        <f t="shared" si="77"/>
        <v>16.243199999999998</v>
      </c>
      <c r="V115" s="132">
        <f>IF(Calculations!$B$17=3,2,IF((S115*R115/T115)&lt;((T115*(1-(T115/R115)))/(2*Lm*fsw)),1,2))</f>
        <v>2</v>
      </c>
      <c r="W115" s="1">
        <f t="shared" si="78"/>
        <v>0.66666666666666674</v>
      </c>
      <c r="X115" s="133">
        <f t="shared" si="79"/>
        <v>0.33333333333333326</v>
      </c>
      <c r="Y115" s="132">
        <f t="shared" si="80"/>
        <v>10.256410256410257</v>
      </c>
      <c r="Z115" s="1">
        <f t="shared" si="63"/>
        <v>21.371405128205126</v>
      </c>
      <c r="AA115" s="1">
        <f t="shared" si="64"/>
        <v>16.510836103974761</v>
      </c>
      <c r="AB115" s="1">
        <v>0</v>
      </c>
      <c r="AC115" s="1">
        <f t="shared" si="81"/>
        <v>0.55884580314724874</v>
      </c>
      <c r="AD115" s="133">
        <f t="shared" si="65"/>
        <v>0.55884580314724874</v>
      </c>
      <c r="AE115" s="132">
        <f t="shared" si="75"/>
        <v>10.828799999999999</v>
      </c>
      <c r="AF115" s="1">
        <f t="shared" si="66"/>
        <v>13.481041227153447</v>
      </c>
      <c r="AG115" s="1">
        <f t="shared" si="82"/>
        <v>0.18173847256821093</v>
      </c>
      <c r="AH115" s="1">
        <f t="shared" si="83"/>
        <v>1.015763223795322</v>
      </c>
      <c r="AI115" s="133">
        <f t="shared" si="67"/>
        <v>1.197501696363533</v>
      </c>
      <c r="AJ115" s="132">
        <f t="shared" si="68"/>
        <v>5.4143999999999979</v>
      </c>
      <c r="AK115" s="1">
        <f t="shared" si="69"/>
        <v>9.5325356691756173</v>
      </c>
      <c r="AL115" s="1">
        <f t="shared" si="84"/>
        <v>9.086923628410544E-2</v>
      </c>
      <c r="AM115" s="1">
        <f t="shared" si="91"/>
        <v>0.26083200000000001</v>
      </c>
      <c r="AN115" s="136">
        <f t="shared" si="85"/>
        <v>0.17781009066666667</v>
      </c>
      <c r="AO115" s="133">
        <f t="shared" si="71"/>
        <v>0.52951132695077208</v>
      </c>
      <c r="AP115" s="132">
        <f t="shared" si="86"/>
        <v>0.545215417704633</v>
      </c>
      <c r="AQ115" s="137">
        <f t="shared" si="87"/>
        <v>0.55884580314724874</v>
      </c>
      <c r="AR115" s="137">
        <f t="shared" si="88"/>
        <v>1.6152231232584866</v>
      </c>
      <c r="AS115" s="1">
        <f t="shared" si="89"/>
        <v>1.9759999999999996E-2</v>
      </c>
      <c r="AT115" s="133">
        <f t="shared" si="90"/>
        <v>0.08</v>
      </c>
      <c r="AU115" s="132">
        <f t="shared" si="72"/>
        <v>5.1049031705719221</v>
      </c>
      <c r="AV115" s="1">
        <f t="shared" si="73"/>
        <v>324.86399999999998</v>
      </c>
      <c r="AW115" s="133">
        <f t="shared" si="74"/>
        <v>98.45291385899688</v>
      </c>
    </row>
    <row r="116" spans="17:49" x14ac:dyDescent="0.15">
      <c r="Q116">
        <v>109</v>
      </c>
      <c r="R116" s="132">
        <f t="shared" si="46"/>
        <v>60</v>
      </c>
      <c r="S116" s="1">
        <f t="shared" si="47"/>
        <v>5.4645333333333328</v>
      </c>
      <c r="T116" s="1">
        <f t="shared" si="76"/>
        <v>20</v>
      </c>
      <c r="U116" s="133">
        <f t="shared" si="77"/>
        <v>16.393599999999999</v>
      </c>
      <c r="V116" s="132">
        <f>IF(Calculations!$B$17=3,2,IF((S116*R116/T116)&lt;((T116*(1-(T116/R116)))/(2*Lm*fsw)),1,2))</f>
        <v>2</v>
      </c>
      <c r="W116" s="1">
        <f t="shared" si="78"/>
        <v>0.66666666666666674</v>
      </c>
      <c r="X116" s="133">
        <f t="shared" si="79"/>
        <v>0.33333333333333326</v>
      </c>
      <c r="Y116" s="132">
        <f t="shared" si="80"/>
        <v>10.256410256410257</v>
      </c>
      <c r="Z116" s="1">
        <f t="shared" si="63"/>
        <v>21.521805128205127</v>
      </c>
      <c r="AA116" s="1">
        <f t="shared" si="64"/>
        <v>16.658819993394385</v>
      </c>
      <c r="AB116" s="1">
        <v>0</v>
      </c>
      <c r="AC116" s="1">
        <f t="shared" si="81"/>
        <v>0.56890838132324872</v>
      </c>
      <c r="AD116" s="133">
        <f t="shared" si="65"/>
        <v>0.56890838132324872</v>
      </c>
      <c r="AE116" s="132">
        <f t="shared" si="75"/>
        <v>10.929066666666667</v>
      </c>
      <c r="AF116" s="1">
        <f t="shared" si="66"/>
        <v>13.601869566896958</v>
      </c>
      <c r="AG116" s="1">
        <f t="shared" si="82"/>
        <v>0.18501085571487766</v>
      </c>
      <c r="AH116" s="1">
        <f t="shared" si="83"/>
        <v>1.025168438830464</v>
      </c>
      <c r="AI116" s="133">
        <f t="shared" si="67"/>
        <v>1.2101792945453418</v>
      </c>
      <c r="AJ116" s="132">
        <f t="shared" si="68"/>
        <v>5.4645333333333319</v>
      </c>
      <c r="AK116" s="1">
        <f t="shared" si="69"/>
        <v>9.6179742075677659</v>
      </c>
      <c r="AL116" s="1">
        <f t="shared" si="84"/>
        <v>9.2505427857438788E-2</v>
      </c>
      <c r="AM116" s="1">
        <f t="shared" si="91"/>
        <v>0.26083200000000001</v>
      </c>
      <c r="AN116" s="136">
        <f t="shared" si="85"/>
        <v>0.17906141866666667</v>
      </c>
      <c r="AO116" s="133">
        <f t="shared" si="71"/>
        <v>0.53239884652410552</v>
      </c>
      <c r="AP116" s="132">
        <f t="shared" si="86"/>
        <v>0.55503256714463289</v>
      </c>
      <c r="AQ116" s="137">
        <f t="shared" si="87"/>
        <v>0.56890838132324872</v>
      </c>
      <c r="AR116" s="137">
        <f t="shared" si="88"/>
        <v>1.6152231232584866</v>
      </c>
      <c r="AS116" s="1">
        <f t="shared" si="89"/>
        <v>1.9759999999999996E-2</v>
      </c>
      <c r="AT116" s="133">
        <f t="shared" si="90"/>
        <v>0.08</v>
      </c>
      <c r="AU116" s="132">
        <f t="shared" si="72"/>
        <v>5.1504105941190641</v>
      </c>
      <c r="AV116" s="1">
        <f t="shared" si="73"/>
        <v>327.87199999999996</v>
      </c>
      <c r="AW116" s="133">
        <f t="shared" si="74"/>
        <v>98.453434234371599</v>
      </c>
    </row>
    <row r="117" spans="17:49" x14ac:dyDescent="0.15">
      <c r="Q117">
        <v>110</v>
      </c>
      <c r="R117" s="132">
        <f t="shared" si="46"/>
        <v>60</v>
      </c>
      <c r="S117" s="1">
        <f t="shared" si="47"/>
        <v>5.5146666666666659</v>
      </c>
      <c r="T117" s="1">
        <f t="shared" si="76"/>
        <v>20</v>
      </c>
      <c r="U117" s="133">
        <f t="shared" si="77"/>
        <v>16.543999999999997</v>
      </c>
      <c r="V117" s="132">
        <f>IF(Calculations!$B$17=3,2,IF((S117*R117/T117)&lt;((T117*(1-(T117/R117)))/(2*Lm*fsw)),1,2))</f>
        <v>2</v>
      </c>
      <c r="W117" s="1">
        <f t="shared" si="78"/>
        <v>0.66666666666666674</v>
      </c>
      <c r="X117" s="133">
        <f t="shared" si="79"/>
        <v>0.33333333333333326</v>
      </c>
      <c r="Y117" s="132">
        <f t="shared" si="80"/>
        <v>10.256410256410257</v>
      </c>
      <c r="Z117" s="1">
        <f t="shared" si="63"/>
        <v>21.672205128205125</v>
      </c>
      <c r="AA117" s="1">
        <f t="shared" si="64"/>
        <v>16.806846777796135</v>
      </c>
      <c r="AB117" s="1">
        <v>0</v>
      </c>
      <c r="AC117" s="1">
        <f t="shared" si="81"/>
        <v>0.57906370215524849</v>
      </c>
      <c r="AD117" s="133">
        <f t="shared" si="65"/>
        <v>0.57906370215524849</v>
      </c>
      <c r="AE117" s="132">
        <f t="shared" si="75"/>
        <v>11.029333333333332</v>
      </c>
      <c r="AF117" s="1">
        <f t="shared" si="66"/>
        <v>13.722732930246716</v>
      </c>
      <c r="AG117" s="1">
        <f t="shared" si="82"/>
        <v>0.18831339907487762</v>
      </c>
      <c r="AH117" s="1">
        <f t="shared" si="83"/>
        <v>1.0345736538656058</v>
      </c>
      <c r="AI117" s="133">
        <f t="shared" si="67"/>
        <v>1.2228870529404834</v>
      </c>
      <c r="AJ117" s="132">
        <f t="shared" si="68"/>
        <v>5.5146666666666642</v>
      </c>
      <c r="AK117" s="1">
        <f t="shared" si="69"/>
        <v>9.703437511389394</v>
      </c>
      <c r="AL117" s="1">
        <f t="shared" si="84"/>
        <v>9.4156699537438798E-2</v>
      </c>
      <c r="AM117" s="1">
        <f t="shared" si="91"/>
        <v>0.26083200000000001</v>
      </c>
      <c r="AN117" s="136">
        <f t="shared" si="85"/>
        <v>0.18031274666666666</v>
      </c>
      <c r="AO117" s="133">
        <f t="shared" si="71"/>
        <v>0.53530144620410547</v>
      </c>
      <c r="AP117" s="132">
        <f t="shared" si="86"/>
        <v>0.56494019722463273</v>
      </c>
      <c r="AQ117" s="137">
        <f t="shared" si="87"/>
        <v>0.57906370215524849</v>
      </c>
      <c r="AR117" s="137">
        <f t="shared" si="88"/>
        <v>1.6152231232584866</v>
      </c>
      <c r="AS117" s="1">
        <f t="shared" si="89"/>
        <v>1.9759999999999996E-2</v>
      </c>
      <c r="AT117" s="133">
        <f t="shared" si="90"/>
        <v>0.08</v>
      </c>
      <c r="AU117" s="132">
        <f t="shared" si="72"/>
        <v>5.1962392239382043</v>
      </c>
      <c r="AV117" s="1">
        <f t="shared" si="73"/>
        <v>330.87999999999994</v>
      </c>
      <c r="AW117" s="133">
        <f t="shared" si="74"/>
        <v>98.453851055957628</v>
      </c>
    </row>
    <row r="118" spans="17:49" x14ac:dyDescent="0.15">
      <c r="Q118">
        <v>111</v>
      </c>
      <c r="R118" s="132">
        <f t="shared" si="46"/>
        <v>60</v>
      </c>
      <c r="S118" s="1">
        <f t="shared" si="47"/>
        <v>5.5647999999999991</v>
      </c>
      <c r="T118" s="1">
        <f t="shared" si="76"/>
        <v>20</v>
      </c>
      <c r="U118" s="133">
        <f t="shared" si="77"/>
        <v>16.694399999999995</v>
      </c>
      <c r="V118" s="132">
        <f>IF(Calculations!$B$17=3,2,IF((S118*R118/T118)&lt;((T118*(1-(T118/R118)))/(2*Lm*fsw)),1,2))</f>
        <v>2</v>
      </c>
      <c r="W118" s="1">
        <f t="shared" si="78"/>
        <v>0.66666666666666674</v>
      </c>
      <c r="X118" s="133">
        <f t="shared" si="79"/>
        <v>0.33333333333333326</v>
      </c>
      <c r="Y118" s="132">
        <f t="shared" si="80"/>
        <v>10.256410256410257</v>
      </c>
      <c r="Z118" s="1">
        <f t="shared" si="63"/>
        <v>21.822605128205122</v>
      </c>
      <c r="AA118" s="1">
        <f t="shared" si="64"/>
        <v>16.954915333681743</v>
      </c>
      <c r="AB118" s="1">
        <v>0</v>
      </c>
      <c r="AC118" s="1">
        <f t="shared" si="81"/>
        <v>0.58931176564324828</v>
      </c>
      <c r="AD118" s="133">
        <f t="shared" si="65"/>
        <v>0.58931176564324828</v>
      </c>
      <c r="AE118" s="132">
        <f t="shared" si="75"/>
        <v>11.129599999999998</v>
      </c>
      <c r="AF118" s="1">
        <f t="shared" si="66"/>
        <v>13.843630399870218</v>
      </c>
      <c r="AG118" s="1">
        <f t="shared" si="82"/>
        <v>0.19164610264821086</v>
      </c>
      <c r="AH118" s="1">
        <f t="shared" si="83"/>
        <v>1.0439788689007474</v>
      </c>
      <c r="AI118" s="133">
        <f t="shared" si="67"/>
        <v>1.2356249715489582</v>
      </c>
      <c r="AJ118" s="132">
        <f t="shared" si="68"/>
        <v>5.5647999999999973</v>
      </c>
      <c r="AK118" s="1">
        <f t="shared" si="69"/>
        <v>9.7889249319884666</v>
      </c>
      <c r="AL118" s="1">
        <f t="shared" si="84"/>
        <v>9.5823051324105415E-2</v>
      </c>
      <c r="AM118" s="1">
        <f t="shared" si="91"/>
        <v>0.26083200000000001</v>
      </c>
      <c r="AN118" s="136">
        <f t="shared" si="85"/>
        <v>0.18156407466666663</v>
      </c>
      <c r="AO118" s="133">
        <f t="shared" si="71"/>
        <v>0.53821912599077204</v>
      </c>
      <c r="AP118" s="132">
        <f t="shared" si="86"/>
        <v>0.57493830794463263</v>
      </c>
      <c r="AQ118" s="137">
        <f t="shared" si="87"/>
        <v>0.58931176564324828</v>
      </c>
      <c r="AR118" s="137">
        <f t="shared" si="88"/>
        <v>1.6152231232584866</v>
      </c>
      <c r="AS118" s="1">
        <f t="shared" si="89"/>
        <v>1.9759999999999996E-2</v>
      </c>
      <c r="AT118" s="133">
        <f t="shared" si="90"/>
        <v>0.08</v>
      </c>
      <c r="AU118" s="132">
        <f t="shared" si="72"/>
        <v>5.2423890600293461</v>
      </c>
      <c r="AV118" s="1">
        <f t="shared" si="73"/>
        <v>333.88799999999992</v>
      </c>
      <c r="AW118" s="133">
        <f t="shared" si="74"/>
        <v>98.454167120039088</v>
      </c>
    </row>
    <row r="119" spans="17:49" x14ac:dyDescent="0.15">
      <c r="Q119">
        <v>112</v>
      </c>
      <c r="R119" s="132">
        <f t="shared" si="46"/>
        <v>60</v>
      </c>
      <c r="S119" s="1">
        <f t="shared" si="47"/>
        <v>5.6149333333333331</v>
      </c>
      <c r="T119" s="1">
        <f t="shared" si="76"/>
        <v>20</v>
      </c>
      <c r="U119" s="133">
        <f t="shared" si="77"/>
        <v>16.844799999999999</v>
      </c>
      <c r="V119" s="132">
        <f>IF(Calculations!$B$17=3,2,IF((S119*R119/T119)&lt;((T119*(1-(T119/R119)))/(2*Lm*fsw)),1,2))</f>
        <v>2</v>
      </c>
      <c r="W119" s="1">
        <f t="shared" si="78"/>
        <v>0.66666666666666674</v>
      </c>
      <c r="X119" s="133">
        <f t="shared" si="79"/>
        <v>0.33333333333333326</v>
      </c>
      <c r="Y119" s="132">
        <f t="shared" si="80"/>
        <v>10.256410256410257</v>
      </c>
      <c r="Z119" s="1">
        <f t="shared" si="63"/>
        <v>21.973005128205127</v>
      </c>
      <c r="AA119" s="1">
        <f t="shared" si="64"/>
        <v>17.103024576147824</v>
      </c>
      <c r="AB119" s="1">
        <v>0</v>
      </c>
      <c r="AC119" s="1">
        <f t="shared" si="81"/>
        <v>0.59965257178724873</v>
      </c>
      <c r="AD119" s="133">
        <f t="shared" si="65"/>
        <v>0.59965257178724873</v>
      </c>
      <c r="AE119" s="132">
        <f t="shared" si="75"/>
        <v>11.229866666666668</v>
      </c>
      <c r="AF119" s="1">
        <f t="shared" si="66"/>
        <v>13.964561089947569</v>
      </c>
      <c r="AG119" s="1">
        <f t="shared" si="82"/>
        <v>0.19500896643487764</v>
      </c>
      <c r="AH119" s="1">
        <f t="shared" si="83"/>
        <v>1.0533840839358897</v>
      </c>
      <c r="AI119" s="133">
        <f t="shared" si="67"/>
        <v>1.2483930503707672</v>
      </c>
      <c r="AJ119" s="132">
        <f t="shared" si="68"/>
        <v>5.6149333333333322</v>
      </c>
      <c r="AK119" s="1">
        <f t="shared" si="69"/>
        <v>9.8744358429957284</v>
      </c>
      <c r="AL119" s="1">
        <f t="shared" si="84"/>
        <v>9.7504483217438764E-2</v>
      </c>
      <c r="AM119" s="1">
        <f t="shared" si="91"/>
        <v>0.26083200000000001</v>
      </c>
      <c r="AN119" s="136">
        <f t="shared" si="85"/>
        <v>0.18281540266666668</v>
      </c>
      <c r="AO119" s="133">
        <f t="shared" si="71"/>
        <v>0.54115188588410545</v>
      </c>
      <c r="AP119" s="132">
        <f t="shared" si="86"/>
        <v>0.58502689930463292</v>
      </c>
      <c r="AQ119" s="137">
        <f t="shared" si="87"/>
        <v>0.59965257178724873</v>
      </c>
      <c r="AR119" s="137">
        <f t="shared" si="88"/>
        <v>1.6152231232584866</v>
      </c>
      <c r="AS119" s="1">
        <f t="shared" si="89"/>
        <v>1.9759999999999996E-2</v>
      </c>
      <c r="AT119" s="133">
        <f t="shared" si="90"/>
        <v>0.08</v>
      </c>
      <c r="AU119" s="132">
        <f t="shared" si="72"/>
        <v>5.2888601023924888</v>
      </c>
      <c r="AV119" s="1">
        <f t="shared" si="73"/>
        <v>336.89599999999996</v>
      </c>
      <c r="AW119" s="133">
        <f t="shared" si="74"/>
        <v>98.454385123640506</v>
      </c>
    </row>
    <row r="120" spans="17:49" x14ac:dyDescent="0.15">
      <c r="Q120">
        <v>113</v>
      </c>
      <c r="R120" s="132">
        <f t="shared" si="46"/>
        <v>60</v>
      </c>
      <c r="S120" s="1">
        <f t="shared" si="47"/>
        <v>5.6650666666666663</v>
      </c>
      <c r="T120" s="1">
        <f t="shared" si="76"/>
        <v>20</v>
      </c>
      <c r="U120" s="133">
        <f t="shared" si="77"/>
        <v>16.995200000000001</v>
      </c>
      <c r="V120" s="132">
        <f>IF(Calculations!$B$17=3,2,IF((S120*R120/T120)&lt;((T120*(1-(T120/R120)))/(2*Lm*fsw)),1,2))</f>
        <v>2</v>
      </c>
      <c r="W120" s="1">
        <f t="shared" si="78"/>
        <v>0.66666666666666674</v>
      </c>
      <c r="X120" s="133">
        <f t="shared" si="79"/>
        <v>0.33333333333333326</v>
      </c>
      <c r="Y120" s="132">
        <f t="shared" si="80"/>
        <v>10.256410256410257</v>
      </c>
      <c r="Z120" s="1">
        <f t="shared" si="63"/>
        <v>22.123405128205128</v>
      </c>
      <c r="AA120" s="1">
        <f t="shared" si="64"/>
        <v>17.251173457255494</v>
      </c>
      <c r="AB120" s="1">
        <v>0</v>
      </c>
      <c r="AC120" s="1">
        <f t="shared" si="81"/>
        <v>0.61008612058724865</v>
      </c>
      <c r="AD120" s="133">
        <f t="shared" si="65"/>
        <v>0.61008612058724865</v>
      </c>
      <c r="AE120" s="132">
        <f t="shared" si="75"/>
        <v>11.330133333333334</v>
      </c>
      <c r="AF120" s="1">
        <f t="shared" si="66"/>
        <v>14.08552414484025</v>
      </c>
      <c r="AG120" s="1">
        <f t="shared" si="82"/>
        <v>0.19840199043487763</v>
      </c>
      <c r="AH120" s="1">
        <f t="shared" si="83"/>
        <v>1.0627892989710315</v>
      </c>
      <c r="AI120" s="133">
        <f t="shared" si="67"/>
        <v>1.2611912894059092</v>
      </c>
      <c r="AJ120" s="132">
        <f t="shared" si="68"/>
        <v>5.6650666666666654</v>
      </c>
      <c r="AK120" s="1">
        <f t="shared" si="69"/>
        <v>9.9599696393833845</v>
      </c>
      <c r="AL120" s="1">
        <f t="shared" si="84"/>
        <v>9.9200995217438789E-2</v>
      </c>
      <c r="AM120" s="1">
        <f t="shared" si="91"/>
        <v>0.26083200000000001</v>
      </c>
      <c r="AN120" s="136">
        <f t="shared" si="85"/>
        <v>0.18406673066666668</v>
      </c>
      <c r="AO120" s="133">
        <f t="shared" si="71"/>
        <v>0.54409972588410549</v>
      </c>
      <c r="AP120" s="132">
        <f t="shared" si="86"/>
        <v>0.59520597130463293</v>
      </c>
      <c r="AQ120" s="137">
        <f t="shared" si="87"/>
        <v>0.61008612058724865</v>
      </c>
      <c r="AR120" s="137">
        <f t="shared" si="88"/>
        <v>1.6152231232584866</v>
      </c>
      <c r="AS120" s="1">
        <f t="shared" si="89"/>
        <v>1.9759999999999996E-2</v>
      </c>
      <c r="AT120" s="133">
        <f t="shared" si="90"/>
        <v>0.08</v>
      </c>
      <c r="AU120" s="132">
        <f t="shared" si="72"/>
        <v>5.3356523510276315</v>
      </c>
      <c r="AV120" s="1">
        <f t="shared" si="73"/>
        <v>339.904</v>
      </c>
      <c r="AW120" s="133">
        <f t="shared" si="74"/>
        <v>98.454507668892404</v>
      </c>
    </row>
    <row r="121" spans="17:49" x14ac:dyDescent="0.15">
      <c r="Q121">
        <v>114</v>
      </c>
      <c r="R121" s="132">
        <f t="shared" si="46"/>
        <v>60</v>
      </c>
      <c r="S121" s="1">
        <f t="shared" si="47"/>
        <v>5.7151999999999994</v>
      </c>
      <c r="T121" s="1">
        <f t="shared" si="76"/>
        <v>20</v>
      </c>
      <c r="U121" s="133">
        <f t="shared" si="77"/>
        <v>17.145599999999998</v>
      </c>
      <c r="V121" s="132">
        <f>IF(Calculations!$B$17=3,2,IF((S121*R121/T121)&lt;((T121*(1-(T121/R121)))/(2*Lm*fsw)),1,2))</f>
        <v>2</v>
      </c>
      <c r="W121" s="1">
        <f t="shared" si="78"/>
        <v>0.66666666666666674</v>
      </c>
      <c r="X121" s="133">
        <f t="shared" si="79"/>
        <v>0.33333333333333326</v>
      </c>
      <c r="Y121" s="132">
        <f t="shared" si="80"/>
        <v>10.256410256410257</v>
      </c>
      <c r="Z121" s="1">
        <f t="shared" si="63"/>
        <v>22.273805128205126</v>
      </c>
      <c r="AA121" s="1">
        <f t="shared" si="64"/>
        <v>17.399360964481321</v>
      </c>
      <c r="AB121" s="1">
        <v>0</v>
      </c>
      <c r="AC121" s="1">
        <f t="shared" si="81"/>
        <v>0.62061241204324846</v>
      </c>
      <c r="AD121" s="133">
        <f t="shared" si="65"/>
        <v>0.62061241204324846</v>
      </c>
      <c r="AE121" s="132">
        <f t="shared" si="75"/>
        <v>11.430400000000001</v>
      </c>
      <c r="AF121" s="1">
        <f t="shared" si="66"/>
        <v>14.206518737826341</v>
      </c>
      <c r="AG121" s="1">
        <f t="shared" si="82"/>
        <v>0.20182517464821095</v>
      </c>
      <c r="AH121" s="1">
        <f t="shared" si="83"/>
        <v>1.0721945140061733</v>
      </c>
      <c r="AI121" s="133">
        <f t="shared" si="67"/>
        <v>1.2740196886543842</v>
      </c>
      <c r="AJ121" s="132">
        <f t="shared" si="68"/>
        <v>5.7151999999999985</v>
      </c>
      <c r="AK121" s="1">
        <f t="shared" si="69"/>
        <v>10.045525736570756</v>
      </c>
      <c r="AL121" s="1">
        <f t="shared" si="84"/>
        <v>0.10091258732410543</v>
      </c>
      <c r="AM121" s="1">
        <f t="shared" si="91"/>
        <v>0.26083200000000001</v>
      </c>
      <c r="AN121" s="136">
        <f t="shared" si="85"/>
        <v>0.18531805866666667</v>
      </c>
      <c r="AO121" s="133">
        <f t="shared" si="71"/>
        <v>0.54706264599077215</v>
      </c>
      <c r="AP121" s="132">
        <f t="shared" si="86"/>
        <v>0.60547552394463278</v>
      </c>
      <c r="AQ121" s="137">
        <f t="shared" si="87"/>
        <v>0.62061241204324846</v>
      </c>
      <c r="AR121" s="137">
        <f t="shared" si="88"/>
        <v>1.6152231232584866</v>
      </c>
      <c r="AS121" s="1">
        <f t="shared" si="89"/>
        <v>1.9759999999999996E-2</v>
      </c>
      <c r="AT121" s="133">
        <f t="shared" si="90"/>
        <v>0.08</v>
      </c>
      <c r="AU121" s="132">
        <f t="shared" si="72"/>
        <v>5.3827658059347723</v>
      </c>
      <c r="AV121" s="1">
        <f t="shared" si="73"/>
        <v>342.91199999999998</v>
      </c>
      <c r="AW121" s="133">
        <f t="shared" si="74"/>
        <v>98.454537267168135</v>
      </c>
    </row>
    <row r="122" spans="17:49" x14ac:dyDescent="0.15">
      <c r="Q122">
        <v>115</v>
      </c>
      <c r="R122" s="132">
        <f t="shared" si="46"/>
        <v>60</v>
      </c>
      <c r="S122" s="1">
        <f t="shared" si="47"/>
        <v>5.7653333333333325</v>
      </c>
      <c r="T122" s="1">
        <f t="shared" si="76"/>
        <v>20</v>
      </c>
      <c r="U122" s="133">
        <f t="shared" si="77"/>
        <v>17.295999999999999</v>
      </c>
      <c r="V122" s="132">
        <f>IF(Calculations!$B$17=3,2,IF((S122*R122/T122)&lt;((T122*(1-(T122/R122)))/(2*Lm*fsw)),1,2))</f>
        <v>2</v>
      </c>
      <c r="W122" s="1">
        <f t="shared" si="78"/>
        <v>0.66666666666666674</v>
      </c>
      <c r="X122" s="133">
        <f t="shared" si="79"/>
        <v>0.33333333333333326</v>
      </c>
      <c r="Y122" s="132">
        <f t="shared" si="80"/>
        <v>10.256410256410257</v>
      </c>
      <c r="Z122" s="1">
        <f t="shared" si="63"/>
        <v>22.424205128205127</v>
      </c>
      <c r="AA122" s="1">
        <f t="shared" si="64"/>
        <v>17.547586119244905</v>
      </c>
      <c r="AB122" s="1">
        <v>0</v>
      </c>
      <c r="AC122" s="1">
        <f t="shared" si="81"/>
        <v>0.63123144615524862</v>
      </c>
      <c r="AD122" s="133">
        <f t="shared" si="65"/>
        <v>0.63123144615524862</v>
      </c>
      <c r="AE122" s="132">
        <f t="shared" si="75"/>
        <v>11.530666666666667</v>
      </c>
      <c r="AF122" s="1">
        <f t="shared" si="66"/>
        <v>14.327544069898288</v>
      </c>
      <c r="AG122" s="1">
        <f t="shared" si="82"/>
        <v>0.2052785190748776</v>
      </c>
      <c r="AH122" s="1">
        <f t="shared" si="83"/>
        <v>1.0815997290413153</v>
      </c>
      <c r="AI122" s="133">
        <f t="shared" si="67"/>
        <v>1.2868782481161929</v>
      </c>
      <c r="AJ122" s="132">
        <f t="shared" si="68"/>
        <v>5.7653333333333316</v>
      </c>
      <c r="AK122" s="1">
        <f t="shared" si="69"/>
        <v>10.131103569574185</v>
      </c>
      <c r="AL122" s="1">
        <f t="shared" si="84"/>
        <v>0.1026392595374388</v>
      </c>
      <c r="AM122" s="1">
        <f t="shared" si="91"/>
        <v>0.26083200000000001</v>
      </c>
      <c r="AN122" s="136">
        <f t="shared" si="85"/>
        <v>0.18656938666666667</v>
      </c>
      <c r="AO122" s="133">
        <f t="shared" si="71"/>
        <v>0.55004064620410542</v>
      </c>
      <c r="AP122" s="132">
        <f t="shared" si="86"/>
        <v>0.6158355572246329</v>
      </c>
      <c r="AQ122" s="137">
        <f t="shared" si="87"/>
        <v>0.63123144615524862</v>
      </c>
      <c r="AR122" s="137">
        <f t="shared" si="88"/>
        <v>1.6152231232584866</v>
      </c>
      <c r="AS122" s="1">
        <f t="shared" si="89"/>
        <v>1.9759999999999996E-2</v>
      </c>
      <c r="AT122" s="133">
        <f t="shared" si="90"/>
        <v>0.08</v>
      </c>
      <c r="AU122" s="132">
        <f t="shared" si="72"/>
        <v>5.4302004671139139</v>
      </c>
      <c r="AV122" s="1">
        <f t="shared" si="73"/>
        <v>345.91999999999996</v>
      </c>
      <c r="AW122" s="133">
        <f t="shared" si="74"/>
        <v>98.45447634300632</v>
      </c>
    </row>
    <row r="123" spans="17:49" x14ac:dyDescent="0.15">
      <c r="Q123">
        <v>116</v>
      </c>
      <c r="R123" s="132">
        <f t="shared" si="46"/>
        <v>60</v>
      </c>
      <c r="S123" s="1">
        <f t="shared" si="47"/>
        <v>5.8154666666666657</v>
      </c>
      <c r="T123" s="1">
        <f t="shared" si="76"/>
        <v>20</v>
      </c>
      <c r="U123" s="133">
        <f t="shared" si="77"/>
        <v>17.446399999999997</v>
      </c>
      <c r="V123" s="132">
        <f>IF(Calculations!$B$17=3,2,IF((S123*R123/T123)&lt;((T123*(1-(T123/R123)))/(2*Lm*fsw)),1,2))</f>
        <v>2</v>
      </c>
      <c r="W123" s="1">
        <f t="shared" si="78"/>
        <v>0.66666666666666674</v>
      </c>
      <c r="X123" s="133">
        <f t="shared" si="79"/>
        <v>0.33333333333333326</v>
      </c>
      <c r="Y123" s="132">
        <f t="shared" si="80"/>
        <v>10.256410256410257</v>
      </c>
      <c r="Z123" s="1">
        <f t="shared" si="63"/>
        <v>22.574605128205125</v>
      </c>
      <c r="AA123" s="1">
        <f t="shared" si="64"/>
        <v>17.695847975508727</v>
      </c>
      <c r="AB123" s="1">
        <v>0</v>
      </c>
      <c r="AC123" s="1">
        <f t="shared" si="81"/>
        <v>0.64194322292324835</v>
      </c>
      <c r="AD123" s="133">
        <f t="shared" si="65"/>
        <v>0.64194322292324835</v>
      </c>
      <c r="AE123" s="132">
        <f t="shared" si="75"/>
        <v>11.630933333333333</v>
      </c>
      <c r="AF123" s="1">
        <f t="shared" si="66"/>
        <v>14.448599368619698</v>
      </c>
      <c r="AG123" s="1">
        <f t="shared" si="82"/>
        <v>0.20876202371487754</v>
      </c>
      <c r="AH123" s="1">
        <f t="shared" si="83"/>
        <v>1.0910049440764569</v>
      </c>
      <c r="AI123" s="133">
        <f t="shared" si="67"/>
        <v>1.2997669677913344</v>
      </c>
      <c r="AJ123" s="132">
        <f t="shared" si="68"/>
        <v>5.8154666666666648</v>
      </c>
      <c r="AK123" s="1">
        <f t="shared" si="69"/>
        <v>10.216702592198656</v>
      </c>
      <c r="AL123" s="1">
        <f t="shared" si="84"/>
        <v>0.10438101185743874</v>
      </c>
      <c r="AM123" s="1">
        <f t="shared" si="91"/>
        <v>0.26083200000000001</v>
      </c>
      <c r="AN123" s="136">
        <f t="shared" si="85"/>
        <v>0.18782071466666667</v>
      </c>
      <c r="AO123" s="133">
        <f t="shared" si="71"/>
        <v>0.55303372652410543</v>
      </c>
      <c r="AP123" s="132">
        <f t="shared" si="86"/>
        <v>0.62628607114463264</v>
      </c>
      <c r="AQ123" s="137">
        <f t="shared" si="87"/>
        <v>0.64194322292324835</v>
      </c>
      <c r="AR123" s="137">
        <f t="shared" si="88"/>
        <v>1.6152231232584866</v>
      </c>
      <c r="AS123" s="1">
        <f t="shared" si="89"/>
        <v>1.9759999999999996E-2</v>
      </c>
      <c r="AT123" s="133">
        <f t="shared" si="90"/>
        <v>0.08</v>
      </c>
      <c r="AU123" s="132">
        <f t="shared" si="72"/>
        <v>5.4779563345650555</v>
      </c>
      <c r="AV123" s="1">
        <f t="shared" si="73"/>
        <v>348.92799999999994</v>
      </c>
      <c r="AW123" s="133">
        <f t="shared" si="74"/>
        <v>98.454327237831805</v>
      </c>
    </row>
    <row r="124" spans="17:49" x14ac:dyDescent="0.15">
      <c r="Q124">
        <v>117</v>
      </c>
      <c r="R124" s="132">
        <f t="shared" si="46"/>
        <v>60</v>
      </c>
      <c r="S124" s="1">
        <f t="shared" si="47"/>
        <v>5.8655999999999997</v>
      </c>
      <c r="T124" s="1">
        <f t="shared" si="76"/>
        <v>20</v>
      </c>
      <c r="U124" s="133">
        <f t="shared" si="77"/>
        <v>17.596799999999998</v>
      </c>
      <c r="V124" s="132">
        <f>IF(Calculations!$B$17=3,2,IF((S124*R124/T124)&lt;((T124*(1-(T124/R124)))/(2*Lm*fsw)),1,2))</f>
        <v>2</v>
      </c>
      <c r="W124" s="1">
        <f t="shared" si="78"/>
        <v>0.66666666666666674</v>
      </c>
      <c r="X124" s="133">
        <f t="shared" si="79"/>
        <v>0.33333333333333326</v>
      </c>
      <c r="Y124" s="132">
        <f t="shared" si="80"/>
        <v>10.256410256410257</v>
      </c>
      <c r="Z124" s="1">
        <f t="shared" si="63"/>
        <v>22.725005128205126</v>
      </c>
      <c r="AA124" s="1">
        <f t="shared" si="64"/>
        <v>17.844145618446301</v>
      </c>
      <c r="AB124" s="1">
        <v>0</v>
      </c>
      <c r="AC124" s="1">
        <f t="shared" si="81"/>
        <v>0.65274774234724842</v>
      </c>
      <c r="AD124" s="133">
        <f t="shared" si="65"/>
        <v>0.65274774234724842</v>
      </c>
      <c r="AE124" s="132">
        <f t="shared" si="75"/>
        <v>11.731199999999999</v>
      </c>
      <c r="AF124" s="1">
        <f t="shared" si="66"/>
        <v>14.569683887037868</v>
      </c>
      <c r="AG124" s="1">
        <f t="shared" si="82"/>
        <v>0.21227568856821089</v>
      </c>
      <c r="AH124" s="1">
        <f t="shared" si="83"/>
        <v>1.1004101591115989</v>
      </c>
      <c r="AI124" s="133">
        <f t="shared" si="67"/>
        <v>1.3126858476798098</v>
      </c>
      <c r="AJ124" s="132">
        <f t="shared" si="68"/>
        <v>5.8655999999999979</v>
      </c>
      <c r="AK124" s="1">
        <f t="shared" si="69"/>
        <v>10.302322276268852</v>
      </c>
      <c r="AL124" s="1">
        <f t="shared" si="84"/>
        <v>0.10613784428410541</v>
      </c>
      <c r="AM124" s="1">
        <f t="shared" si="91"/>
        <v>0.26083200000000001</v>
      </c>
      <c r="AN124" s="136">
        <f t="shared" si="85"/>
        <v>0.18907204266666666</v>
      </c>
      <c r="AO124" s="133">
        <f t="shared" si="71"/>
        <v>0.55604188695077206</v>
      </c>
      <c r="AP124" s="132">
        <f t="shared" si="86"/>
        <v>0.63682706570463266</v>
      </c>
      <c r="AQ124" s="137">
        <f t="shared" si="87"/>
        <v>0.65274774234724842</v>
      </c>
      <c r="AR124" s="137">
        <f t="shared" si="88"/>
        <v>1.6152231232584866</v>
      </c>
      <c r="AS124" s="1">
        <f t="shared" si="89"/>
        <v>1.9759999999999996E-2</v>
      </c>
      <c r="AT124" s="133">
        <f t="shared" si="90"/>
        <v>0.08</v>
      </c>
      <c r="AU124" s="132">
        <f t="shared" si="72"/>
        <v>5.526033408288197</v>
      </c>
      <c r="AV124" s="1">
        <f t="shared" si="73"/>
        <v>351.93599999999998</v>
      </c>
      <c r="AW124" s="133">
        <f t="shared" si="74"/>
        <v>98.454092213486504</v>
      </c>
    </row>
    <row r="125" spans="17:49" x14ac:dyDescent="0.15">
      <c r="Q125">
        <v>118</v>
      </c>
      <c r="R125" s="132">
        <f t="shared" si="46"/>
        <v>60</v>
      </c>
      <c r="S125" s="1">
        <f t="shared" si="47"/>
        <v>5.9157333333333328</v>
      </c>
      <c r="T125" s="1">
        <f t="shared" si="76"/>
        <v>20</v>
      </c>
      <c r="U125" s="133">
        <f t="shared" si="77"/>
        <v>17.747199999999999</v>
      </c>
      <c r="V125" s="132">
        <f>IF(Calculations!$B$17=3,2,IF((S125*R125/T125)&lt;((T125*(1-(T125/R125)))/(2*Lm*fsw)),1,2))</f>
        <v>2</v>
      </c>
      <c r="W125" s="1">
        <f t="shared" si="78"/>
        <v>0.66666666666666674</v>
      </c>
      <c r="X125" s="133">
        <f t="shared" si="79"/>
        <v>0.33333333333333326</v>
      </c>
      <c r="Y125" s="132">
        <f t="shared" si="80"/>
        <v>10.256410256410257</v>
      </c>
      <c r="Z125" s="1">
        <f t="shared" si="63"/>
        <v>22.875405128205127</v>
      </c>
      <c r="AA125" s="1">
        <f t="shared" si="64"/>
        <v>17.992478163174646</v>
      </c>
      <c r="AB125" s="1">
        <v>0</v>
      </c>
      <c r="AC125" s="1">
        <f t="shared" si="81"/>
        <v>0.66364500442724872</v>
      </c>
      <c r="AD125" s="133">
        <f t="shared" si="65"/>
        <v>0.66364500442724872</v>
      </c>
      <c r="AE125" s="132">
        <f t="shared" si="75"/>
        <v>11.831466666666667</v>
      </c>
      <c r="AF125" s="1">
        <f t="shared" si="66"/>
        <v>14.69079690264887</v>
      </c>
      <c r="AG125" s="1">
        <f t="shared" si="82"/>
        <v>0.21581951363487764</v>
      </c>
      <c r="AH125" s="1">
        <f t="shared" si="83"/>
        <v>1.1098153741467407</v>
      </c>
      <c r="AI125" s="133">
        <f t="shared" si="67"/>
        <v>1.3256348877816184</v>
      </c>
      <c r="AJ125" s="132">
        <f t="shared" si="68"/>
        <v>5.915733333333332</v>
      </c>
      <c r="AK125" s="1">
        <f t="shared" si="69"/>
        <v>10.387962110897343</v>
      </c>
      <c r="AL125" s="1">
        <f t="shared" si="84"/>
        <v>0.10790975681743878</v>
      </c>
      <c r="AM125" s="1">
        <f t="shared" si="91"/>
        <v>0.26083200000000001</v>
      </c>
      <c r="AN125" s="136">
        <f t="shared" si="85"/>
        <v>0.19032337066666669</v>
      </c>
      <c r="AO125" s="133">
        <f t="shared" si="71"/>
        <v>0.55906512748410553</v>
      </c>
      <c r="AP125" s="132">
        <f t="shared" si="86"/>
        <v>0.64745854090463295</v>
      </c>
      <c r="AQ125" s="137">
        <f t="shared" si="87"/>
        <v>0.66364500442724872</v>
      </c>
      <c r="AR125" s="137">
        <f t="shared" si="88"/>
        <v>1.6152231232584866</v>
      </c>
      <c r="AS125" s="1">
        <f t="shared" si="89"/>
        <v>1.9759999999999996E-2</v>
      </c>
      <c r="AT125" s="133">
        <f t="shared" si="90"/>
        <v>0.08</v>
      </c>
      <c r="AU125" s="132">
        <f t="shared" si="72"/>
        <v>5.5744316882833402</v>
      </c>
      <c r="AV125" s="1">
        <f t="shared" si="73"/>
        <v>354.94399999999996</v>
      </c>
      <c r="AW125" s="133">
        <f t="shared" si="74"/>
        <v>98.453773455582109</v>
      </c>
    </row>
    <row r="126" spans="17:49" x14ac:dyDescent="0.15">
      <c r="Q126">
        <v>119</v>
      </c>
      <c r="R126" s="132">
        <f t="shared" si="46"/>
        <v>60</v>
      </c>
      <c r="S126" s="1">
        <f t="shared" si="47"/>
        <v>5.965866666666666</v>
      </c>
      <c r="T126" s="1">
        <f t="shared" si="76"/>
        <v>20</v>
      </c>
      <c r="U126" s="133">
        <f t="shared" si="77"/>
        <v>17.897599999999997</v>
      </c>
      <c r="V126" s="132">
        <f>IF(Calculations!$B$17=3,2,IF((S126*R126/T126)&lt;((T126*(1-(T126/R126)))/(2*Lm*fsw)),1,2))</f>
        <v>2</v>
      </c>
      <c r="W126" s="1">
        <f t="shared" si="78"/>
        <v>0.66666666666666674</v>
      </c>
      <c r="X126" s="133">
        <f t="shared" si="79"/>
        <v>0.33333333333333326</v>
      </c>
      <c r="Y126" s="132">
        <f t="shared" si="80"/>
        <v>10.256410256410257</v>
      </c>
      <c r="Z126" s="1">
        <f t="shared" si="63"/>
        <v>23.025805128205125</v>
      </c>
      <c r="AA126" s="1">
        <f t="shared" si="64"/>
        <v>18.140844753547626</v>
      </c>
      <c r="AB126" s="1">
        <v>0</v>
      </c>
      <c r="AC126" s="1">
        <f t="shared" si="81"/>
        <v>0.67463500916324859</v>
      </c>
      <c r="AD126" s="133">
        <f t="shared" si="65"/>
        <v>0.67463500916324859</v>
      </c>
      <c r="AE126" s="132">
        <f t="shared" si="75"/>
        <v>11.931733333333332</v>
      </c>
      <c r="AF126" s="1">
        <f t="shared" si="66"/>
        <v>14.811937716412311</v>
      </c>
      <c r="AG126" s="1">
        <f t="shared" si="82"/>
        <v>0.21939349891487755</v>
      </c>
      <c r="AH126" s="1">
        <f t="shared" si="83"/>
        <v>1.1192205891818825</v>
      </c>
      <c r="AI126" s="133">
        <f t="shared" si="67"/>
        <v>1.3386140880967601</v>
      </c>
      <c r="AJ126" s="132">
        <f t="shared" si="68"/>
        <v>5.9658666666666642</v>
      </c>
      <c r="AK126" s="1">
        <f t="shared" si="69"/>
        <v>10.473621601787929</v>
      </c>
      <c r="AL126" s="1">
        <f t="shared" si="84"/>
        <v>0.10969674945743876</v>
      </c>
      <c r="AM126" s="1">
        <f t="shared" si="91"/>
        <v>0.26083200000000001</v>
      </c>
      <c r="AN126" s="136">
        <f t="shared" si="85"/>
        <v>0.19157469866666665</v>
      </c>
      <c r="AO126" s="133">
        <f t="shared" si="71"/>
        <v>0.5621034481241054</v>
      </c>
      <c r="AP126" s="132">
        <f t="shared" si="86"/>
        <v>0.65818049674463286</v>
      </c>
      <c r="AQ126" s="137">
        <f t="shared" si="87"/>
        <v>0.67463500916324859</v>
      </c>
      <c r="AR126" s="137">
        <f t="shared" si="88"/>
        <v>1.6152231232584866</v>
      </c>
      <c r="AS126" s="1">
        <f t="shared" si="89"/>
        <v>1.9759999999999996E-2</v>
      </c>
      <c r="AT126" s="133">
        <f t="shared" si="90"/>
        <v>0.08</v>
      </c>
      <c r="AU126" s="132">
        <f t="shared" si="72"/>
        <v>5.6231511745504816</v>
      </c>
      <c r="AV126" s="1">
        <f t="shared" si="73"/>
        <v>357.95199999999994</v>
      </c>
      <c r="AW126" s="133">
        <f t="shared" si="74"/>
        <v>98.453373076684542</v>
      </c>
    </row>
    <row r="127" spans="17:49" x14ac:dyDescent="0.15">
      <c r="Q127">
        <v>120</v>
      </c>
      <c r="R127" s="132">
        <f t="shared" si="46"/>
        <v>60</v>
      </c>
      <c r="S127" s="1">
        <f t="shared" si="47"/>
        <v>6.0159999999999991</v>
      </c>
      <c r="T127" s="1">
        <f t="shared" si="76"/>
        <v>20</v>
      </c>
      <c r="U127" s="133">
        <f t="shared" si="77"/>
        <v>18.047999999999995</v>
      </c>
      <c r="V127" s="132">
        <f>IF(Calculations!$B$17=3,2,IF((S127*R127/T127)&lt;((T127*(1-(T127/R127)))/(2*Lm*fsw)),1,2))</f>
        <v>2</v>
      </c>
      <c r="W127" s="1">
        <f t="shared" si="78"/>
        <v>0.66666666666666674</v>
      </c>
      <c r="X127" s="133">
        <f t="shared" si="79"/>
        <v>0.33333333333333326</v>
      </c>
      <c r="Y127" s="132">
        <f t="shared" si="80"/>
        <v>10.256410256410257</v>
      </c>
      <c r="Z127" s="1">
        <f t="shared" si="63"/>
        <v>23.176205128205122</v>
      </c>
      <c r="AA127" s="1">
        <f t="shared" si="64"/>
        <v>18.289244561006786</v>
      </c>
      <c r="AB127" s="1">
        <v>0</v>
      </c>
      <c r="AC127" s="1">
        <f t="shared" si="81"/>
        <v>0.68571775655524825</v>
      </c>
      <c r="AD127" s="133">
        <f t="shared" si="65"/>
        <v>0.68571775655524825</v>
      </c>
      <c r="AE127" s="132">
        <f t="shared" si="75"/>
        <v>12.031999999999998</v>
      </c>
      <c r="AF127" s="1">
        <f t="shared" si="66"/>
        <v>14.933105651813049</v>
      </c>
      <c r="AG127" s="1">
        <f t="shared" si="82"/>
        <v>0.22299764440821085</v>
      </c>
      <c r="AH127" s="1">
        <f t="shared" si="83"/>
        <v>1.1286258042170241</v>
      </c>
      <c r="AI127" s="133">
        <f t="shared" si="67"/>
        <v>1.351623448625235</v>
      </c>
      <c r="AJ127" s="132">
        <f t="shared" si="68"/>
        <v>6.0159999999999965</v>
      </c>
      <c r="AK127" s="1">
        <f t="shared" si="69"/>
        <v>10.559300270572164</v>
      </c>
      <c r="AL127" s="1">
        <f t="shared" si="84"/>
        <v>0.11149882220410538</v>
      </c>
      <c r="AM127" s="1">
        <f t="shared" si="91"/>
        <v>0.26083200000000001</v>
      </c>
      <c r="AN127" s="136">
        <f t="shared" si="85"/>
        <v>0.19282602666666665</v>
      </c>
      <c r="AO127" s="133">
        <f t="shared" si="71"/>
        <v>0.56515684887077211</v>
      </c>
      <c r="AP127" s="132">
        <f t="shared" si="86"/>
        <v>0.6689929332246326</v>
      </c>
      <c r="AQ127" s="137">
        <f t="shared" si="87"/>
        <v>0.68571775655524825</v>
      </c>
      <c r="AR127" s="137">
        <f t="shared" si="88"/>
        <v>1.6152231232584866</v>
      </c>
      <c r="AS127" s="1">
        <f t="shared" si="89"/>
        <v>1.9759999999999996E-2</v>
      </c>
      <c r="AT127" s="133">
        <f t="shared" si="90"/>
        <v>0.08</v>
      </c>
      <c r="AU127" s="132">
        <f t="shared" si="72"/>
        <v>5.6721918670896221</v>
      </c>
      <c r="AV127" s="1">
        <f t="shared" si="73"/>
        <v>360.95999999999992</v>
      </c>
      <c r="AW127" s="133">
        <f t="shared" si="74"/>
        <v>98.452893119340189</v>
      </c>
    </row>
    <row r="128" spans="17:49" x14ac:dyDescent="0.15">
      <c r="Q128">
        <v>121</v>
      </c>
      <c r="R128" s="132">
        <f t="shared" si="46"/>
        <v>60</v>
      </c>
      <c r="S128" s="1">
        <f t="shared" si="47"/>
        <v>6.0661333333333332</v>
      </c>
      <c r="T128" s="1">
        <f t="shared" si="76"/>
        <v>20</v>
      </c>
      <c r="U128" s="133">
        <f t="shared" si="77"/>
        <v>18.198399999999999</v>
      </c>
      <c r="V128" s="132">
        <f>IF(Calculations!$B$17=3,2,IF((S128*R128/T128)&lt;((T128*(1-(T128/R128)))/(2*Lm*fsw)),1,2))</f>
        <v>2</v>
      </c>
      <c r="W128" s="1">
        <f t="shared" si="78"/>
        <v>0.66666666666666674</v>
      </c>
      <c r="X128" s="133">
        <f t="shared" si="79"/>
        <v>0.33333333333333326</v>
      </c>
      <c r="Y128" s="132">
        <f t="shared" si="80"/>
        <v>10.256410256410257</v>
      </c>
      <c r="Z128" s="1">
        <f t="shared" si="63"/>
        <v>23.326605128205127</v>
      </c>
      <c r="AA128" s="1">
        <f t="shared" si="64"/>
        <v>18.437676783486484</v>
      </c>
      <c r="AB128" s="1">
        <v>0</v>
      </c>
      <c r="AC128" s="1">
        <f t="shared" si="81"/>
        <v>0.69689324660324869</v>
      </c>
      <c r="AD128" s="133">
        <f t="shared" si="65"/>
        <v>0.69689324660324869</v>
      </c>
      <c r="AE128" s="132">
        <f t="shared" si="75"/>
        <v>12.132266666666668</v>
      </c>
      <c r="AF128" s="1">
        <f t="shared" si="66"/>
        <v>15.054300053967227</v>
      </c>
      <c r="AG128" s="1">
        <f t="shared" si="82"/>
        <v>0.22663195011487763</v>
      </c>
      <c r="AH128" s="1">
        <f t="shared" si="83"/>
        <v>1.1380310192521665</v>
      </c>
      <c r="AI128" s="133">
        <f t="shared" si="67"/>
        <v>1.3646629693670442</v>
      </c>
      <c r="AJ128" s="132">
        <f t="shared" si="68"/>
        <v>6.0661333333333314</v>
      </c>
      <c r="AK128" s="1">
        <f t="shared" si="69"/>
        <v>10.644997654177233</v>
      </c>
      <c r="AL128" s="1">
        <f t="shared" si="84"/>
        <v>0.1133159750574388</v>
      </c>
      <c r="AM128" s="1">
        <f t="shared" si="91"/>
        <v>0.26083200000000001</v>
      </c>
      <c r="AN128" s="136">
        <f t="shared" si="85"/>
        <v>0.19407735466666667</v>
      </c>
      <c r="AO128" s="133">
        <f t="shared" si="71"/>
        <v>0.56822532972410544</v>
      </c>
      <c r="AP128" s="132">
        <f t="shared" si="86"/>
        <v>0.67989585034463307</v>
      </c>
      <c r="AQ128" s="137">
        <f t="shared" si="87"/>
        <v>0.69689324660324869</v>
      </c>
      <c r="AR128" s="137">
        <f t="shared" si="88"/>
        <v>1.6152231232584866</v>
      </c>
      <c r="AS128" s="1">
        <f t="shared" si="89"/>
        <v>1.9759999999999996E-2</v>
      </c>
      <c r="AT128" s="133">
        <f t="shared" si="90"/>
        <v>0.08</v>
      </c>
      <c r="AU128" s="132">
        <f t="shared" si="72"/>
        <v>5.721553765900766</v>
      </c>
      <c r="AV128" s="1">
        <f t="shared" si="73"/>
        <v>363.96799999999996</v>
      </c>
      <c r="AW128" s="133">
        <f t="shared" si="74"/>
        <v>98.452335558952839</v>
      </c>
    </row>
    <row r="129" spans="17:49" x14ac:dyDescent="0.15">
      <c r="Q129">
        <v>122</v>
      </c>
      <c r="R129" s="132">
        <f t="shared" si="46"/>
        <v>60</v>
      </c>
      <c r="S129" s="1">
        <f t="shared" si="47"/>
        <v>6.1162666666666663</v>
      </c>
      <c r="T129" s="1">
        <f t="shared" si="76"/>
        <v>20</v>
      </c>
      <c r="U129" s="133">
        <f t="shared" si="77"/>
        <v>18.348800000000001</v>
      </c>
      <c r="V129" s="132">
        <f>IF(Calculations!$B$17=3,2,IF((S129*R129/T129)&lt;((T129*(1-(T129/R129)))/(2*Lm*fsw)),1,2))</f>
        <v>2</v>
      </c>
      <c r="W129" s="1">
        <f t="shared" si="78"/>
        <v>0.66666666666666674</v>
      </c>
      <c r="X129" s="133">
        <f t="shared" si="79"/>
        <v>0.33333333333333326</v>
      </c>
      <c r="Y129" s="132">
        <f t="shared" si="80"/>
        <v>10.256410256410257</v>
      </c>
      <c r="Z129" s="1">
        <f t="shared" si="63"/>
        <v>23.477005128205128</v>
      </c>
      <c r="AA129" s="1">
        <f t="shared" si="64"/>
        <v>18.586140644370378</v>
      </c>
      <c r="AB129" s="1">
        <v>0</v>
      </c>
      <c r="AC129" s="1">
        <f t="shared" si="81"/>
        <v>0.70816147930724871</v>
      </c>
      <c r="AD129" s="133">
        <f t="shared" si="65"/>
        <v>0.70816147930724871</v>
      </c>
      <c r="AE129" s="132">
        <f t="shared" si="75"/>
        <v>12.232533333333334</v>
      </c>
      <c r="AF129" s="1">
        <f t="shared" si="66"/>
        <v>15.175520288770256</v>
      </c>
      <c r="AG129" s="1">
        <f t="shared" si="82"/>
        <v>0.23029641603487769</v>
      </c>
      <c r="AH129" s="1">
        <f t="shared" si="83"/>
        <v>1.1474362342873083</v>
      </c>
      <c r="AI129" s="133">
        <f t="shared" si="67"/>
        <v>1.3777326503221861</v>
      </c>
      <c r="AJ129" s="132">
        <f t="shared" si="68"/>
        <v>6.1162666666666654</v>
      </c>
      <c r="AK129" s="1">
        <f t="shared" si="69"/>
        <v>10.73071330422348</v>
      </c>
      <c r="AL129" s="1">
        <f t="shared" si="84"/>
        <v>0.11514820801743879</v>
      </c>
      <c r="AM129" s="1">
        <f t="shared" si="91"/>
        <v>0.26083200000000001</v>
      </c>
      <c r="AN129" s="136">
        <f t="shared" si="85"/>
        <v>0.1953286826666667</v>
      </c>
      <c r="AO129" s="133">
        <f t="shared" si="71"/>
        <v>0.57130889068410551</v>
      </c>
      <c r="AP129" s="132">
        <f t="shared" si="86"/>
        <v>0.69088924810463304</v>
      </c>
      <c r="AQ129" s="137">
        <f t="shared" si="87"/>
        <v>0.70816147930724871</v>
      </c>
      <c r="AR129" s="137">
        <f t="shared" si="88"/>
        <v>1.6152231232584866</v>
      </c>
      <c r="AS129" s="1">
        <f t="shared" si="89"/>
        <v>1.9759999999999996E-2</v>
      </c>
      <c r="AT129" s="133">
        <f t="shared" si="90"/>
        <v>0.08</v>
      </c>
      <c r="AU129" s="132">
        <f t="shared" si="72"/>
        <v>5.7712368709839081</v>
      </c>
      <c r="AV129" s="1">
        <f t="shared" si="73"/>
        <v>366.976</v>
      </c>
      <c r="AW129" s="133">
        <f t="shared" si="74"/>
        <v>98.451702306519991</v>
      </c>
    </row>
    <row r="130" spans="17:49" x14ac:dyDescent="0.15">
      <c r="Q130">
        <v>123</v>
      </c>
      <c r="R130" s="132">
        <f t="shared" si="46"/>
        <v>60</v>
      </c>
      <c r="S130" s="1">
        <f t="shared" si="47"/>
        <v>6.1663999999999994</v>
      </c>
      <c r="T130" s="1">
        <f t="shared" si="76"/>
        <v>20</v>
      </c>
      <c r="U130" s="133">
        <f t="shared" si="77"/>
        <v>18.499199999999998</v>
      </c>
      <c r="V130" s="132">
        <f>IF(Calculations!$B$17=3,2,IF((S130*R130/T130)&lt;((T130*(1-(T130/R130)))/(2*Lm*fsw)),1,2))</f>
        <v>2</v>
      </c>
      <c r="W130" s="1">
        <f t="shared" si="78"/>
        <v>0.66666666666666674</v>
      </c>
      <c r="X130" s="133">
        <f t="shared" si="79"/>
        <v>0.33333333333333326</v>
      </c>
      <c r="Y130" s="132">
        <f t="shared" si="80"/>
        <v>10.256410256410257</v>
      </c>
      <c r="Z130" s="1">
        <f t="shared" si="63"/>
        <v>23.627405128205126</v>
      </c>
      <c r="AA130" s="1">
        <f t="shared" si="64"/>
        <v>18.734635391496585</v>
      </c>
      <c r="AB130" s="1">
        <v>0</v>
      </c>
      <c r="AC130" s="1">
        <f t="shared" si="81"/>
        <v>0.71952245466724851</v>
      </c>
      <c r="AD130" s="133">
        <f t="shared" si="65"/>
        <v>0.71952245466724851</v>
      </c>
      <c r="AE130" s="132">
        <f t="shared" si="75"/>
        <v>12.332800000000001</v>
      </c>
      <c r="AF130" s="1">
        <f t="shared" si="66"/>
        <v>15.296765742084531</v>
      </c>
      <c r="AG130" s="1">
        <f t="shared" si="82"/>
        <v>0.23399104216821093</v>
      </c>
      <c r="AH130" s="1">
        <f t="shared" si="83"/>
        <v>1.1568414493224501</v>
      </c>
      <c r="AI130" s="133">
        <f t="shared" si="67"/>
        <v>1.3908324914906611</v>
      </c>
      <c r="AJ130" s="132">
        <f t="shared" si="68"/>
        <v>6.1663999999999977</v>
      </c>
      <c r="AK130" s="1">
        <f t="shared" si="69"/>
        <v>10.81644678645004</v>
      </c>
      <c r="AL130" s="1">
        <f t="shared" si="84"/>
        <v>0.11699552108410541</v>
      </c>
      <c r="AM130" s="1">
        <f t="shared" si="91"/>
        <v>0.26083200000000001</v>
      </c>
      <c r="AN130" s="136">
        <f t="shared" si="85"/>
        <v>0.19658001066666667</v>
      </c>
      <c r="AO130" s="133">
        <f t="shared" si="71"/>
        <v>0.57440753175077208</v>
      </c>
      <c r="AP130" s="132">
        <f t="shared" si="86"/>
        <v>0.70197312650463284</v>
      </c>
      <c r="AQ130" s="137">
        <f t="shared" si="87"/>
        <v>0.71952245466724851</v>
      </c>
      <c r="AR130" s="137">
        <f t="shared" si="88"/>
        <v>1.6152231232584866</v>
      </c>
      <c r="AS130" s="1">
        <f t="shared" si="89"/>
        <v>1.9759999999999996E-2</v>
      </c>
      <c r="AT130" s="133">
        <f t="shared" si="90"/>
        <v>0.08</v>
      </c>
      <c r="AU130" s="132">
        <f t="shared" si="72"/>
        <v>5.8212411823390493</v>
      </c>
      <c r="AV130" s="1">
        <f t="shared" si="73"/>
        <v>369.98399999999998</v>
      </c>
      <c r="AW130" s="133">
        <f t="shared" si="74"/>
        <v>98.450995211236389</v>
      </c>
    </row>
    <row r="131" spans="17:49" x14ac:dyDescent="0.15">
      <c r="Q131">
        <v>124</v>
      </c>
      <c r="R131" s="132">
        <f t="shared" si="46"/>
        <v>60</v>
      </c>
      <c r="S131" s="1">
        <f t="shared" si="47"/>
        <v>6.2165333333333326</v>
      </c>
      <c r="T131" s="1">
        <f t="shared" si="76"/>
        <v>20</v>
      </c>
      <c r="U131" s="133">
        <f t="shared" si="77"/>
        <v>18.6496</v>
      </c>
      <c r="V131" s="132">
        <f>IF(Calculations!$B$17=3,2,IF((S131*R131/T131)&lt;((T131*(1-(T131/R131)))/(2*Lm*fsw)),1,2))</f>
        <v>2</v>
      </c>
      <c r="W131" s="1">
        <f t="shared" si="78"/>
        <v>0.66666666666666674</v>
      </c>
      <c r="X131" s="133">
        <f t="shared" si="79"/>
        <v>0.33333333333333326</v>
      </c>
      <c r="Y131" s="132">
        <f t="shared" si="80"/>
        <v>10.256410256410257</v>
      </c>
      <c r="Z131" s="1">
        <f t="shared" si="63"/>
        <v>23.777805128205127</v>
      </c>
      <c r="AA131" s="1">
        <f t="shared" si="64"/>
        <v>18.8831602962088</v>
      </c>
      <c r="AB131" s="1">
        <v>0</v>
      </c>
      <c r="AC131" s="1">
        <f t="shared" si="81"/>
        <v>0.73097617268324855</v>
      </c>
      <c r="AD131" s="133">
        <f t="shared" si="65"/>
        <v>0.73097617268324855</v>
      </c>
      <c r="AE131" s="132">
        <f t="shared" si="75"/>
        <v>12.433066666666667</v>
      </c>
      <c r="AF131" s="1">
        <f t="shared" si="66"/>
        <v>15.418035818964674</v>
      </c>
      <c r="AG131" s="1">
        <f t="shared" si="82"/>
        <v>0.23771582851487769</v>
      </c>
      <c r="AH131" s="1">
        <f t="shared" si="83"/>
        <v>1.1662466643575922</v>
      </c>
      <c r="AI131" s="133">
        <f t="shared" si="67"/>
        <v>1.4039624928724699</v>
      </c>
      <c r="AJ131" s="132">
        <f t="shared" si="68"/>
        <v>6.2165333333333317</v>
      </c>
      <c r="AK131" s="1">
        <f t="shared" si="69"/>
        <v>10.902197680167003</v>
      </c>
      <c r="AL131" s="1">
        <f t="shared" si="84"/>
        <v>0.11885791425743879</v>
      </c>
      <c r="AM131" s="1">
        <f t="shared" si="91"/>
        <v>0.26083200000000001</v>
      </c>
      <c r="AN131" s="136">
        <f t="shared" si="85"/>
        <v>0.19783133866666669</v>
      </c>
      <c r="AO131" s="133">
        <f t="shared" si="71"/>
        <v>0.5775212529241055</v>
      </c>
      <c r="AP131" s="132">
        <f t="shared" si="86"/>
        <v>0.71314748554463281</v>
      </c>
      <c r="AQ131" s="137">
        <f t="shared" si="87"/>
        <v>0.73097617268324855</v>
      </c>
      <c r="AR131" s="137">
        <f t="shared" si="88"/>
        <v>1.6152231232584866</v>
      </c>
      <c r="AS131" s="1">
        <f t="shared" si="89"/>
        <v>1.9759999999999996E-2</v>
      </c>
      <c r="AT131" s="133">
        <f t="shared" si="90"/>
        <v>0.08</v>
      </c>
      <c r="AU131" s="132">
        <f t="shared" si="72"/>
        <v>5.8715666999661913</v>
      </c>
      <c r="AV131" s="1">
        <f t="shared" si="73"/>
        <v>372.99199999999996</v>
      </c>
      <c r="AW131" s="133">
        <f t="shared" si="74"/>
        <v>98.450216062972331</v>
      </c>
    </row>
    <row r="132" spans="17:49" x14ac:dyDescent="0.15">
      <c r="Q132">
        <v>125</v>
      </c>
      <c r="R132" s="132">
        <f t="shared" si="46"/>
        <v>60</v>
      </c>
      <c r="S132" s="1">
        <f t="shared" si="47"/>
        <v>6.2666666666666657</v>
      </c>
      <c r="T132" s="1">
        <f t="shared" si="76"/>
        <v>20</v>
      </c>
      <c r="U132" s="133">
        <f t="shared" si="77"/>
        <v>18.799999999999997</v>
      </c>
      <c r="V132" s="132">
        <f>IF(Calculations!$B$17=3,2,IF((S132*R132/T132)&lt;((T132*(1-(T132/R132)))/(2*Lm*fsw)),1,2))</f>
        <v>2</v>
      </c>
      <c r="W132" s="1">
        <f t="shared" si="78"/>
        <v>0.66666666666666674</v>
      </c>
      <c r="X132" s="133">
        <f t="shared" si="79"/>
        <v>0.33333333333333326</v>
      </c>
      <c r="Y132" s="132">
        <f t="shared" si="80"/>
        <v>10.256410256410257</v>
      </c>
      <c r="Z132" s="1">
        <f t="shared" si="63"/>
        <v>23.928205128205125</v>
      </c>
      <c r="AA132" s="1">
        <f t="shared" si="64"/>
        <v>19.031714652450955</v>
      </c>
      <c r="AB132" s="1">
        <v>0</v>
      </c>
      <c r="AC132" s="1">
        <f t="shared" si="81"/>
        <v>0.74252263335524837</v>
      </c>
      <c r="AD132" s="133">
        <f t="shared" si="65"/>
        <v>0.74252263335524837</v>
      </c>
      <c r="AE132" s="132">
        <f t="shared" si="75"/>
        <v>12.533333333333333</v>
      </c>
      <c r="AF132" s="1">
        <f t="shared" si="66"/>
        <v>15.539329942918311</v>
      </c>
      <c r="AG132" s="1">
        <f t="shared" si="82"/>
        <v>0.2414707750748776</v>
      </c>
      <c r="AH132" s="1">
        <f t="shared" si="83"/>
        <v>1.1756518793927337</v>
      </c>
      <c r="AI132" s="133">
        <f t="shared" si="67"/>
        <v>1.4171226544676114</v>
      </c>
      <c r="AJ132" s="132">
        <f t="shared" si="68"/>
        <v>6.2666666666666639</v>
      </c>
      <c r="AK132" s="1">
        <f t="shared" si="69"/>
        <v>10.987965577732702</v>
      </c>
      <c r="AL132" s="1">
        <f t="shared" si="84"/>
        <v>0.12073538753743875</v>
      </c>
      <c r="AM132" s="1">
        <f t="shared" si="91"/>
        <v>0.26083200000000001</v>
      </c>
      <c r="AN132" s="136">
        <f t="shared" si="85"/>
        <v>0.19908266666666666</v>
      </c>
      <c r="AO132" s="133">
        <f t="shared" si="71"/>
        <v>0.58065005420410543</v>
      </c>
      <c r="AP132" s="132">
        <f t="shared" si="86"/>
        <v>0.72441232522463272</v>
      </c>
      <c r="AQ132" s="137">
        <f t="shared" si="87"/>
        <v>0.74252263335524837</v>
      </c>
      <c r="AR132" s="137">
        <f t="shared" si="88"/>
        <v>1.6152231232584866</v>
      </c>
      <c r="AS132" s="1">
        <f t="shared" si="89"/>
        <v>1.9759999999999996E-2</v>
      </c>
      <c r="AT132" s="133">
        <f t="shared" si="90"/>
        <v>0.08</v>
      </c>
      <c r="AU132" s="132">
        <f t="shared" si="72"/>
        <v>5.9222134238653323</v>
      </c>
      <c r="AV132" s="1">
        <f t="shared" si="73"/>
        <v>375.99999999999994</v>
      </c>
      <c r="AW132" s="133">
        <f t="shared" si="74"/>
        <v>98.449366594633574</v>
      </c>
    </row>
    <row r="133" spans="17:49" x14ac:dyDescent="0.15">
      <c r="Q133">
        <v>126</v>
      </c>
      <c r="R133" s="132">
        <f t="shared" si="46"/>
        <v>60</v>
      </c>
      <c r="S133" s="1">
        <f t="shared" si="47"/>
        <v>6.3167999999999997</v>
      </c>
      <c r="T133" s="1">
        <f t="shared" si="76"/>
        <v>20</v>
      </c>
      <c r="U133" s="133">
        <f t="shared" si="77"/>
        <v>18.950399999999998</v>
      </c>
      <c r="V133" s="132">
        <f>IF(Calculations!$B$17=3,2,IF((S133*R133/T133)&lt;((T133*(1-(T133/R133)))/(2*Lm*fsw)),1,2))</f>
        <v>2</v>
      </c>
      <c r="W133" s="1">
        <f t="shared" si="78"/>
        <v>0.66666666666666674</v>
      </c>
      <c r="X133" s="133">
        <f t="shared" si="79"/>
        <v>0.33333333333333326</v>
      </c>
      <c r="Y133" s="132">
        <f t="shared" si="80"/>
        <v>10.256410256410257</v>
      </c>
      <c r="Z133" s="1">
        <f t="shared" si="63"/>
        <v>24.078605128205126</v>
      </c>
      <c r="AA133" s="1">
        <f t="shared" si="64"/>
        <v>19.180297775903178</v>
      </c>
      <c r="AB133" s="1">
        <v>0</v>
      </c>
      <c r="AC133" s="1">
        <f t="shared" si="81"/>
        <v>0.75416183668324843</v>
      </c>
      <c r="AD133" s="133">
        <f t="shared" si="65"/>
        <v>0.75416183668324843</v>
      </c>
      <c r="AE133" s="132">
        <f t="shared" si="75"/>
        <v>12.633599999999999</v>
      </c>
      <c r="AF133" s="1">
        <f t="shared" si="66"/>
        <v>15.660647555200613</v>
      </c>
      <c r="AG133" s="1">
        <f t="shared" si="82"/>
        <v>0.24525588184821095</v>
      </c>
      <c r="AH133" s="1">
        <f t="shared" si="83"/>
        <v>1.1850570944278758</v>
      </c>
      <c r="AI133" s="133">
        <f t="shared" si="67"/>
        <v>1.4303129762760867</v>
      </c>
      <c r="AJ133" s="132">
        <f t="shared" si="68"/>
        <v>6.316799999999998</v>
      </c>
      <c r="AK133" s="1">
        <f t="shared" si="69"/>
        <v>11.073750084054879</v>
      </c>
      <c r="AL133" s="1">
        <f t="shared" si="84"/>
        <v>0.12262794092410545</v>
      </c>
      <c r="AM133" s="1">
        <f t="shared" si="91"/>
        <v>0.26083200000000001</v>
      </c>
      <c r="AN133" s="136">
        <f t="shared" si="85"/>
        <v>0.20033399466666668</v>
      </c>
      <c r="AO133" s="133">
        <f t="shared" si="71"/>
        <v>0.58379393559077219</v>
      </c>
      <c r="AP133" s="132">
        <f t="shared" si="86"/>
        <v>0.7357676455446327</v>
      </c>
      <c r="AQ133" s="137">
        <f t="shared" si="87"/>
        <v>0.75416183668324843</v>
      </c>
      <c r="AR133" s="137">
        <f t="shared" si="88"/>
        <v>1.6152231232584866</v>
      </c>
      <c r="AS133" s="1">
        <f t="shared" si="89"/>
        <v>1.9759999999999996E-2</v>
      </c>
      <c r="AT133" s="133">
        <f t="shared" si="90"/>
        <v>0.08</v>
      </c>
      <c r="AU133" s="132">
        <f t="shared" si="72"/>
        <v>5.9731813540364742</v>
      </c>
      <c r="AV133" s="1">
        <f t="shared" si="73"/>
        <v>379.00799999999998</v>
      </c>
      <c r="AW133" s="133">
        <f t="shared" si="74"/>
        <v>98.448448484409582</v>
      </c>
    </row>
    <row r="134" spans="17:49" x14ac:dyDescent="0.15">
      <c r="Q134">
        <v>127</v>
      </c>
      <c r="R134" s="132">
        <f t="shared" si="46"/>
        <v>60</v>
      </c>
      <c r="S134" s="1">
        <f t="shared" si="47"/>
        <v>6.3669333333333329</v>
      </c>
      <c r="T134" s="1">
        <f t="shared" si="76"/>
        <v>20</v>
      </c>
      <c r="U134" s="133">
        <f t="shared" si="77"/>
        <v>19.1008</v>
      </c>
      <c r="V134" s="132">
        <f>IF(Calculations!$B$17=3,2,IF((S134*R134/T134)&lt;((T134*(1-(T134/R134)))/(2*Lm*fsw)),1,2))</f>
        <v>2</v>
      </c>
      <c r="W134" s="1">
        <f t="shared" si="78"/>
        <v>0.66666666666666674</v>
      </c>
      <c r="X134" s="133">
        <f t="shared" si="79"/>
        <v>0.33333333333333326</v>
      </c>
      <c r="Y134" s="132">
        <f t="shared" si="80"/>
        <v>10.256410256410257</v>
      </c>
      <c r="Z134" s="1">
        <f t="shared" si="63"/>
        <v>24.229005128205127</v>
      </c>
      <c r="AA134" s="1">
        <f t="shared" si="64"/>
        <v>19.328909003156813</v>
      </c>
      <c r="AB134" s="1">
        <v>0</v>
      </c>
      <c r="AC134" s="1">
        <f t="shared" si="81"/>
        <v>0.76589378266724872</v>
      </c>
      <c r="AD134" s="133">
        <f t="shared" si="65"/>
        <v>0.76589378266724872</v>
      </c>
      <c r="AE134" s="132">
        <f t="shared" si="75"/>
        <v>12.733866666666668</v>
      </c>
      <c r="AF134" s="1">
        <f t="shared" si="66"/>
        <v>15.781988114140679</v>
      </c>
      <c r="AG134" s="1">
        <f t="shared" si="82"/>
        <v>0.24907114883487769</v>
      </c>
      <c r="AH134" s="1">
        <f t="shared" si="83"/>
        <v>1.1944623094630178</v>
      </c>
      <c r="AI134" s="133">
        <f t="shared" si="67"/>
        <v>1.4435334582978956</v>
      </c>
      <c r="AJ134" s="132">
        <f t="shared" si="68"/>
        <v>6.366933333333332</v>
      </c>
      <c r="AK134" s="1">
        <f t="shared" si="69"/>
        <v>11.159550816114365</v>
      </c>
      <c r="AL134" s="1">
        <f t="shared" si="84"/>
        <v>0.12453557441743879</v>
      </c>
      <c r="AM134" s="1">
        <f t="shared" si="91"/>
        <v>0.26083200000000001</v>
      </c>
      <c r="AN134" s="136">
        <f t="shared" si="85"/>
        <v>0.20158532266666668</v>
      </c>
      <c r="AO134" s="133">
        <f t="shared" si="71"/>
        <v>0.58695289708410547</v>
      </c>
      <c r="AP134" s="132">
        <f t="shared" si="86"/>
        <v>0.74721344650463306</v>
      </c>
      <c r="AQ134" s="137">
        <f t="shared" si="87"/>
        <v>0.76589378266724872</v>
      </c>
      <c r="AR134" s="137">
        <f t="shared" si="88"/>
        <v>1.6152231232584866</v>
      </c>
      <c r="AS134" s="1">
        <f t="shared" si="89"/>
        <v>1.9759999999999996E-2</v>
      </c>
      <c r="AT134" s="133">
        <f t="shared" si="90"/>
        <v>0.08</v>
      </c>
      <c r="AU134" s="132">
        <f t="shared" si="72"/>
        <v>6.0244704904796178</v>
      </c>
      <c r="AV134" s="1">
        <f t="shared" si="73"/>
        <v>382.01599999999996</v>
      </c>
      <c r="AW134" s="133">
        <f t="shared" si="74"/>
        <v>98.44746335791605</v>
      </c>
    </row>
    <row r="135" spans="17:49" x14ac:dyDescent="0.15">
      <c r="Q135">
        <v>128</v>
      </c>
      <c r="R135" s="132">
        <f t="shared" ref="R135:R157" si="92">VOUT</f>
        <v>60</v>
      </c>
      <c r="S135" s="1">
        <f t="shared" ref="S135:S157" si="93">Q135*$O$12</f>
        <v>6.417066666666666</v>
      </c>
      <c r="T135" s="1">
        <f t="shared" ref="T135:T157" si="94">Vin_vari</f>
        <v>20</v>
      </c>
      <c r="U135" s="133">
        <f t="shared" ref="U135:U157" si="95">(R135*S135)/(T135*EFF_est)</f>
        <v>19.251199999999997</v>
      </c>
      <c r="V135" s="132">
        <f>IF(Calculations!$B$17=3,2,IF((S135*R135/T135)&lt;((T135*(1-(T135/R135)))/(2*Lm*fsw)),1,2))</f>
        <v>2</v>
      </c>
      <c r="W135" s="1">
        <f t="shared" ref="W135:W157" si="96">CHOOSE(V135,SQRT((2*S135*Lm*fsw*(R135-T135))/((T135)^2)),1-(T135/R135))</f>
        <v>0.66666666666666674</v>
      </c>
      <c r="X135" s="133">
        <f t="shared" ref="X135:X157" si="97">CHOOSE(V135,(Lm*Z135*fsw)/(R135-T135),1-W135)</f>
        <v>0.33333333333333326</v>
      </c>
      <c r="Y135" s="132">
        <f t="shared" ref="Y135:Y157" si="98">(T135*W135)/(Lm*fsw)</f>
        <v>10.256410256410257</v>
      </c>
      <c r="Z135" s="1">
        <f t="shared" si="63"/>
        <v>24.379405128205125</v>
      </c>
      <c r="AA135" s="1">
        <f t="shared" si="64"/>
        <v>19.477547690926503</v>
      </c>
      <c r="AB135" s="1">
        <v>0</v>
      </c>
      <c r="AC135" s="1">
        <f t="shared" ref="AC135:AC157" si="99">(AA135^2)*Rdcr</f>
        <v>0.77771847130724847</v>
      </c>
      <c r="AD135" s="133">
        <f t="shared" si="65"/>
        <v>0.77771847130724847</v>
      </c>
      <c r="AE135" s="132">
        <f t="shared" si="75"/>
        <v>12.834133333333332</v>
      </c>
      <c r="AF135" s="1">
        <f t="shared" si="66"/>
        <v>15.903351094498216</v>
      </c>
      <c r="AG135" s="1">
        <f t="shared" ref="AG135:AG157" si="100">(AF135^2)*RDS_on</f>
        <v>0.2529165760348776</v>
      </c>
      <c r="AH135" s="1">
        <f t="shared" ref="AH135:AH157" si="101">((R135*U135)/2)*fsw*(tr_sw+tf_sw)</f>
        <v>1.2038675244981596</v>
      </c>
      <c r="AI135" s="133">
        <f t="shared" si="67"/>
        <v>1.4567841005330373</v>
      </c>
      <c r="AJ135" s="132">
        <f t="shared" si="68"/>
        <v>6.4170666666666643</v>
      </c>
      <c r="AK135" s="1">
        <f t="shared" si="69"/>
        <v>11.245367402510189</v>
      </c>
      <c r="AL135" s="1">
        <f t="shared" ref="AL135:AL157" si="102">(AK135^2)*RDS_on_HS</f>
        <v>0.12645828801743875</v>
      </c>
      <c r="AM135" s="1">
        <f t="shared" si="91"/>
        <v>0.26083200000000001</v>
      </c>
      <c r="AN135" s="136">
        <f t="shared" ref="AN135:AN157" si="103">Vd_rect*t_dead*fsw*Z135</f>
        <v>0.20283665066666667</v>
      </c>
      <c r="AO135" s="133">
        <f t="shared" si="71"/>
        <v>0.59012693868410548</v>
      </c>
      <c r="AP135" s="132">
        <f t="shared" ref="AP135:AP157" si="104">(AA135^2)*Rcs</f>
        <v>0.7587497281046327</v>
      </c>
      <c r="AQ135" s="137">
        <f t="shared" ref="AQ135:AQ157" si="105">Rdcr*AA135^2</f>
        <v>0.77771847130724847</v>
      </c>
      <c r="AR135" s="137">
        <f t="shared" ref="AR135:AR157" si="106">ABS(7.759*10^-3*fsw^0.9458*(0.00787*Y135)^2.304)</f>
        <v>1.6152231232584866</v>
      </c>
      <c r="AS135" s="1">
        <f t="shared" ref="AS135:AS157" si="107">(Qg_tot+Qg_tot_HS)*VCC*fsw</f>
        <v>1.9759999999999996E-2</v>
      </c>
      <c r="AT135" s="133">
        <f t="shared" ref="AT135:AT157" si="108">IQ*T135</f>
        <v>0.08</v>
      </c>
      <c r="AU135" s="132">
        <f t="shared" si="72"/>
        <v>6.0760808331947587</v>
      </c>
      <c r="AV135" s="1">
        <f t="shared" si="73"/>
        <v>385.02399999999994</v>
      </c>
      <c r="AW135" s="133">
        <f t="shared" si="74"/>
        <v>98.446412790237645</v>
      </c>
    </row>
    <row r="136" spans="17:49" x14ac:dyDescent="0.15">
      <c r="Q136">
        <v>129</v>
      </c>
      <c r="R136" s="132">
        <f t="shared" si="92"/>
        <v>60</v>
      </c>
      <c r="S136" s="1">
        <f t="shared" si="93"/>
        <v>6.4671999999999992</v>
      </c>
      <c r="T136" s="1">
        <f t="shared" si="94"/>
        <v>20</v>
      </c>
      <c r="U136" s="133">
        <f t="shared" si="95"/>
        <v>19.401599999999995</v>
      </c>
      <c r="V136" s="132">
        <f>IF(Calculations!$B$17=3,2,IF((S136*R136/T136)&lt;((T136*(1-(T136/R136)))/(2*Lm*fsw)),1,2))</f>
        <v>2</v>
      </c>
      <c r="W136" s="1">
        <f t="shared" si="96"/>
        <v>0.66666666666666674</v>
      </c>
      <c r="X136" s="133">
        <f t="shared" si="97"/>
        <v>0.33333333333333326</v>
      </c>
      <c r="Y136" s="132">
        <f t="shared" si="98"/>
        <v>10.256410256410257</v>
      </c>
      <c r="Z136" s="1">
        <f t="shared" ref="Z136:Z157" si="109">CHOOSE(V136,Y136,U136+(0.5*Y136))</f>
        <v>24.529805128205123</v>
      </c>
      <c r="AA136" s="1">
        <f t="shared" ref="AA136:AA157" si="110">CHOOSE(V136,Z136*SQRT((W136+X136)/3),SQRT((U136^2)+((Y136^2)/12)))</f>
        <v>19.626213215297451</v>
      </c>
      <c r="AB136" s="1">
        <v>0</v>
      </c>
      <c r="AC136" s="1">
        <f t="shared" si="99"/>
        <v>0.78963590260324834</v>
      </c>
      <c r="AD136" s="133">
        <f t="shared" ref="AD136:AD157" si="111">AB136+AC136</f>
        <v>0.78963590260324834</v>
      </c>
      <c r="AE136" s="132">
        <f t="shared" si="75"/>
        <v>12.934399999999998</v>
      </c>
      <c r="AF136" s="1">
        <f t="shared" ref="AF136:AF157" si="112">CHOOSE(V136,Z136*SQRT(W136/3),SQRT(W136*((Z136^2)+((Y136^2)/3)-(Z136*Y136))))</f>
        <v>16.024735986848921</v>
      </c>
      <c r="AG136" s="1">
        <f t="shared" si="100"/>
        <v>0.25679216344821082</v>
      </c>
      <c r="AH136" s="1">
        <f t="shared" si="101"/>
        <v>1.2132727395333012</v>
      </c>
      <c r="AI136" s="133">
        <f t="shared" ref="AI136:AI157" si="113">AG136+AH136</f>
        <v>1.470064902981512</v>
      </c>
      <c r="AJ136" s="132">
        <f t="shared" ref="AJ136:AJ156" si="114">X136*U136</f>
        <v>6.4671999999999965</v>
      </c>
      <c r="AK136" s="1">
        <f t="shared" ref="AK136:AK157" si="115">CHOOSE(V136,Z136*SQRT(X136/3),SQRT(X136*((Z136^2)+((Y136^2)/3)-(Y136*Z136))))</f>
        <v>11.331199483024971</v>
      </c>
      <c r="AL136" s="1">
        <f t="shared" si="102"/>
        <v>0.12839608172410535</v>
      </c>
      <c r="AM136" s="1">
        <f t="shared" ref="AM136:AM157" si="116">CHOOSE(V136,(R136+Vd_rect)*Qrr*fsw,(R136+Vd_rect)*Qrr*fsw)</f>
        <v>0.26083200000000001</v>
      </c>
      <c r="AN136" s="136">
        <f t="shared" si="103"/>
        <v>0.20408797866666664</v>
      </c>
      <c r="AO136" s="133">
        <f t="shared" ref="AO136:AO157" si="117">AL136+AM136+AN136</f>
        <v>0.593316060390772</v>
      </c>
      <c r="AP136" s="132">
        <f t="shared" si="104"/>
        <v>0.77037649034463263</v>
      </c>
      <c r="AQ136" s="137">
        <f t="shared" si="105"/>
        <v>0.78963590260324834</v>
      </c>
      <c r="AR136" s="137">
        <f t="shared" si="106"/>
        <v>1.6152231232584866</v>
      </c>
      <c r="AS136" s="1">
        <f t="shared" si="107"/>
        <v>1.9759999999999996E-2</v>
      </c>
      <c r="AT136" s="133">
        <f t="shared" si="108"/>
        <v>0.08</v>
      </c>
      <c r="AU136" s="132">
        <f t="shared" ref="AU136:AU157" si="118">AP136+AO136+AI136+AD136+AS136+AT136+AQ136+AR136</f>
        <v>6.1280123821818995</v>
      </c>
      <c r="AV136" s="1">
        <f t="shared" ref="AV136:AV157" si="119">R136*S136</f>
        <v>388.03199999999993</v>
      </c>
      <c r="AW136" s="133">
        <f t="shared" ref="AW136:AW156" si="120">(AV136/(AV136+AU136))*100</f>
        <v>98.445298307876001</v>
      </c>
    </row>
    <row r="137" spans="17:49" x14ac:dyDescent="0.15">
      <c r="Q137">
        <v>130</v>
      </c>
      <c r="R137" s="132">
        <f t="shared" si="92"/>
        <v>60</v>
      </c>
      <c r="S137" s="1">
        <f t="shared" si="93"/>
        <v>6.5173333333333323</v>
      </c>
      <c r="T137" s="1">
        <f t="shared" si="94"/>
        <v>20</v>
      </c>
      <c r="U137" s="133">
        <f t="shared" si="95"/>
        <v>19.552</v>
      </c>
      <c r="V137" s="132">
        <f>IF(Calculations!$B$17=3,2,IF((S137*R137/T137)&lt;((T137*(1-(T137/R137)))/(2*Lm*fsw)),1,2))</f>
        <v>2</v>
      </c>
      <c r="W137" s="1">
        <f t="shared" si="96"/>
        <v>0.66666666666666674</v>
      </c>
      <c r="X137" s="133">
        <f t="shared" si="97"/>
        <v>0.33333333333333326</v>
      </c>
      <c r="Y137" s="132">
        <f t="shared" si="98"/>
        <v>10.256410256410257</v>
      </c>
      <c r="Z137" s="1">
        <f t="shared" si="109"/>
        <v>24.680205128205127</v>
      </c>
      <c r="AA137" s="1">
        <f t="shared" si="110"/>
        <v>19.774904971005967</v>
      </c>
      <c r="AB137" s="1">
        <v>0</v>
      </c>
      <c r="AC137" s="1">
        <f t="shared" si="99"/>
        <v>0.80164607655524867</v>
      </c>
      <c r="AD137" s="133">
        <f t="shared" si="111"/>
        <v>0.80164607655524867</v>
      </c>
      <c r="AE137" s="132">
        <f t="shared" ref="AE137:AE157" si="121">U137*W137</f>
        <v>13.034666666666668</v>
      </c>
      <c r="AF137" s="1">
        <f t="shared" si="112"/>
        <v>16.146142296997066</v>
      </c>
      <c r="AG137" s="1">
        <f t="shared" si="100"/>
        <v>0.26069791107487772</v>
      </c>
      <c r="AH137" s="1">
        <f t="shared" si="101"/>
        <v>1.2226779545684432</v>
      </c>
      <c r="AI137" s="133">
        <f t="shared" si="113"/>
        <v>1.4833758656433209</v>
      </c>
      <c r="AJ137" s="132">
        <f t="shared" si="114"/>
        <v>6.5173333333333314</v>
      </c>
      <c r="AK137" s="1">
        <f t="shared" si="115"/>
        <v>11.417046708209561</v>
      </c>
      <c r="AL137" s="1">
        <f t="shared" si="102"/>
        <v>0.13034895553743878</v>
      </c>
      <c r="AM137" s="1">
        <f t="shared" si="116"/>
        <v>0.26083200000000001</v>
      </c>
      <c r="AN137" s="136">
        <f t="shared" si="103"/>
        <v>0.20533930666666669</v>
      </c>
      <c r="AO137" s="133">
        <f t="shared" si="117"/>
        <v>0.59652026220410548</v>
      </c>
      <c r="AP137" s="132">
        <f t="shared" si="104"/>
        <v>0.78209373322463294</v>
      </c>
      <c r="AQ137" s="137">
        <f t="shared" si="105"/>
        <v>0.80164607655524867</v>
      </c>
      <c r="AR137" s="137">
        <f t="shared" si="106"/>
        <v>1.6152231232584866</v>
      </c>
      <c r="AS137" s="1">
        <f t="shared" si="107"/>
        <v>1.9759999999999996E-2</v>
      </c>
      <c r="AT137" s="133">
        <f t="shared" si="108"/>
        <v>0.08</v>
      </c>
      <c r="AU137" s="132">
        <f t="shared" si="118"/>
        <v>6.1802651374410429</v>
      </c>
      <c r="AV137" s="1">
        <f t="shared" si="119"/>
        <v>391.03999999999996</v>
      </c>
      <c r="AW137" s="133">
        <f t="shared" si="120"/>
        <v>98.444121390608657</v>
      </c>
    </row>
    <row r="138" spans="17:49" x14ac:dyDescent="0.15">
      <c r="Q138">
        <v>131</v>
      </c>
      <c r="R138" s="132">
        <f t="shared" si="92"/>
        <v>60</v>
      </c>
      <c r="S138" s="1">
        <f t="shared" si="93"/>
        <v>6.5674666666666663</v>
      </c>
      <c r="T138" s="1">
        <f t="shared" si="94"/>
        <v>20</v>
      </c>
      <c r="U138" s="133">
        <f t="shared" si="95"/>
        <v>19.702400000000001</v>
      </c>
      <c r="V138" s="132">
        <f>IF(Calculations!$B$17=3,2,IF((S138*R138/T138)&lt;((T138*(1-(T138/R138)))/(2*Lm*fsw)),1,2))</f>
        <v>2</v>
      </c>
      <c r="W138" s="1">
        <f t="shared" si="96"/>
        <v>0.66666666666666674</v>
      </c>
      <c r="X138" s="133">
        <f t="shared" si="97"/>
        <v>0.33333333333333326</v>
      </c>
      <c r="Y138" s="132">
        <f t="shared" si="98"/>
        <v>10.256410256410257</v>
      </c>
      <c r="Z138" s="1">
        <f t="shared" si="109"/>
        <v>24.830605128205129</v>
      </c>
      <c r="AA138" s="1">
        <f t="shared" si="110"/>
        <v>19.923622370751673</v>
      </c>
      <c r="AB138" s="1">
        <v>0</v>
      </c>
      <c r="AC138" s="1">
        <f t="shared" si="99"/>
        <v>0.81374899316324878</v>
      </c>
      <c r="AD138" s="133">
        <f t="shared" si="111"/>
        <v>0.81374899316324878</v>
      </c>
      <c r="AE138" s="132">
        <f t="shared" si="121"/>
        <v>13.134933333333334</v>
      </c>
      <c r="AF138" s="1">
        <f t="shared" si="112"/>
        <v>16.267569545413895</v>
      </c>
      <c r="AG138" s="1">
        <f t="shared" si="100"/>
        <v>0.26463381891487764</v>
      </c>
      <c r="AH138" s="1">
        <f t="shared" si="101"/>
        <v>1.2320831696035852</v>
      </c>
      <c r="AI138" s="133">
        <f t="shared" si="113"/>
        <v>1.4967169885184628</v>
      </c>
      <c r="AJ138" s="132">
        <f t="shared" si="114"/>
        <v>6.5674666666666655</v>
      </c>
      <c r="AK138" s="1">
        <f t="shared" si="115"/>
        <v>11.502908738985926</v>
      </c>
      <c r="AL138" s="1">
        <f t="shared" si="102"/>
        <v>0.13231690945743879</v>
      </c>
      <c r="AM138" s="1">
        <f t="shared" si="116"/>
        <v>0.26083200000000001</v>
      </c>
      <c r="AN138" s="136">
        <f t="shared" si="103"/>
        <v>0.20659063466666669</v>
      </c>
      <c r="AO138" s="133">
        <f t="shared" si="117"/>
        <v>0.59973954412410546</v>
      </c>
      <c r="AP138" s="132">
        <f t="shared" si="104"/>
        <v>0.79390145674463308</v>
      </c>
      <c r="AQ138" s="137">
        <f t="shared" si="105"/>
        <v>0.81374899316324878</v>
      </c>
      <c r="AR138" s="137">
        <f t="shared" si="106"/>
        <v>1.6152231232584866</v>
      </c>
      <c r="AS138" s="1">
        <f t="shared" si="107"/>
        <v>1.9759999999999996E-2</v>
      </c>
      <c r="AT138" s="133">
        <f t="shared" si="108"/>
        <v>0.08</v>
      </c>
      <c r="AU138" s="132">
        <f t="shared" si="118"/>
        <v>6.2328390989721854</v>
      </c>
      <c r="AV138" s="1">
        <f t="shared" si="119"/>
        <v>394.048</v>
      </c>
      <c r="AW138" s="133">
        <f t="shared" si="120"/>
        <v>98.442883473262867</v>
      </c>
    </row>
    <row r="139" spans="17:49" x14ac:dyDescent="0.15">
      <c r="Q139">
        <v>132</v>
      </c>
      <c r="R139" s="132">
        <f t="shared" si="92"/>
        <v>60</v>
      </c>
      <c r="S139" s="1">
        <f t="shared" si="93"/>
        <v>6.6175999999999995</v>
      </c>
      <c r="T139" s="1">
        <f t="shared" si="94"/>
        <v>20</v>
      </c>
      <c r="U139" s="133">
        <f t="shared" si="95"/>
        <v>19.852799999999998</v>
      </c>
      <c r="V139" s="132">
        <f>IF(Calculations!$B$17=3,2,IF((S139*R139/T139)&lt;((T139*(1-(T139/R139)))/(2*Lm*fsw)),1,2))</f>
        <v>2</v>
      </c>
      <c r="W139" s="1">
        <f t="shared" si="96"/>
        <v>0.66666666666666674</v>
      </c>
      <c r="X139" s="133">
        <f t="shared" si="97"/>
        <v>0.33333333333333326</v>
      </c>
      <c r="Y139" s="132">
        <f t="shared" si="98"/>
        <v>10.256410256410257</v>
      </c>
      <c r="Z139" s="1">
        <f t="shared" si="109"/>
        <v>24.981005128205126</v>
      </c>
      <c r="AA139" s="1">
        <f t="shared" si="110"/>
        <v>20.072364844539777</v>
      </c>
      <c r="AB139" s="1">
        <v>0</v>
      </c>
      <c r="AC139" s="1">
        <f t="shared" si="99"/>
        <v>0.82594465242724835</v>
      </c>
      <c r="AD139" s="133">
        <f t="shared" si="111"/>
        <v>0.82594465242724835</v>
      </c>
      <c r="AE139" s="132">
        <f t="shared" si="121"/>
        <v>13.235200000000001</v>
      </c>
      <c r="AF139" s="1">
        <f t="shared" si="112"/>
        <v>16.389017266700616</v>
      </c>
      <c r="AG139" s="1">
        <f t="shared" si="100"/>
        <v>0.26859988696821091</v>
      </c>
      <c r="AH139" s="1">
        <f t="shared" si="101"/>
        <v>1.241488384638727</v>
      </c>
      <c r="AI139" s="133">
        <f t="shared" si="113"/>
        <v>1.5100882716069379</v>
      </c>
      <c r="AJ139" s="132">
        <f t="shared" si="114"/>
        <v>6.6175999999999977</v>
      </c>
      <c r="AK139" s="1">
        <f t="shared" si="115"/>
        <v>11.58878524626742</v>
      </c>
      <c r="AL139" s="1">
        <f t="shared" si="102"/>
        <v>0.13429994348410543</v>
      </c>
      <c r="AM139" s="1">
        <f t="shared" si="116"/>
        <v>0.26083200000000001</v>
      </c>
      <c r="AN139" s="136">
        <f t="shared" si="103"/>
        <v>0.20784196266666669</v>
      </c>
      <c r="AO139" s="133">
        <f t="shared" si="117"/>
        <v>0.60297390615077207</v>
      </c>
      <c r="AP139" s="132">
        <f t="shared" si="104"/>
        <v>0.80579966090463273</v>
      </c>
      <c r="AQ139" s="137">
        <f t="shared" si="105"/>
        <v>0.82594465242724835</v>
      </c>
      <c r="AR139" s="137">
        <f t="shared" si="106"/>
        <v>1.6152231232584866</v>
      </c>
      <c r="AS139" s="1">
        <f t="shared" si="107"/>
        <v>1.9759999999999996E-2</v>
      </c>
      <c r="AT139" s="133">
        <f t="shared" si="108"/>
        <v>0.08</v>
      </c>
      <c r="AU139" s="132">
        <f t="shared" si="118"/>
        <v>6.285734266775326</v>
      </c>
      <c r="AV139" s="1">
        <f t="shared" si="119"/>
        <v>397.05599999999998</v>
      </c>
      <c r="AW139" s="133">
        <f t="shared" si="120"/>
        <v>98.441585947409578</v>
      </c>
    </row>
    <row r="140" spans="17:49" x14ac:dyDescent="0.15">
      <c r="Q140">
        <v>133</v>
      </c>
      <c r="R140" s="132">
        <f t="shared" si="92"/>
        <v>60</v>
      </c>
      <c r="S140" s="1">
        <f t="shared" si="93"/>
        <v>6.6677333333333326</v>
      </c>
      <c r="T140" s="1">
        <f t="shared" si="94"/>
        <v>20</v>
      </c>
      <c r="U140" s="133">
        <f t="shared" si="95"/>
        <v>20.0032</v>
      </c>
      <c r="V140" s="132">
        <f>IF(Calculations!$B$17=3,2,IF((S140*R140/T140)&lt;((T140*(1-(T140/R140)))/(2*Lm*fsw)),1,2))</f>
        <v>2</v>
      </c>
      <c r="W140" s="1">
        <f t="shared" si="96"/>
        <v>0.66666666666666674</v>
      </c>
      <c r="X140" s="133">
        <f t="shared" si="97"/>
        <v>0.33333333333333326</v>
      </c>
      <c r="Y140" s="132">
        <f t="shared" si="98"/>
        <v>10.256410256410257</v>
      </c>
      <c r="Z140" s="1">
        <f t="shared" si="109"/>
        <v>25.131405128205127</v>
      </c>
      <c r="AA140" s="1">
        <f t="shared" si="110"/>
        <v>20.22113183905185</v>
      </c>
      <c r="AB140" s="1">
        <v>0</v>
      </c>
      <c r="AC140" s="1">
        <f t="shared" si="99"/>
        <v>0.8382330543472486</v>
      </c>
      <c r="AD140" s="133">
        <f t="shared" si="111"/>
        <v>0.8382330543472486</v>
      </c>
      <c r="AE140" s="132">
        <f t="shared" si="121"/>
        <v>13.335466666666669</v>
      </c>
      <c r="AF140" s="1">
        <f t="shared" si="112"/>
        <v>16.510485009074618</v>
      </c>
      <c r="AG140" s="1">
        <f t="shared" si="100"/>
        <v>0.2725961152348777</v>
      </c>
      <c r="AH140" s="1">
        <f t="shared" si="101"/>
        <v>1.2508935996738688</v>
      </c>
      <c r="AI140" s="133">
        <f t="shared" si="113"/>
        <v>1.5234897149087465</v>
      </c>
      <c r="AJ140" s="132">
        <f t="shared" si="114"/>
        <v>6.6677333333333317</v>
      </c>
      <c r="AK140" s="1">
        <f t="shared" si="115"/>
        <v>11.674675910595495</v>
      </c>
      <c r="AL140" s="1">
        <f t="shared" si="102"/>
        <v>0.13629805761743874</v>
      </c>
      <c r="AM140" s="1">
        <f t="shared" si="116"/>
        <v>0.26083200000000001</v>
      </c>
      <c r="AN140" s="136">
        <f t="shared" si="103"/>
        <v>0.20909329066666668</v>
      </c>
      <c r="AO140" s="133">
        <f t="shared" si="117"/>
        <v>0.6062233482841054</v>
      </c>
      <c r="AP140" s="132">
        <f t="shared" si="104"/>
        <v>0.81778834570463288</v>
      </c>
      <c r="AQ140" s="137">
        <f t="shared" si="105"/>
        <v>0.8382330543472486</v>
      </c>
      <c r="AR140" s="137">
        <f t="shared" si="106"/>
        <v>1.6152231232584866</v>
      </c>
      <c r="AS140" s="1">
        <f t="shared" si="107"/>
        <v>1.9759999999999996E-2</v>
      </c>
      <c r="AT140" s="133">
        <f t="shared" si="108"/>
        <v>0.08</v>
      </c>
      <c r="AU140" s="132">
        <f t="shared" si="118"/>
        <v>6.3389506408504683</v>
      </c>
      <c r="AV140" s="1">
        <f t="shared" si="119"/>
        <v>400.06399999999996</v>
      </c>
      <c r="AW140" s="133">
        <f t="shared" si="120"/>
        <v>98.440230162981194</v>
      </c>
    </row>
    <row r="141" spans="17:49" x14ac:dyDescent="0.15">
      <c r="Q141">
        <v>134</v>
      </c>
      <c r="R141" s="132">
        <f t="shared" si="92"/>
        <v>60</v>
      </c>
      <c r="S141" s="1">
        <f t="shared" si="93"/>
        <v>6.7178666666666658</v>
      </c>
      <c r="T141" s="1">
        <f t="shared" si="94"/>
        <v>20</v>
      </c>
      <c r="U141" s="133">
        <f t="shared" si="95"/>
        <v>20.153599999999997</v>
      </c>
      <c r="V141" s="132">
        <f>IF(Calculations!$B$17=3,2,IF((S141*R141/T141)&lt;((T141*(1-(T141/R141)))/(2*Lm*fsw)),1,2))</f>
        <v>2</v>
      </c>
      <c r="W141" s="1">
        <f t="shared" si="96"/>
        <v>0.66666666666666674</v>
      </c>
      <c r="X141" s="133">
        <f t="shared" si="97"/>
        <v>0.33333333333333326</v>
      </c>
      <c r="Y141" s="132">
        <f t="shared" si="98"/>
        <v>10.256410256410257</v>
      </c>
      <c r="Z141" s="1">
        <f t="shared" si="109"/>
        <v>25.281805128205125</v>
      </c>
      <c r="AA141" s="1">
        <f t="shared" si="110"/>
        <v>20.369922817043669</v>
      </c>
      <c r="AB141" s="1">
        <v>0</v>
      </c>
      <c r="AC141" s="1">
        <f t="shared" si="99"/>
        <v>0.8506141989232483</v>
      </c>
      <c r="AD141" s="133">
        <f t="shared" si="111"/>
        <v>0.8506141989232483</v>
      </c>
      <c r="AE141" s="132">
        <f t="shared" si="121"/>
        <v>13.435733333333333</v>
      </c>
      <c r="AF141" s="1">
        <f t="shared" si="112"/>
        <v>16.631972333877833</v>
      </c>
      <c r="AG141" s="1">
        <f t="shared" si="100"/>
        <v>0.27662250371487768</v>
      </c>
      <c r="AH141" s="1">
        <f t="shared" si="101"/>
        <v>1.2602988147090108</v>
      </c>
      <c r="AI141" s="133">
        <f t="shared" si="113"/>
        <v>1.5369213184238886</v>
      </c>
      <c r="AJ141" s="132">
        <f t="shared" si="114"/>
        <v>6.717866666666664</v>
      </c>
      <c r="AK141" s="1">
        <f t="shared" si="115"/>
        <v>11.760580421792062</v>
      </c>
      <c r="AL141" s="1">
        <f t="shared" si="102"/>
        <v>0.13831125185743876</v>
      </c>
      <c r="AM141" s="1">
        <f t="shared" si="116"/>
        <v>0.26083200000000001</v>
      </c>
      <c r="AN141" s="136">
        <f t="shared" si="103"/>
        <v>0.21034461866666668</v>
      </c>
      <c r="AO141" s="133">
        <f t="shared" si="117"/>
        <v>0.60948787052410547</v>
      </c>
      <c r="AP141" s="132">
        <f t="shared" si="104"/>
        <v>0.82986751114463253</v>
      </c>
      <c r="AQ141" s="137">
        <f t="shared" si="105"/>
        <v>0.8506141989232483</v>
      </c>
      <c r="AR141" s="137">
        <f t="shared" si="106"/>
        <v>1.6152231232584866</v>
      </c>
      <c r="AS141" s="1">
        <f t="shared" si="107"/>
        <v>1.9759999999999996E-2</v>
      </c>
      <c r="AT141" s="133">
        <f t="shared" si="108"/>
        <v>0.08</v>
      </c>
      <c r="AU141" s="132">
        <f t="shared" si="118"/>
        <v>6.3924882211976097</v>
      </c>
      <c r="AV141" s="1">
        <f t="shared" si="119"/>
        <v>403.07199999999995</v>
      </c>
      <c r="AW141" s="133">
        <f t="shared" si="120"/>
        <v>98.438817429817178</v>
      </c>
    </row>
    <row r="142" spans="17:49" x14ac:dyDescent="0.15">
      <c r="Q142">
        <v>135</v>
      </c>
      <c r="R142" s="132">
        <f t="shared" si="92"/>
        <v>60</v>
      </c>
      <c r="S142" s="1">
        <f t="shared" si="93"/>
        <v>6.7679999999999989</v>
      </c>
      <c r="T142" s="1">
        <f t="shared" si="94"/>
        <v>20</v>
      </c>
      <c r="U142" s="133">
        <f t="shared" si="95"/>
        <v>20.303999999999995</v>
      </c>
      <c r="V142" s="132">
        <f>IF(Calculations!$B$17=3,2,IF((S142*R142/T142)&lt;((T142*(1-(T142/R142)))/(2*Lm*fsw)),1,2))</f>
        <v>2</v>
      </c>
      <c r="W142" s="1">
        <f t="shared" si="96"/>
        <v>0.66666666666666674</v>
      </c>
      <c r="X142" s="133">
        <f t="shared" si="97"/>
        <v>0.33333333333333326</v>
      </c>
      <c r="Y142" s="132">
        <f t="shared" si="98"/>
        <v>10.256410256410257</v>
      </c>
      <c r="Z142" s="1">
        <f t="shared" si="109"/>
        <v>25.432205128205123</v>
      </c>
      <c r="AA142" s="1">
        <f t="shared" si="110"/>
        <v>20.518737256768905</v>
      </c>
      <c r="AB142" s="1">
        <v>0</v>
      </c>
      <c r="AC142" s="1">
        <f t="shared" si="99"/>
        <v>0.86308808615524835</v>
      </c>
      <c r="AD142" s="133">
        <f t="shared" si="111"/>
        <v>0.86308808615524835</v>
      </c>
      <c r="AE142" s="132">
        <f t="shared" si="121"/>
        <v>13.535999999999998</v>
      </c>
      <c r="AF142" s="1">
        <f t="shared" si="112"/>
        <v>16.75347881510616</v>
      </c>
      <c r="AG142" s="1">
        <f t="shared" si="100"/>
        <v>0.28067905240821089</v>
      </c>
      <c r="AH142" s="1">
        <f t="shared" si="101"/>
        <v>1.2697040297441524</v>
      </c>
      <c r="AI142" s="133">
        <f t="shared" si="113"/>
        <v>1.5503830821523632</v>
      </c>
      <c r="AJ142" s="132">
        <f t="shared" si="114"/>
        <v>6.7679999999999971</v>
      </c>
      <c r="AK142" s="1">
        <f t="shared" si="115"/>
        <v>11.846498478626728</v>
      </c>
      <c r="AL142" s="1">
        <f t="shared" si="102"/>
        <v>0.14033952620410536</v>
      </c>
      <c r="AM142" s="1">
        <f t="shared" si="116"/>
        <v>0.26083200000000001</v>
      </c>
      <c r="AN142" s="136">
        <f t="shared" si="103"/>
        <v>0.21159594666666665</v>
      </c>
      <c r="AO142" s="133">
        <f t="shared" si="117"/>
        <v>0.61276747287077193</v>
      </c>
      <c r="AP142" s="132">
        <f t="shared" si="104"/>
        <v>0.84203715722463268</v>
      </c>
      <c r="AQ142" s="137">
        <f t="shared" si="105"/>
        <v>0.86308808615524835</v>
      </c>
      <c r="AR142" s="137">
        <f t="shared" si="106"/>
        <v>1.6152231232584866</v>
      </c>
      <c r="AS142" s="1">
        <f t="shared" si="107"/>
        <v>1.9759999999999996E-2</v>
      </c>
      <c r="AT142" s="133">
        <f t="shared" si="108"/>
        <v>0.08</v>
      </c>
      <c r="AU142" s="132">
        <f t="shared" si="118"/>
        <v>6.4463470078167511</v>
      </c>
      <c r="AV142" s="1">
        <f t="shared" si="119"/>
        <v>406.07999999999993</v>
      </c>
      <c r="AW142" s="133">
        <f t="shared" si="120"/>
        <v>98.437349019141649</v>
      </c>
    </row>
    <row r="143" spans="17:49" x14ac:dyDescent="0.15">
      <c r="Q143">
        <v>136</v>
      </c>
      <c r="R143" s="132">
        <f t="shared" si="92"/>
        <v>60</v>
      </c>
      <c r="S143" s="1">
        <f t="shared" si="93"/>
        <v>6.8181333333333329</v>
      </c>
      <c r="T143" s="1">
        <f t="shared" si="94"/>
        <v>20</v>
      </c>
      <c r="U143" s="133">
        <f t="shared" si="95"/>
        <v>20.4544</v>
      </c>
      <c r="V143" s="132">
        <f>IF(Calculations!$B$17=3,2,IF((S143*R143/T143)&lt;((T143*(1-(T143/R143)))/(2*Lm*fsw)),1,2))</f>
        <v>2</v>
      </c>
      <c r="W143" s="1">
        <f t="shared" si="96"/>
        <v>0.66666666666666674</v>
      </c>
      <c r="X143" s="133">
        <f t="shared" si="97"/>
        <v>0.33333333333333326</v>
      </c>
      <c r="Y143" s="132">
        <f t="shared" si="98"/>
        <v>10.256410256410257</v>
      </c>
      <c r="Z143" s="1">
        <f t="shared" si="109"/>
        <v>25.582605128205127</v>
      </c>
      <c r="AA143" s="1">
        <f t="shared" si="110"/>
        <v>20.667574651427209</v>
      </c>
      <c r="AB143" s="1">
        <v>0</v>
      </c>
      <c r="AC143" s="1">
        <f t="shared" si="99"/>
        <v>0.87565471604324874</v>
      </c>
      <c r="AD143" s="133">
        <f t="shared" si="111"/>
        <v>0.87565471604324874</v>
      </c>
      <c r="AE143" s="132">
        <f t="shared" si="121"/>
        <v>13.636266666666668</v>
      </c>
      <c r="AF143" s="1">
        <f t="shared" si="112"/>
        <v>16.875004038958856</v>
      </c>
      <c r="AG143" s="1">
        <f t="shared" si="100"/>
        <v>0.28476576131487769</v>
      </c>
      <c r="AH143" s="1">
        <f t="shared" si="101"/>
        <v>1.2791092447792944</v>
      </c>
      <c r="AI143" s="133">
        <f t="shared" si="113"/>
        <v>1.5638750060941722</v>
      </c>
      <c r="AJ143" s="132">
        <f t="shared" si="114"/>
        <v>6.818133333333332</v>
      </c>
      <c r="AK143" s="1">
        <f t="shared" si="115"/>
        <v>11.932429788498183</v>
      </c>
      <c r="AL143" s="1">
        <f t="shared" si="102"/>
        <v>0.14238288065743879</v>
      </c>
      <c r="AM143" s="1">
        <f t="shared" si="116"/>
        <v>0.26083200000000001</v>
      </c>
      <c r="AN143" s="136">
        <f t="shared" si="103"/>
        <v>0.2128472746666667</v>
      </c>
      <c r="AO143" s="133">
        <f t="shared" si="117"/>
        <v>0.61606215532410546</v>
      </c>
      <c r="AP143" s="132">
        <f t="shared" si="104"/>
        <v>0.854297283944633</v>
      </c>
      <c r="AQ143" s="137">
        <f t="shared" si="105"/>
        <v>0.87565471604324874</v>
      </c>
      <c r="AR143" s="137">
        <f t="shared" si="106"/>
        <v>1.6152231232584866</v>
      </c>
      <c r="AS143" s="1">
        <f t="shared" si="107"/>
        <v>1.9759999999999996E-2</v>
      </c>
      <c r="AT143" s="133">
        <f t="shared" si="108"/>
        <v>0.08</v>
      </c>
      <c r="AU143" s="132">
        <f t="shared" si="118"/>
        <v>6.5005270007078941</v>
      </c>
      <c r="AV143" s="1">
        <f t="shared" si="119"/>
        <v>409.08799999999997</v>
      </c>
      <c r="AW143" s="133">
        <f t="shared" si="120"/>
        <v>98.435826164975708</v>
      </c>
    </row>
    <row r="144" spans="17:49" x14ac:dyDescent="0.15">
      <c r="Q144">
        <v>137</v>
      </c>
      <c r="R144" s="132">
        <f t="shared" si="92"/>
        <v>60</v>
      </c>
      <c r="S144" s="1">
        <f t="shared" si="93"/>
        <v>6.8682666666666661</v>
      </c>
      <c r="T144" s="1">
        <f t="shared" si="94"/>
        <v>20</v>
      </c>
      <c r="U144" s="133">
        <f t="shared" si="95"/>
        <v>20.604799999999997</v>
      </c>
      <c r="V144" s="132">
        <f>IF(Calculations!$B$17=3,2,IF((S144*R144/T144)&lt;((T144*(1-(T144/R144)))/(2*Lm*fsw)),1,2))</f>
        <v>2</v>
      </c>
      <c r="W144" s="1">
        <f t="shared" si="96"/>
        <v>0.66666666666666674</v>
      </c>
      <c r="X144" s="133">
        <f t="shared" si="97"/>
        <v>0.33333333333333326</v>
      </c>
      <c r="Y144" s="132">
        <f t="shared" si="98"/>
        <v>10.256410256410257</v>
      </c>
      <c r="Z144" s="1">
        <f t="shared" si="109"/>
        <v>25.733005128205125</v>
      </c>
      <c r="AA144" s="1">
        <f t="shared" si="110"/>
        <v>20.816434508635631</v>
      </c>
      <c r="AB144" s="1">
        <v>0</v>
      </c>
      <c r="AC144" s="1">
        <f t="shared" si="99"/>
        <v>0.88831408858724836</v>
      </c>
      <c r="AD144" s="133">
        <f t="shared" si="111"/>
        <v>0.88831408858724836</v>
      </c>
      <c r="AE144" s="132">
        <f t="shared" si="121"/>
        <v>13.736533333333334</v>
      </c>
      <c r="AF144" s="1">
        <f t="shared" si="112"/>
        <v>16.996547603406924</v>
      </c>
      <c r="AG144" s="1">
        <f t="shared" si="100"/>
        <v>0.28888263043487761</v>
      </c>
      <c r="AH144" s="1">
        <f t="shared" si="101"/>
        <v>1.2885144598144362</v>
      </c>
      <c r="AI144" s="133">
        <f t="shared" si="113"/>
        <v>1.5773970902493137</v>
      </c>
      <c r="AJ144" s="132">
        <f t="shared" si="114"/>
        <v>6.8682666666666643</v>
      </c>
      <c r="AK144" s="1">
        <f t="shared" si="115"/>
        <v>12.018374067128995</v>
      </c>
      <c r="AL144" s="1">
        <f t="shared" si="102"/>
        <v>0.14444131521743875</v>
      </c>
      <c r="AM144" s="1">
        <f t="shared" si="116"/>
        <v>0.26083200000000001</v>
      </c>
      <c r="AN144" s="136">
        <f t="shared" si="103"/>
        <v>0.21409860266666667</v>
      </c>
      <c r="AO144" s="133">
        <f t="shared" si="117"/>
        <v>0.61937191788410539</v>
      </c>
      <c r="AP144" s="132">
        <f t="shared" si="104"/>
        <v>0.86664789130463271</v>
      </c>
      <c r="AQ144" s="137">
        <f t="shared" si="105"/>
        <v>0.88831408858724836</v>
      </c>
      <c r="AR144" s="137">
        <f t="shared" si="106"/>
        <v>1.6152231232584866</v>
      </c>
      <c r="AS144" s="1">
        <f t="shared" si="107"/>
        <v>1.9759999999999996E-2</v>
      </c>
      <c r="AT144" s="133">
        <f t="shared" si="108"/>
        <v>0.08</v>
      </c>
      <c r="AU144" s="132">
        <f t="shared" si="118"/>
        <v>6.5550281998710345</v>
      </c>
      <c r="AV144" s="1">
        <f t="shared" si="119"/>
        <v>412.09599999999995</v>
      </c>
      <c r="AW144" s="133">
        <f t="shared" si="120"/>
        <v>98.434250065488541</v>
      </c>
    </row>
    <row r="145" spans="17:49" x14ac:dyDescent="0.15">
      <c r="Q145">
        <v>138</v>
      </c>
      <c r="R145" s="132">
        <f t="shared" si="92"/>
        <v>60</v>
      </c>
      <c r="S145" s="1">
        <f t="shared" si="93"/>
        <v>6.9183999999999992</v>
      </c>
      <c r="T145" s="1">
        <f t="shared" si="94"/>
        <v>20</v>
      </c>
      <c r="U145" s="133">
        <f t="shared" si="95"/>
        <v>20.755199999999995</v>
      </c>
      <c r="V145" s="132">
        <f>IF(Calculations!$B$17=3,2,IF((S145*R145/T145)&lt;((T145*(1-(T145/R145)))/(2*Lm*fsw)),1,2))</f>
        <v>2</v>
      </c>
      <c r="W145" s="1">
        <f t="shared" si="96"/>
        <v>0.66666666666666674</v>
      </c>
      <c r="X145" s="133">
        <f t="shared" si="97"/>
        <v>0.33333333333333326</v>
      </c>
      <c r="Y145" s="132">
        <f t="shared" si="98"/>
        <v>10.256410256410257</v>
      </c>
      <c r="Z145" s="1">
        <f t="shared" si="109"/>
        <v>25.883405128205123</v>
      </c>
      <c r="AA145" s="1">
        <f t="shared" si="110"/>
        <v>20.965316349922226</v>
      </c>
      <c r="AB145" s="1">
        <v>0</v>
      </c>
      <c r="AC145" s="1">
        <f t="shared" si="99"/>
        <v>0.90106620378724811</v>
      </c>
      <c r="AD145" s="133">
        <f t="shared" si="111"/>
        <v>0.90106620378724811</v>
      </c>
      <c r="AE145" s="132">
        <f t="shared" si="121"/>
        <v>13.836799999999998</v>
      </c>
      <c r="AF145" s="1">
        <f t="shared" si="112"/>
        <v>17.11810911777965</v>
      </c>
      <c r="AG145" s="1">
        <f t="shared" si="100"/>
        <v>0.29302965976821077</v>
      </c>
      <c r="AH145" s="1">
        <f t="shared" si="101"/>
        <v>1.297919674849578</v>
      </c>
      <c r="AI145" s="133">
        <f t="shared" si="113"/>
        <v>1.5909493346177888</v>
      </c>
      <c r="AJ145" s="132">
        <f t="shared" si="114"/>
        <v>6.9183999999999966</v>
      </c>
      <c r="AK145" s="1">
        <f t="shared" si="115"/>
        <v>12.104331038273259</v>
      </c>
      <c r="AL145" s="1">
        <f t="shared" si="102"/>
        <v>0.14651482988410539</v>
      </c>
      <c r="AM145" s="1">
        <f t="shared" si="116"/>
        <v>0.26083200000000001</v>
      </c>
      <c r="AN145" s="136">
        <f t="shared" si="103"/>
        <v>0.21534993066666663</v>
      </c>
      <c r="AO145" s="133">
        <f t="shared" si="117"/>
        <v>0.62269676055077205</v>
      </c>
      <c r="AP145" s="132">
        <f t="shared" si="104"/>
        <v>0.87908897930463237</v>
      </c>
      <c r="AQ145" s="137">
        <f t="shared" si="105"/>
        <v>0.90106620378724811</v>
      </c>
      <c r="AR145" s="137">
        <f t="shared" si="106"/>
        <v>1.6152231232584866</v>
      </c>
      <c r="AS145" s="1">
        <f t="shared" si="107"/>
        <v>1.9759999999999996E-2</v>
      </c>
      <c r="AT145" s="133">
        <f t="shared" si="108"/>
        <v>0.08</v>
      </c>
      <c r="AU145" s="132">
        <f t="shared" si="118"/>
        <v>6.6098506053061765</v>
      </c>
      <c r="AV145" s="1">
        <f t="shared" si="119"/>
        <v>415.10399999999993</v>
      </c>
      <c r="AW145" s="133">
        <f t="shared" si="120"/>
        <v>98.432621884289844</v>
      </c>
    </row>
    <row r="146" spans="17:49" x14ac:dyDescent="0.15">
      <c r="Q146">
        <v>139</v>
      </c>
      <c r="R146" s="132">
        <f t="shared" si="92"/>
        <v>60</v>
      </c>
      <c r="S146" s="1">
        <f t="shared" si="93"/>
        <v>6.9685333333333324</v>
      </c>
      <c r="T146" s="1">
        <f t="shared" si="94"/>
        <v>20</v>
      </c>
      <c r="U146" s="133">
        <f t="shared" si="95"/>
        <v>20.9056</v>
      </c>
      <c r="V146" s="132">
        <f>IF(Calculations!$B$17=3,2,IF((S146*R146/T146)&lt;((T146*(1-(T146/R146)))/(2*Lm*fsw)),1,2))</f>
        <v>2</v>
      </c>
      <c r="W146" s="1">
        <f t="shared" si="96"/>
        <v>0.66666666666666674</v>
      </c>
      <c r="X146" s="133">
        <f t="shared" si="97"/>
        <v>0.33333333333333326</v>
      </c>
      <c r="Y146" s="132">
        <f t="shared" si="98"/>
        <v>10.256410256410257</v>
      </c>
      <c r="Z146" s="1">
        <f t="shared" si="109"/>
        <v>26.033805128205127</v>
      </c>
      <c r="AA146" s="1">
        <f t="shared" si="110"/>
        <v>21.11421971024069</v>
      </c>
      <c r="AB146" s="1">
        <v>0</v>
      </c>
      <c r="AC146" s="1">
        <f t="shared" si="99"/>
        <v>0.91391106164324865</v>
      </c>
      <c r="AD146" s="133">
        <f t="shared" si="111"/>
        <v>0.91391106164324865</v>
      </c>
      <c r="AE146" s="132">
        <f t="shared" si="121"/>
        <v>13.937066666666668</v>
      </c>
      <c r="AF146" s="1">
        <f t="shared" si="112"/>
        <v>17.239688202368324</v>
      </c>
      <c r="AG146" s="1">
        <f t="shared" si="100"/>
        <v>0.29720684931487756</v>
      </c>
      <c r="AH146" s="1">
        <f t="shared" si="101"/>
        <v>1.3073248898847201</v>
      </c>
      <c r="AI146" s="133">
        <f t="shared" si="113"/>
        <v>1.6045317391995977</v>
      </c>
      <c r="AJ146" s="132">
        <f t="shared" si="114"/>
        <v>6.9685333333333315</v>
      </c>
      <c r="AK146" s="1">
        <f t="shared" si="115"/>
        <v>12.190300433436363</v>
      </c>
      <c r="AL146" s="1">
        <f t="shared" si="102"/>
        <v>0.14860342465743878</v>
      </c>
      <c r="AM146" s="1">
        <f t="shared" si="116"/>
        <v>0.26083200000000001</v>
      </c>
      <c r="AN146" s="136">
        <f t="shared" si="103"/>
        <v>0.21660125866666669</v>
      </c>
      <c r="AO146" s="133">
        <f t="shared" si="117"/>
        <v>0.62603668332410545</v>
      </c>
      <c r="AP146" s="132">
        <f t="shared" si="104"/>
        <v>0.89162054794463297</v>
      </c>
      <c r="AQ146" s="137">
        <f t="shared" si="105"/>
        <v>0.91391106164324865</v>
      </c>
      <c r="AR146" s="137">
        <f t="shared" si="106"/>
        <v>1.6152231232584866</v>
      </c>
      <c r="AS146" s="1">
        <f t="shared" si="107"/>
        <v>1.9759999999999996E-2</v>
      </c>
      <c r="AT146" s="133">
        <f t="shared" si="108"/>
        <v>0.08</v>
      </c>
      <c r="AU146" s="132">
        <f t="shared" si="118"/>
        <v>6.6649942170133194</v>
      </c>
      <c r="AV146" s="1">
        <f t="shared" si="119"/>
        <v>418.11199999999997</v>
      </c>
      <c r="AW146" s="133">
        <f t="shared" si="120"/>
        <v>98.430942751666947</v>
      </c>
    </row>
    <row r="147" spans="17:49" x14ac:dyDescent="0.15">
      <c r="Q147">
        <v>140</v>
      </c>
      <c r="R147" s="132">
        <f t="shared" si="92"/>
        <v>60</v>
      </c>
      <c r="S147" s="1">
        <f t="shared" si="93"/>
        <v>7.0186666666666664</v>
      </c>
      <c r="T147" s="1">
        <f t="shared" si="94"/>
        <v>20</v>
      </c>
      <c r="U147" s="133">
        <f t="shared" si="95"/>
        <v>21.056000000000001</v>
      </c>
      <c r="V147" s="132">
        <f>IF(Calculations!$B$17=3,2,IF((S147*R147/T147)&lt;((T147*(1-(T147/R147)))/(2*Lm*fsw)),1,2))</f>
        <v>2</v>
      </c>
      <c r="W147" s="1">
        <f t="shared" si="96"/>
        <v>0.66666666666666674</v>
      </c>
      <c r="X147" s="133">
        <f t="shared" si="97"/>
        <v>0.33333333333333326</v>
      </c>
      <c r="Y147" s="132">
        <f t="shared" si="98"/>
        <v>10.256410256410257</v>
      </c>
      <c r="Z147" s="1">
        <f t="shared" si="109"/>
        <v>26.184205128205129</v>
      </c>
      <c r="AA147" s="1">
        <f t="shared" si="110"/>
        <v>21.263144137505076</v>
      </c>
      <c r="AB147" s="1">
        <v>0</v>
      </c>
      <c r="AC147" s="1">
        <f t="shared" si="99"/>
        <v>0.92684866215524864</v>
      </c>
      <c r="AD147" s="133">
        <f t="shared" si="111"/>
        <v>0.92684866215524864</v>
      </c>
      <c r="AE147" s="132">
        <f t="shared" si="121"/>
        <v>14.037333333333336</v>
      </c>
      <c r="AF147" s="1">
        <f t="shared" si="112"/>
        <v>17.361284488046316</v>
      </c>
      <c r="AG147" s="1">
        <f t="shared" si="100"/>
        <v>0.3014141990748776</v>
      </c>
      <c r="AH147" s="1">
        <f t="shared" si="101"/>
        <v>1.3167301049198623</v>
      </c>
      <c r="AI147" s="133">
        <f t="shared" si="113"/>
        <v>1.6181443039947399</v>
      </c>
      <c r="AJ147" s="132">
        <f t="shared" si="114"/>
        <v>7.0186666666666655</v>
      </c>
      <c r="AK147" s="1">
        <f t="shared" si="115"/>
        <v>12.276281991606366</v>
      </c>
      <c r="AL147" s="1">
        <f t="shared" si="102"/>
        <v>0.15070709953743874</v>
      </c>
      <c r="AM147" s="1">
        <f t="shared" si="116"/>
        <v>0.26083200000000001</v>
      </c>
      <c r="AN147" s="136">
        <f t="shared" si="103"/>
        <v>0.21785258666666671</v>
      </c>
      <c r="AO147" s="133">
        <f t="shared" si="117"/>
        <v>0.62939168620410546</v>
      </c>
      <c r="AP147" s="132">
        <f t="shared" si="104"/>
        <v>0.90424259722463296</v>
      </c>
      <c r="AQ147" s="137">
        <f t="shared" si="105"/>
        <v>0.92684866215524864</v>
      </c>
      <c r="AR147" s="137">
        <f t="shared" si="106"/>
        <v>1.6152231232584866</v>
      </c>
      <c r="AS147" s="1">
        <f t="shared" si="107"/>
        <v>1.9759999999999996E-2</v>
      </c>
      <c r="AT147" s="133">
        <f t="shared" si="108"/>
        <v>0.08</v>
      </c>
      <c r="AU147" s="132">
        <f t="shared" si="118"/>
        <v>6.7204590349924613</v>
      </c>
      <c r="AV147" s="1">
        <f t="shared" si="119"/>
        <v>421.12</v>
      </c>
      <c r="AW147" s="133">
        <f t="shared" si="120"/>
        <v>98.429213765768978</v>
      </c>
    </row>
    <row r="148" spans="17:49" x14ac:dyDescent="0.15">
      <c r="Q148">
        <v>141</v>
      </c>
      <c r="R148" s="132">
        <f t="shared" si="92"/>
        <v>60</v>
      </c>
      <c r="S148" s="1">
        <f t="shared" si="93"/>
        <v>7.0687999999999995</v>
      </c>
      <c r="T148" s="1">
        <f t="shared" si="94"/>
        <v>20</v>
      </c>
      <c r="U148" s="133">
        <f t="shared" si="95"/>
        <v>21.206399999999999</v>
      </c>
      <c r="V148" s="132">
        <f>IF(Calculations!$B$17=3,2,IF((S148*R148/T148)&lt;((T148*(1-(T148/R148)))/(2*Lm*fsw)),1,2))</f>
        <v>2</v>
      </c>
      <c r="W148" s="1">
        <f t="shared" si="96"/>
        <v>0.66666666666666674</v>
      </c>
      <c r="X148" s="133">
        <f t="shared" si="97"/>
        <v>0.33333333333333326</v>
      </c>
      <c r="Y148" s="132">
        <f t="shared" si="98"/>
        <v>10.256410256410257</v>
      </c>
      <c r="Z148" s="1">
        <f t="shared" si="109"/>
        <v>26.334605128205126</v>
      </c>
      <c r="AA148" s="1">
        <f t="shared" si="110"/>
        <v>21.412089192143686</v>
      </c>
      <c r="AB148" s="1">
        <v>0</v>
      </c>
      <c r="AC148" s="1">
        <f t="shared" si="99"/>
        <v>0.93987900532324864</v>
      </c>
      <c r="AD148" s="133">
        <f t="shared" si="111"/>
        <v>0.93987900532324864</v>
      </c>
      <c r="AE148" s="132">
        <f t="shared" si="121"/>
        <v>14.137600000000001</v>
      </c>
      <c r="AF148" s="1">
        <f t="shared" si="112"/>
        <v>17.482897615904836</v>
      </c>
      <c r="AG148" s="1">
        <f t="shared" si="100"/>
        <v>0.30565170904821098</v>
      </c>
      <c r="AH148" s="1">
        <f t="shared" si="101"/>
        <v>1.3261353199550039</v>
      </c>
      <c r="AI148" s="133">
        <f t="shared" si="113"/>
        <v>1.6317870290032148</v>
      </c>
      <c r="AJ148" s="132">
        <f t="shared" si="114"/>
        <v>7.0687999999999978</v>
      </c>
      <c r="AK148" s="1">
        <f t="shared" si="115"/>
        <v>12.362275458996432</v>
      </c>
      <c r="AL148" s="1">
        <f t="shared" si="102"/>
        <v>0.15282585452410544</v>
      </c>
      <c r="AM148" s="1">
        <f t="shared" si="116"/>
        <v>0.26083200000000001</v>
      </c>
      <c r="AN148" s="136">
        <f t="shared" si="103"/>
        <v>0.21910391466666668</v>
      </c>
      <c r="AO148" s="133">
        <f t="shared" si="117"/>
        <v>0.63276176919077209</v>
      </c>
      <c r="AP148" s="132">
        <f t="shared" si="104"/>
        <v>0.9169551271446329</v>
      </c>
      <c r="AQ148" s="137">
        <f t="shared" si="105"/>
        <v>0.93987900532324864</v>
      </c>
      <c r="AR148" s="137">
        <f t="shared" si="106"/>
        <v>1.6152231232584866</v>
      </c>
      <c r="AS148" s="1">
        <f t="shared" si="107"/>
        <v>1.9759999999999996E-2</v>
      </c>
      <c r="AT148" s="133">
        <f t="shared" si="108"/>
        <v>0.08</v>
      </c>
      <c r="AU148" s="132">
        <f t="shared" si="118"/>
        <v>6.7762450592436041</v>
      </c>
      <c r="AV148" s="1">
        <f t="shared" si="119"/>
        <v>424.12799999999999</v>
      </c>
      <c r="AW148" s="133">
        <f t="shared" si="120"/>
        <v>98.427435993741028</v>
      </c>
    </row>
    <row r="149" spans="17:49" x14ac:dyDescent="0.15">
      <c r="Q149">
        <v>142</v>
      </c>
      <c r="R149" s="132">
        <f t="shared" si="92"/>
        <v>60</v>
      </c>
      <c r="S149" s="1">
        <f t="shared" si="93"/>
        <v>7.1189333333333327</v>
      </c>
      <c r="T149" s="1">
        <f t="shared" si="94"/>
        <v>20</v>
      </c>
      <c r="U149" s="133">
        <f t="shared" si="95"/>
        <v>21.3568</v>
      </c>
      <c r="V149" s="132">
        <f>IF(Calculations!$B$17=3,2,IF((S149*R149/T149)&lt;((T149*(1-(T149/R149)))/(2*Lm*fsw)),1,2))</f>
        <v>2</v>
      </c>
      <c r="W149" s="1">
        <f t="shared" si="96"/>
        <v>0.66666666666666674</v>
      </c>
      <c r="X149" s="133">
        <f t="shared" si="97"/>
        <v>0.33333333333333326</v>
      </c>
      <c r="Y149" s="132">
        <f t="shared" si="98"/>
        <v>10.256410256410257</v>
      </c>
      <c r="Z149" s="1">
        <f t="shared" si="109"/>
        <v>26.485005128205128</v>
      </c>
      <c r="AA149" s="1">
        <f t="shared" si="110"/>
        <v>21.561054446671118</v>
      </c>
      <c r="AB149" s="1">
        <v>0</v>
      </c>
      <c r="AC149" s="1">
        <f t="shared" si="99"/>
        <v>0.95300209114724843</v>
      </c>
      <c r="AD149" s="133">
        <f t="shared" si="111"/>
        <v>0.95300209114724843</v>
      </c>
      <c r="AE149" s="132">
        <f t="shared" si="121"/>
        <v>14.237866666666669</v>
      </c>
      <c r="AF149" s="1">
        <f t="shared" si="112"/>
        <v>17.604527236903515</v>
      </c>
      <c r="AG149" s="1">
        <f t="shared" si="100"/>
        <v>0.30991937923487767</v>
      </c>
      <c r="AH149" s="1">
        <f t="shared" si="101"/>
        <v>1.3355405349901457</v>
      </c>
      <c r="AI149" s="133">
        <f t="shared" si="113"/>
        <v>1.6454599142250235</v>
      </c>
      <c r="AJ149" s="132">
        <f t="shared" si="114"/>
        <v>7.1189333333333318</v>
      </c>
      <c r="AK149" s="1">
        <f t="shared" si="115"/>
        <v>12.448280588797747</v>
      </c>
      <c r="AL149" s="1">
        <f t="shared" si="102"/>
        <v>0.15495968961743878</v>
      </c>
      <c r="AM149" s="1">
        <f t="shared" si="116"/>
        <v>0.26083200000000001</v>
      </c>
      <c r="AN149" s="136">
        <f t="shared" si="103"/>
        <v>0.2203552426666667</v>
      </c>
      <c r="AO149" s="133">
        <f t="shared" si="117"/>
        <v>0.63614693228410546</v>
      </c>
      <c r="AP149" s="132">
        <f t="shared" si="104"/>
        <v>0.92975813770463278</v>
      </c>
      <c r="AQ149" s="137">
        <f t="shared" si="105"/>
        <v>0.95300209114724843</v>
      </c>
      <c r="AR149" s="137">
        <f t="shared" si="106"/>
        <v>1.6152231232584866</v>
      </c>
      <c r="AS149" s="1">
        <f t="shared" si="107"/>
        <v>1.9759999999999996E-2</v>
      </c>
      <c r="AT149" s="133">
        <f t="shared" si="108"/>
        <v>0.08</v>
      </c>
      <c r="AU149" s="132">
        <f t="shared" si="118"/>
        <v>6.832352289766745</v>
      </c>
      <c r="AV149" s="1">
        <f t="shared" si="119"/>
        <v>427.13599999999997</v>
      </c>
      <c r="AW149" s="133">
        <f t="shared" si="120"/>
        <v>98.425610472810547</v>
      </c>
    </row>
    <row r="150" spans="17:49" x14ac:dyDescent="0.15">
      <c r="Q150">
        <v>143</v>
      </c>
      <c r="R150" s="132">
        <f t="shared" si="92"/>
        <v>60</v>
      </c>
      <c r="S150" s="1">
        <f t="shared" si="93"/>
        <v>7.1690666666666658</v>
      </c>
      <c r="T150" s="1">
        <f t="shared" si="94"/>
        <v>20</v>
      </c>
      <c r="U150" s="133">
        <f t="shared" si="95"/>
        <v>21.507199999999997</v>
      </c>
      <c r="V150" s="132">
        <f>IF(Calculations!$B$17=3,2,IF((S150*R150/T150)&lt;((T150*(1-(T150/R150)))/(2*Lm*fsw)),1,2))</f>
        <v>2</v>
      </c>
      <c r="W150" s="1">
        <f t="shared" si="96"/>
        <v>0.66666666666666674</v>
      </c>
      <c r="X150" s="133">
        <f t="shared" si="97"/>
        <v>0.33333333333333326</v>
      </c>
      <c r="Y150" s="132">
        <f t="shared" si="98"/>
        <v>10.256410256410257</v>
      </c>
      <c r="Z150" s="1">
        <f t="shared" si="109"/>
        <v>26.635405128205125</v>
      </c>
      <c r="AA150" s="1">
        <f t="shared" si="110"/>
        <v>21.71003948527769</v>
      </c>
      <c r="AB150" s="1">
        <v>0</v>
      </c>
      <c r="AC150" s="1">
        <f t="shared" si="99"/>
        <v>0.96621791962724846</v>
      </c>
      <c r="AD150" s="133">
        <f t="shared" si="111"/>
        <v>0.96621791962724846</v>
      </c>
      <c r="AE150" s="132">
        <f t="shared" si="121"/>
        <v>14.338133333333333</v>
      </c>
      <c r="AF150" s="1">
        <f t="shared" si="112"/>
        <v>17.726173011535163</v>
      </c>
      <c r="AG150" s="1">
        <f t="shared" si="100"/>
        <v>0.31421720963487759</v>
      </c>
      <c r="AH150" s="1">
        <f t="shared" si="101"/>
        <v>1.3449457500252875</v>
      </c>
      <c r="AI150" s="133">
        <f t="shared" si="113"/>
        <v>1.6591629596601651</v>
      </c>
      <c r="AJ150" s="132">
        <f t="shared" si="114"/>
        <v>7.169066666666664</v>
      </c>
      <c r="AK150" s="1">
        <f t="shared" si="115"/>
        <v>12.534297140942478</v>
      </c>
      <c r="AL150" s="1">
        <f t="shared" si="102"/>
        <v>0.15710860481743877</v>
      </c>
      <c r="AM150" s="1">
        <f t="shared" si="116"/>
        <v>0.26083200000000001</v>
      </c>
      <c r="AN150" s="136">
        <f t="shared" si="103"/>
        <v>0.22160657066666667</v>
      </c>
      <c r="AO150" s="133">
        <f t="shared" si="117"/>
        <v>0.63954717548410545</v>
      </c>
      <c r="AP150" s="132">
        <f t="shared" si="104"/>
        <v>0.94265162890463272</v>
      </c>
      <c r="AQ150" s="137">
        <f t="shared" si="105"/>
        <v>0.96621791962724846</v>
      </c>
      <c r="AR150" s="137">
        <f t="shared" si="106"/>
        <v>1.6152231232584866</v>
      </c>
      <c r="AS150" s="1">
        <f t="shared" si="107"/>
        <v>1.9759999999999996E-2</v>
      </c>
      <c r="AT150" s="133">
        <f t="shared" si="108"/>
        <v>0.08</v>
      </c>
      <c r="AU150" s="132">
        <f t="shared" si="118"/>
        <v>6.8887807265618868</v>
      </c>
      <c r="AV150" s="1">
        <f t="shared" si="119"/>
        <v>430.14399999999995</v>
      </c>
      <c r="AW150" s="133">
        <f t="shared" si="120"/>
        <v>98.423738211328356</v>
      </c>
    </row>
    <row r="151" spans="17:49" x14ac:dyDescent="0.15">
      <c r="Q151">
        <v>144</v>
      </c>
      <c r="R151" s="132">
        <f t="shared" si="92"/>
        <v>60</v>
      </c>
      <c r="S151" s="1">
        <f t="shared" si="93"/>
        <v>7.219199999999999</v>
      </c>
      <c r="T151" s="1">
        <f t="shared" si="94"/>
        <v>20</v>
      </c>
      <c r="U151" s="133">
        <f t="shared" si="95"/>
        <v>21.657599999999995</v>
      </c>
      <c r="V151" s="132">
        <f>IF(Calculations!$B$17=3,2,IF((S151*R151/T151)&lt;((T151*(1-(T151/R151)))/(2*Lm*fsw)),1,2))</f>
        <v>2</v>
      </c>
      <c r="W151" s="1">
        <f t="shared" si="96"/>
        <v>0.66666666666666674</v>
      </c>
      <c r="X151" s="133">
        <f t="shared" si="97"/>
        <v>0.33333333333333326</v>
      </c>
      <c r="Y151" s="132">
        <f t="shared" si="98"/>
        <v>10.256410256410257</v>
      </c>
      <c r="Z151" s="1">
        <f t="shared" si="109"/>
        <v>26.785805128205123</v>
      </c>
      <c r="AA151" s="1">
        <f t="shared" si="110"/>
        <v>21.859043903435399</v>
      </c>
      <c r="AB151" s="1">
        <v>0</v>
      </c>
      <c r="AC151" s="1">
        <f t="shared" si="99"/>
        <v>0.97952649076324827</v>
      </c>
      <c r="AD151" s="133">
        <f t="shared" si="111"/>
        <v>0.97952649076324827</v>
      </c>
      <c r="AE151" s="132">
        <f t="shared" si="121"/>
        <v>14.438399999999998</v>
      </c>
      <c r="AF151" s="1">
        <f t="shared" si="112"/>
        <v>17.847834609504059</v>
      </c>
      <c r="AG151" s="1">
        <f t="shared" si="100"/>
        <v>0.31854520024821092</v>
      </c>
      <c r="AH151" s="1">
        <f t="shared" si="101"/>
        <v>1.3543509650604293</v>
      </c>
      <c r="AI151" s="133">
        <f t="shared" si="113"/>
        <v>1.6728961653086403</v>
      </c>
      <c r="AJ151" s="132">
        <f t="shared" si="114"/>
        <v>7.2191999999999972</v>
      </c>
      <c r="AK151" s="1">
        <f t="shared" si="115"/>
        <v>12.620324881876273</v>
      </c>
      <c r="AL151" s="1">
        <f t="shared" si="102"/>
        <v>0.15927260012410538</v>
      </c>
      <c r="AM151" s="1">
        <f t="shared" si="116"/>
        <v>0.26083200000000001</v>
      </c>
      <c r="AN151" s="136">
        <f t="shared" si="103"/>
        <v>0.22285789866666664</v>
      </c>
      <c r="AO151" s="133">
        <f t="shared" si="117"/>
        <v>0.64296249879077205</v>
      </c>
      <c r="AP151" s="132">
        <f t="shared" si="104"/>
        <v>0.95563560074463261</v>
      </c>
      <c r="AQ151" s="137">
        <f t="shared" si="105"/>
        <v>0.97952649076324827</v>
      </c>
      <c r="AR151" s="137">
        <f t="shared" si="106"/>
        <v>1.6152231232584866</v>
      </c>
      <c r="AS151" s="1">
        <f t="shared" si="107"/>
        <v>1.9759999999999996E-2</v>
      </c>
      <c r="AT151" s="133">
        <f t="shared" si="108"/>
        <v>0.08</v>
      </c>
      <c r="AU151" s="132">
        <f t="shared" si="118"/>
        <v>6.9455303696290285</v>
      </c>
      <c r="AV151" s="1">
        <f t="shared" si="119"/>
        <v>433.15199999999993</v>
      </c>
      <c r="AW151" s="133">
        <f t="shared" si="120"/>
        <v>98.421820189766663</v>
      </c>
    </row>
    <row r="152" spans="17:49" x14ac:dyDescent="0.15">
      <c r="Q152">
        <v>145</v>
      </c>
      <c r="R152" s="132">
        <f t="shared" si="92"/>
        <v>60</v>
      </c>
      <c r="S152" s="1">
        <f t="shared" si="93"/>
        <v>7.269333333333333</v>
      </c>
      <c r="T152" s="1">
        <f t="shared" si="94"/>
        <v>20</v>
      </c>
      <c r="U152" s="133">
        <f t="shared" si="95"/>
        <v>21.808</v>
      </c>
      <c r="V152" s="132">
        <f>IF(Calculations!$B$17=3,2,IF((S152*R152/T152)&lt;((T152*(1-(T152/R152)))/(2*Lm*fsw)),1,2))</f>
        <v>2</v>
      </c>
      <c r="W152" s="1">
        <f t="shared" si="96"/>
        <v>0.66666666666666674</v>
      </c>
      <c r="X152" s="133">
        <f t="shared" si="97"/>
        <v>0.33333333333333326</v>
      </c>
      <c r="Y152" s="132">
        <f t="shared" si="98"/>
        <v>10.256410256410257</v>
      </c>
      <c r="Z152" s="1">
        <f t="shared" si="109"/>
        <v>26.936205128205128</v>
      </c>
      <c r="AA152" s="1">
        <f t="shared" si="110"/>
        <v>22.008067307519678</v>
      </c>
      <c r="AB152" s="1">
        <v>0</v>
      </c>
      <c r="AC152" s="1">
        <f t="shared" si="99"/>
        <v>0.99292780455524865</v>
      </c>
      <c r="AD152" s="133">
        <f t="shared" si="111"/>
        <v>0.99292780455524865</v>
      </c>
      <c r="AE152" s="132">
        <f t="shared" si="121"/>
        <v>14.538666666666668</v>
      </c>
      <c r="AF152" s="1">
        <f t="shared" si="112"/>
        <v>17.969511709417084</v>
      </c>
      <c r="AG152" s="1">
        <f t="shared" si="100"/>
        <v>0.32290335107487772</v>
      </c>
      <c r="AH152" s="1">
        <f t="shared" si="101"/>
        <v>1.3637561800955713</v>
      </c>
      <c r="AI152" s="133">
        <f t="shared" si="113"/>
        <v>1.6866595311704491</v>
      </c>
      <c r="AJ152" s="132">
        <f t="shared" si="114"/>
        <v>7.2693333333333321</v>
      </c>
      <c r="AK152" s="1">
        <f t="shared" si="115"/>
        <v>12.706363584339886</v>
      </c>
      <c r="AL152" s="1">
        <f t="shared" si="102"/>
        <v>0.16145167553743878</v>
      </c>
      <c r="AM152" s="1">
        <f t="shared" si="116"/>
        <v>0.26083200000000001</v>
      </c>
      <c r="AN152" s="136">
        <f t="shared" si="103"/>
        <v>0.22410922666666669</v>
      </c>
      <c r="AO152" s="133">
        <f t="shared" si="117"/>
        <v>0.6463929022041055</v>
      </c>
      <c r="AP152" s="132">
        <f t="shared" si="104"/>
        <v>0.96871005322463299</v>
      </c>
      <c r="AQ152" s="137">
        <f t="shared" si="105"/>
        <v>0.99292780455524865</v>
      </c>
      <c r="AR152" s="137">
        <f t="shared" si="106"/>
        <v>1.6152231232584866</v>
      </c>
      <c r="AS152" s="1">
        <f t="shared" si="107"/>
        <v>1.9759999999999996E-2</v>
      </c>
      <c r="AT152" s="133">
        <f t="shared" si="108"/>
        <v>0.08</v>
      </c>
      <c r="AU152" s="132">
        <f t="shared" si="118"/>
        <v>7.0026012189681719</v>
      </c>
      <c r="AV152" s="1">
        <f t="shared" si="119"/>
        <v>436.15999999999997</v>
      </c>
      <c r="AW152" s="133">
        <f t="shared" si="120"/>
        <v>98.419857361675668</v>
      </c>
    </row>
    <row r="153" spans="17:49" x14ac:dyDescent="0.15">
      <c r="Q153">
        <v>146</v>
      </c>
      <c r="R153" s="132">
        <f t="shared" si="92"/>
        <v>60</v>
      </c>
      <c r="S153" s="1">
        <f t="shared" si="93"/>
        <v>7.3194666666666661</v>
      </c>
      <c r="T153" s="1">
        <f t="shared" si="94"/>
        <v>20</v>
      </c>
      <c r="U153" s="133">
        <f t="shared" si="95"/>
        <v>21.958399999999997</v>
      </c>
      <c r="V153" s="132">
        <f>IF(Calculations!$B$17=3,2,IF((S153*R153/T153)&lt;((T153*(1-(T153/R153)))/(2*Lm*fsw)),1,2))</f>
        <v>2</v>
      </c>
      <c r="W153" s="1">
        <f t="shared" si="96"/>
        <v>0.66666666666666674</v>
      </c>
      <c r="X153" s="133">
        <f t="shared" si="97"/>
        <v>0.33333333333333326</v>
      </c>
      <c r="Y153" s="132">
        <f t="shared" si="98"/>
        <v>10.256410256410257</v>
      </c>
      <c r="Z153" s="1">
        <f t="shared" si="109"/>
        <v>27.086605128205125</v>
      </c>
      <c r="AA153" s="1">
        <f t="shared" si="110"/>
        <v>22.157109314446149</v>
      </c>
      <c r="AB153" s="1">
        <v>0</v>
      </c>
      <c r="AC153" s="1">
        <f t="shared" si="99"/>
        <v>1.0064218610032483</v>
      </c>
      <c r="AD153" s="133">
        <f t="shared" si="111"/>
        <v>1.0064218610032483</v>
      </c>
      <c r="AE153" s="132">
        <f t="shared" si="121"/>
        <v>14.638933333333334</v>
      </c>
      <c r="AF153" s="1">
        <f t="shared" si="112"/>
        <v>18.091203998487156</v>
      </c>
      <c r="AG153" s="1">
        <f t="shared" si="100"/>
        <v>0.3272916621148777</v>
      </c>
      <c r="AH153" s="1">
        <f t="shared" si="101"/>
        <v>1.3731613951307133</v>
      </c>
      <c r="AI153" s="133">
        <f t="shared" si="113"/>
        <v>1.7004530572455909</v>
      </c>
      <c r="AJ153" s="132">
        <f t="shared" si="114"/>
        <v>7.3194666666666643</v>
      </c>
      <c r="AK153" s="1">
        <f t="shared" si="115"/>
        <v>12.792413027159448</v>
      </c>
      <c r="AL153" s="1">
        <f t="shared" si="102"/>
        <v>0.16364583105743877</v>
      </c>
      <c r="AM153" s="1">
        <f t="shared" si="116"/>
        <v>0.26083200000000001</v>
      </c>
      <c r="AN153" s="136">
        <f t="shared" si="103"/>
        <v>0.22536055466666666</v>
      </c>
      <c r="AO153" s="133">
        <f t="shared" si="117"/>
        <v>0.64983838572410546</v>
      </c>
      <c r="AP153" s="132">
        <f t="shared" si="104"/>
        <v>0.98187498634463266</v>
      </c>
      <c r="AQ153" s="137">
        <f t="shared" si="105"/>
        <v>1.0064218610032483</v>
      </c>
      <c r="AR153" s="137">
        <f t="shared" si="106"/>
        <v>1.6152231232584866</v>
      </c>
      <c r="AS153" s="1">
        <f t="shared" si="107"/>
        <v>1.9759999999999996E-2</v>
      </c>
      <c r="AT153" s="133">
        <f t="shared" si="108"/>
        <v>0.08</v>
      </c>
      <c r="AU153" s="132">
        <f t="shared" si="118"/>
        <v>7.0599932745793126</v>
      </c>
      <c r="AV153" s="1">
        <f t="shared" si="119"/>
        <v>439.16799999999995</v>
      </c>
      <c r="AW153" s="133">
        <f t="shared" si="120"/>
        <v>98.417850654601352</v>
      </c>
    </row>
    <row r="154" spans="17:49" x14ac:dyDescent="0.15">
      <c r="Q154">
        <v>147</v>
      </c>
      <c r="R154" s="132">
        <f t="shared" si="92"/>
        <v>60</v>
      </c>
      <c r="S154" s="1">
        <f t="shared" si="93"/>
        <v>7.3695999999999993</v>
      </c>
      <c r="T154" s="1">
        <f t="shared" si="94"/>
        <v>20</v>
      </c>
      <c r="U154" s="133">
        <f t="shared" si="95"/>
        <v>22.108799999999995</v>
      </c>
      <c r="V154" s="132">
        <f>IF(Calculations!$B$17=3,2,IF((S154*R154/T154)&lt;((T154*(1-(T154/R154)))/(2*Lm*fsw)),1,2))</f>
        <v>2</v>
      </c>
      <c r="W154" s="1">
        <f t="shared" si="96"/>
        <v>0.66666666666666674</v>
      </c>
      <c r="X154" s="133">
        <f t="shared" si="97"/>
        <v>0.33333333333333326</v>
      </c>
      <c r="Y154" s="132">
        <f t="shared" si="98"/>
        <v>10.256410256410257</v>
      </c>
      <c r="Z154" s="1">
        <f t="shared" si="109"/>
        <v>27.237005128205123</v>
      </c>
      <c r="AA154" s="1">
        <f t="shared" si="110"/>
        <v>22.306169551321808</v>
      </c>
      <c r="AB154" s="1">
        <v>0</v>
      </c>
      <c r="AC154" s="1">
        <f t="shared" si="99"/>
        <v>1.020008660107248</v>
      </c>
      <c r="AD154" s="133">
        <f t="shared" si="111"/>
        <v>1.020008660107248</v>
      </c>
      <c r="AE154" s="132">
        <f t="shared" si="121"/>
        <v>14.739199999999999</v>
      </c>
      <c r="AF154" s="1">
        <f t="shared" si="112"/>
        <v>18.212911172248408</v>
      </c>
      <c r="AG154" s="1">
        <f t="shared" si="100"/>
        <v>0.33171013336821087</v>
      </c>
      <c r="AH154" s="1">
        <f t="shared" si="101"/>
        <v>1.3825666101658549</v>
      </c>
      <c r="AI154" s="133">
        <f t="shared" si="113"/>
        <v>1.7142767435340658</v>
      </c>
      <c r="AJ154" s="132">
        <f t="shared" si="114"/>
        <v>7.3695999999999966</v>
      </c>
      <c r="AK154" s="1">
        <f t="shared" si="115"/>
        <v>12.87847299504508</v>
      </c>
      <c r="AL154" s="1">
        <f t="shared" si="102"/>
        <v>0.16585506668410541</v>
      </c>
      <c r="AM154" s="1">
        <f t="shared" si="116"/>
        <v>0.26083200000000001</v>
      </c>
      <c r="AN154" s="136">
        <f t="shared" si="103"/>
        <v>0.22661188266666665</v>
      </c>
      <c r="AO154" s="133">
        <f t="shared" si="117"/>
        <v>0.65329894935077204</v>
      </c>
      <c r="AP154" s="132">
        <f t="shared" si="104"/>
        <v>0.99513040010463238</v>
      </c>
      <c r="AQ154" s="137">
        <f t="shared" si="105"/>
        <v>1.020008660107248</v>
      </c>
      <c r="AR154" s="137">
        <f t="shared" si="106"/>
        <v>1.6152231232584866</v>
      </c>
      <c r="AS154" s="1">
        <f t="shared" si="107"/>
        <v>1.9759999999999996E-2</v>
      </c>
      <c r="AT154" s="133">
        <f t="shared" si="108"/>
        <v>0.08</v>
      </c>
      <c r="AU154" s="132">
        <f t="shared" si="118"/>
        <v>7.1177065364624523</v>
      </c>
      <c r="AV154" s="1">
        <f t="shared" si="119"/>
        <v>442.17599999999993</v>
      </c>
      <c r="AW154" s="133">
        <f t="shared" si="120"/>
        <v>98.41580097096579</v>
      </c>
    </row>
    <row r="155" spans="17:49" x14ac:dyDescent="0.15">
      <c r="Q155">
        <v>148</v>
      </c>
      <c r="R155" s="132">
        <f t="shared" si="92"/>
        <v>60</v>
      </c>
      <c r="S155" s="1">
        <f t="shared" si="93"/>
        <v>7.4197333333333324</v>
      </c>
      <c r="T155" s="1">
        <f t="shared" si="94"/>
        <v>20</v>
      </c>
      <c r="U155" s="133">
        <f t="shared" si="95"/>
        <v>22.2592</v>
      </c>
      <c r="V155" s="132">
        <f>IF(Calculations!$B$17=3,2,IF((S155*R155/T155)&lt;((T155*(1-(T155/R155)))/(2*Lm*fsw)),1,2))</f>
        <v>2</v>
      </c>
      <c r="W155" s="1">
        <f t="shared" si="96"/>
        <v>0.66666666666666674</v>
      </c>
      <c r="X155" s="133">
        <f t="shared" si="97"/>
        <v>0.33333333333333326</v>
      </c>
      <c r="Y155" s="132">
        <f t="shared" si="98"/>
        <v>10.256410256410257</v>
      </c>
      <c r="Z155" s="1">
        <f t="shared" si="109"/>
        <v>27.387405128205128</v>
      </c>
      <c r="AA155" s="1">
        <f t="shared" si="110"/>
        <v>22.455247655109851</v>
      </c>
      <c r="AB155" s="1">
        <v>0</v>
      </c>
      <c r="AC155" s="1">
        <f t="shared" si="99"/>
        <v>1.0336882018672486</v>
      </c>
      <c r="AD155" s="133">
        <f t="shared" si="111"/>
        <v>1.0336882018672486</v>
      </c>
      <c r="AE155" s="132">
        <f t="shared" si="121"/>
        <v>14.839466666666668</v>
      </c>
      <c r="AF155" s="1">
        <f t="shared" si="112"/>
        <v>18.334632934282531</v>
      </c>
      <c r="AG155" s="1">
        <f t="shared" si="100"/>
        <v>0.33615876483487767</v>
      </c>
      <c r="AH155" s="1">
        <f t="shared" si="101"/>
        <v>1.3919718252009969</v>
      </c>
      <c r="AI155" s="133">
        <f t="shared" si="113"/>
        <v>1.7281305900358745</v>
      </c>
      <c r="AJ155" s="132">
        <f t="shared" si="114"/>
        <v>7.4197333333333315</v>
      </c>
      <c r="AK155" s="1">
        <f t="shared" si="115"/>
        <v>12.964543278397382</v>
      </c>
      <c r="AL155" s="1">
        <f t="shared" si="102"/>
        <v>0.16807938241743875</v>
      </c>
      <c r="AM155" s="1">
        <f t="shared" si="116"/>
        <v>0.26083200000000001</v>
      </c>
      <c r="AN155" s="136">
        <f t="shared" si="103"/>
        <v>0.22786321066666668</v>
      </c>
      <c r="AO155" s="133">
        <f t="shared" si="117"/>
        <v>0.65677459308410546</v>
      </c>
      <c r="AP155" s="132">
        <f t="shared" si="104"/>
        <v>1.0084762945046328</v>
      </c>
      <c r="AQ155" s="137">
        <f t="shared" si="105"/>
        <v>1.0336882018672486</v>
      </c>
      <c r="AR155" s="137">
        <f t="shared" si="106"/>
        <v>1.6152231232584866</v>
      </c>
      <c r="AS155" s="1">
        <f t="shared" si="107"/>
        <v>1.9759999999999996E-2</v>
      </c>
      <c r="AT155" s="133">
        <f t="shared" si="108"/>
        <v>0.08</v>
      </c>
      <c r="AU155" s="132">
        <f t="shared" si="118"/>
        <v>7.1757410046175965</v>
      </c>
      <c r="AV155" s="1">
        <f t="shared" si="119"/>
        <v>445.18399999999997</v>
      </c>
      <c r="AW155" s="133">
        <f t="shared" si="120"/>
        <v>98.413709188912037</v>
      </c>
    </row>
    <row r="156" spans="17:49" x14ac:dyDescent="0.15">
      <c r="Q156">
        <v>149</v>
      </c>
      <c r="R156" s="132">
        <f t="shared" si="92"/>
        <v>60</v>
      </c>
      <c r="S156" s="1">
        <f t="shared" si="93"/>
        <v>7.4698666666666655</v>
      </c>
      <c r="T156" s="1">
        <f t="shared" si="94"/>
        <v>20</v>
      </c>
      <c r="U156" s="133">
        <f t="shared" si="95"/>
        <v>22.409599999999998</v>
      </c>
      <c r="V156" s="132">
        <f>IF(Calculations!$B$17=3,2,IF((S156*R156/T156)&lt;((T156*(1-(T156/R156)))/(2*Lm*fsw)),1,2))</f>
        <v>2</v>
      </c>
      <c r="W156" s="1">
        <f t="shared" si="96"/>
        <v>0.66666666666666674</v>
      </c>
      <c r="X156" s="133">
        <f t="shared" si="97"/>
        <v>0.33333333333333326</v>
      </c>
      <c r="Y156" s="132">
        <f t="shared" si="98"/>
        <v>10.256410256410257</v>
      </c>
      <c r="Z156" s="1">
        <f t="shared" si="109"/>
        <v>27.537805128205125</v>
      </c>
      <c r="AA156" s="1">
        <f t="shared" si="110"/>
        <v>22.604343272307567</v>
      </c>
      <c r="AB156" s="1">
        <v>0</v>
      </c>
      <c r="AC156" s="1">
        <f t="shared" si="99"/>
        <v>1.0474604862832484</v>
      </c>
      <c r="AD156" s="133">
        <f t="shared" si="111"/>
        <v>1.0474604862832484</v>
      </c>
      <c r="AE156" s="132">
        <f t="shared" si="121"/>
        <v>14.939733333333333</v>
      </c>
      <c r="AF156" s="1">
        <f t="shared" si="112"/>
        <v>18.456368995955778</v>
      </c>
      <c r="AG156" s="1">
        <f t="shared" si="100"/>
        <v>0.3406375565148777</v>
      </c>
      <c r="AH156" s="1">
        <f t="shared" si="101"/>
        <v>1.4013770402361385</v>
      </c>
      <c r="AI156" s="133">
        <f t="shared" si="113"/>
        <v>1.7420145967510163</v>
      </c>
      <c r="AJ156" s="132">
        <f t="shared" si="114"/>
        <v>7.4698666666666638</v>
      </c>
      <c r="AK156" s="1">
        <f t="shared" si="115"/>
        <v>13.050623673121478</v>
      </c>
      <c r="AL156" s="1">
        <f t="shared" si="102"/>
        <v>0.17031877825743874</v>
      </c>
      <c r="AM156" s="1">
        <f t="shared" si="116"/>
        <v>0.26083200000000001</v>
      </c>
      <c r="AN156" s="136">
        <f t="shared" si="103"/>
        <v>0.22911453866666667</v>
      </c>
      <c r="AO156" s="133">
        <f t="shared" si="117"/>
        <v>0.66026531692410539</v>
      </c>
      <c r="AP156" s="132">
        <f t="shared" si="104"/>
        <v>1.0219126695446328</v>
      </c>
      <c r="AQ156" s="137">
        <f t="shared" si="105"/>
        <v>1.0474604862832484</v>
      </c>
      <c r="AR156" s="137">
        <f t="shared" si="106"/>
        <v>1.6152231232584866</v>
      </c>
      <c r="AS156" s="1">
        <f t="shared" si="107"/>
        <v>1.9759999999999996E-2</v>
      </c>
      <c r="AT156" s="133">
        <f t="shared" si="108"/>
        <v>0.08</v>
      </c>
      <c r="AU156" s="132">
        <f t="shared" si="118"/>
        <v>7.234096679044737</v>
      </c>
      <c r="AV156" s="1">
        <f t="shared" si="119"/>
        <v>448.19199999999995</v>
      </c>
      <c r="AW156" s="133">
        <f t="shared" si="120"/>
        <v>98.411576163115029</v>
      </c>
    </row>
    <row r="157" spans="17:49" ht="14.25" thickBot="1" x14ac:dyDescent="0.2">
      <c r="Q157">
        <v>150</v>
      </c>
      <c r="R157" s="138">
        <f t="shared" si="92"/>
        <v>60</v>
      </c>
      <c r="S157" s="139">
        <f t="shared" si="93"/>
        <v>7.52</v>
      </c>
      <c r="T157" s="1">
        <f t="shared" si="94"/>
        <v>20</v>
      </c>
      <c r="U157" s="140">
        <f t="shared" si="95"/>
        <v>22.56</v>
      </c>
      <c r="V157" s="132">
        <f>IF(Calculations!$B$17=3,2,IF((S157*R157/T157)&lt;((T157*(1-(T157/R157)))/(2*Lm*fsw)),1,2))</f>
        <v>2</v>
      </c>
      <c r="W157" s="139">
        <f t="shared" si="96"/>
        <v>0.66666666666666674</v>
      </c>
      <c r="X157" s="133">
        <f t="shared" si="97"/>
        <v>0.33333333333333326</v>
      </c>
      <c r="Y157" s="138">
        <f t="shared" si="98"/>
        <v>10.256410256410257</v>
      </c>
      <c r="Z157" s="139">
        <f t="shared" si="109"/>
        <v>27.688205128205126</v>
      </c>
      <c r="AA157" s="139">
        <f t="shared" si="110"/>
        <v>22.753456058636814</v>
      </c>
      <c r="AB157" s="139">
        <v>0</v>
      </c>
      <c r="AC157" s="139">
        <f t="shared" si="99"/>
        <v>1.0613255133552484</v>
      </c>
      <c r="AD157" s="140">
        <f t="shared" si="111"/>
        <v>1.0613255133552484</v>
      </c>
      <c r="AE157" s="138">
        <f t="shared" si="121"/>
        <v>15.040000000000001</v>
      </c>
      <c r="AF157" s="1">
        <f t="shared" si="112"/>
        <v>18.578119076166214</v>
      </c>
      <c r="AG157" s="139">
        <f t="shared" si="100"/>
        <v>0.34514650840821098</v>
      </c>
      <c r="AH157" s="139">
        <f t="shared" si="101"/>
        <v>1.4107822552712808</v>
      </c>
      <c r="AI157" s="140">
        <f t="shared" si="113"/>
        <v>1.7559287636794918</v>
      </c>
      <c r="AJ157" s="138">
        <f>X157*U157</f>
        <v>7.5199999999999978</v>
      </c>
      <c r="AK157" s="139">
        <f t="shared" si="115"/>
        <v>13.136713980448285</v>
      </c>
      <c r="AL157" s="1">
        <f t="shared" si="102"/>
        <v>0.17257325420410541</v>
      </c>
      <c r="AM157" s="1">
        <f t="shared" si="116"/>
        <v>0.26083200000000001</v>
      </c>
      <c r="AN157" s="136">
        <f t="shared" si="103"/>
        <v>0.23036586666666667</v>
      </c>
      <c r="AO157" s="133">
        <f t="shared" si="117"/>
        <v>0.66377112087077206</v>
      </c>
      <c r="AP157" s="132">
        <f t="shared" si="104"/>
        <v>1.0354395252246327</v>
      </c>
      <c r="AQ157" s="137">
        <f t="shared" si="105"/>
        <v>1.0613255133552484</v>
      </c>
      <c r="AR157" s="137">
        <f t="shared" si="106"/>
        <v>1.6152231232584866</v>
      </c>
      <c r="AS157" s="1">
        <f t="shared" si="107"/>
        <v>1.9759999999999996E-2</v>
      </c>
      <c r="AT157" s="140">
        <f t="shared" si="108"/>
        <v>0.08</v>
      </c>
      <c r="AU157" s="132">
        <f t="shared" si="118"/>
        <v>7.2927735597438792</v>
      </c>
      <c r="AV157" s="139">
        <f t="shared" si="119"/>
        <v>451.2</v>
      </c>
      <c r="AW157" s="140">
        <f>(AV157/(AV157+AU157))*100</f>
        <v>98.409402725560398</v>
      </c>
    </row>
  </sheetData>
  <mergeCells count="7">
    <mergeCell ref="AP5:AT5"/>
    <mergeCell ref="A1:M1"/>
    <mergeCell ref="R5:U5"/>
    <mergeCell ref="V5:X5"/>
    <mergeCell ref="Y5:AD5"/>
    <mergeCell ref="AE5:AI5"/>
    <mergeCell ref="AJ5:AO5"/>
  </mergeCells>
  <phoneticPr fontId="48"/>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FC06E-D291-4622-87EE-7C1E2472768F}">
  <sheetPr codeName="Sheet8"/>
  <dimension ref="A1:AW157"/>
  <sheetViews>
    <sheetView topLeftCell="AT10" workbookViewId="0">
      <selection activeCell="BB40" sqref="BB40"/>
    </sheetView>
  </sheetViews>
  <sheetFormatPr defaultRowHeight="13.5" x14ac:dyDescent="0.15"/>
  <cols>
    <col min="10" max="10" width="10" bestFit="1" customWidth="1"/>
    <col min="25" max="25" width="12" bestFit="1" customWidth="1"/>
    <col min="39" max="39" width="11" bestFit="1" customWidth="1"/>
    <col min="40" max="40" width="16.25" customWidth="1"/>
    <col min="41" max="41" width="11.75" customWidth="1"/>
    <col min="47" max="47" width="11.75" customWidth="1"/>
  </cols>
  <sheetData>
    <row r="1" spans="1:49" ht="27.75" x14ac:dyDescent="0.4">
      <c r="A1" s="245" t="s">
        <v>599</v>
      </c>
      <c r="B1" s="245"/>
      <c r="C1" s="245"/>
      <c r="D1" s="245"/>
      <c r="E1" s="245"/>
      <c r="F1" s="245"/>
      <c r="G1" s="245"/>
      <c r="H1" s="245"/>
      <c r="I1" s="245"/>
      <c r="J1" s="245"/>
      <c r="K1" s="245"/>
      <c r="L1" s="245"/>
      <c r="M1" s="245"/>
    </row>
    <row r="4" spans="1:49" ht="14.25" thickBot="1" x14ac:dyDescent="0.2">
      <c r="R4" s="128"/>
      <c r="S4" s="128"/>
      <c r="T4" s="128"/>
      <c r="U4" s="128"/>
      <c r="V4" s="128"/>
      <c r="W4" s="128"/>
      <c r="X4" s="128"/>
      <c r="Y4" s="128"/>
      <c r="Z4" s="128"/>
      <c r="AA4" s="128"/>
      <c r="AB4" s="128"/>
      <c r="AC4" s="128"/>
      <c r="AD4" s="128"/>
      <c r="AE4" s="128"/>
      <c r="AF4" s="128"/>
      <c r="AG4" s="128"/>
      <c r="AH4" s="128"/>
      <c r="AI4" s="128"/>
      <c r="AJ4" s="128"/>
      <c r="AK4" s="128"/>
      <c r="AL4" s="128"/>
      <c r="AM4" s="128"/>
      <c r="AN4" s="128"/>
      <c r="AO4" s="128"/>
      <c r="AP4" s="128"/>
      <c r="AQ4" s="128"/>
      <c r="AR4" s="128"/>
      <c r="AS4" s="128"/>
      <c r="AT4" s="128"/>
      <c r="AU4" s="128"/>
      <c r="AV4" s="128"/>
      <c r="AW4" s="128"/>
    </row>
    <row r="5" spans="1:49" x14ac:dyDescent="0.15">
      <c r="R5" s="246" t="s">
        <v>600</v>
      </c>
      <c r="S5" s="247"/>
      <c r="T5" s="247"/>
      <c r="U5" s="248"/>
      <c r="V5" s="246" t="s">
        <v>262</v>
      </c>
      <c r="W5" s="247"/>
      <c r="X5" s="248"/>
      <c r="Y5" s="246" t="s">
        <v>601</v>
      </c>
      <c r="Z5" s="247"/>
      <c r="AA5" s="247"/>
      <c r="AB5" s="247"/>
      <c r="AC5" s="247"/>
      <c r="AD5" s="248"/>
      <c r="AE5" s="246" t="s">
        <v>602</v>
      </c>
      <c r="AF5" s="247"/>
      <c r="AG5" s="247"/>
      <c r="AH5" s="247"/>
      <c r="AI5" s="248"/>
      <c r="AJ5" s="246" t="s">
        <v>603</v>
      </c>
      <c r="AK5" s="247"/>
      <c r="AL5" s="247"/>
      <c r="AM5" s="247"/>
      <c r="AN5" s="249"/>
      <c r="AO5" s="248"/>
      <c r="AP5" s="241" t="s">
        <v>604</v>
      </c>
      <c r="AQ5" s="242"/>
      <c r="AR5" s="242"/>
      <c r="AS5" s="243"/>
      <c r="AT5" s="244"/>
      <c r="AU5" s="129" t="s">
        <v>605</v>
      </c>
      <c r="AV5" s="130"/>
      <c r="AW5" s="131"/>
    </row>
    <row r="6" spans="1:49" ht="16.5" x14ac:dyDescent="0.25">
      <c r="R6" s="132" t="s">
        <v>222</v>
      </c>
      <c r="S6" s="1" t="s">
        <v>223</v>
      </c>
      <c r="T6" s="1" t="s">
        <v>606</v>
      </c>
      <c r="U6" s="133" t="s">
        <v>607</v>
      </c>
      <c r="V6" s="132" t="s">
        <v>608</v>
      </c>
      <c r="W6" s="1" t="s">
        <v>609</v>
      </c>
      <c r="X6" s="133" t="s">
        <v>610</v>
      </c>
      <c r="Y6" s="132" t="s">
        <v>611</v>
      </c>
      <c r="Z6" s="1" t="s">
        <v>612</v>
      </c>
      <c r="AA6" s="1" t="s">
        <v>613</v>
      </c>
      <c r="AB6" s="134" t="s">
        <v>614</v>
      </c>
      <c r="AC6" s="134" t="s">
        <v>615</v>
      </c>
      <c r="AD6" s="135" t="s">
        <v>616</v>
      </c>
      <c r="AE6" s="132" t="s">
        <v>617</v>
      </c>
      <c r="AF6" s="1" t="s">
        <v>618</v>
      </c>
      <c r="AG6" s="134" t="s">
        <v>619</v>
      </c>
      <c r="AH6" s="134" t="s">
        <v>620</v>
      </c>
      <c r="AI6" s="135" t="s">
        <v>621</v>
      </c>
      <c r="AJ6" s="132" t="s">
        <v>622</v>
      </c>
      <c r="AK6" s="1" t="s">
        <v>623</v>
      </c>
      <c r="AL6" s="1" t="s">
        <v>624</v>
      </c>
      <c r="AM6" s="1" t="s">
        <v>625</v>
      </c>
      <c r="AN6" s="136" t="s">
        <v>626</v>
      </c>
      <c r="AO6" s="133" t="s">
        <v>627</v>
      </c>
      <c r="AP6" s="132" t="s">
        <v>628</v>
      </c>
      <c r="AQ6" s="137" t="s">
        <v>615</v>
      </c>
      <c r="AR6" s="137" t="s">
        <v>629</v>
      </c>
      <c r="AS6" s="1" t="s">
        <v>630</v>
      </c>
      <c r="AT6" s="133" t="s">
        <v>631</v>
      </c>
      <c r="AU6" s="132" t="s">
        <v>632</v>
      </c>
      <c r="AV6" s="1" t="s">
        <v>633</v>
      </c>
      <c r="AW6" s="133" t="s">
        <v>634</v>
      </c>
    </row>
    <row r="7" spans="1:49" x14ac:dyDescent="0.15">
      <c r="Q7">
        <v>0</v>
      </c>
      <c r="R7" s="132">
        <f t="shared" ref="R7:R70" si="0">VOUT</f>
        <v>60</v>
      </c>
      <c r="S7" s="1">
        <f t="shared" ref="S7:S38" si="1">IOUT</f>
        <v>7.52</v>
      </c>
      <c r="T7" s="1">
        <f t="shared" ref="T7:T38" si="2">VIN_MIN+($O$12)*(Q7)</f>
        <v>18</v>
      </c>
      <c r="U7" s="133">
        <f>(R7*S7)/(T7*EFF_est)</f>
        <v>25.066666666666666</v>
      </c>
      <c r="V7" s="132">
        <f>IF(Calculations!$B$17=3,2,IF((S7*R7/T7)&lt;((T7*(1-(T7/R7)))/(2*Lm*fsw)),1,2))</f>
        <v>2</v>
      </c>
      <c r="W7" s="1">
        <f>CHOOSE(V7,SQRT((2*S7*Lm*fsw*(R7-T7))/((T7)^2)),1-(T7/R7))</f>
        <v>0.7</v>
      </c>
      <c r="X7" s="133">
        <f t="shared" ref="X7:X70" si="3">CHOOSE(V7,(Lm*Z7*fsw)/(R7-T7),1-W7)</f>
        <v>0.30000000000000004</v>
      </c>
      <c r="Y7" s="132">
        <f t="shared" ref="Y7:Y70" si="4">(T7*W7)/(Lm*fsw)</f>
        <v>9.6923076923076916</v>
      </c>
      <c r="Z7" s="1">
        <f>CHOOSE(V7,Y7,U7+(0.5*Y7))</f>
        <v>29.912820512820513</v>
      </c>
      <c r="AA7" s="1">
        <f>CHOOSE(V7,Z7*SQRT((W7+X7)/3),SQRT((U7^2)+((Y7^2)/12)))</f>
        <v>25.222334946325681</v>
      </c>
      <c r="AB7" s="1">
        <v>0</v>
      </c>
      <c r="AC7" s="1">
        <f>(AA7^2)*Rdcr</f>
        <v>1.3041406692965152</v>
      </c>
      <c r="AD7" s="133">
        <f>AB7+AC7</f>
        <v>1.3041406692965152</v>
      </c>
      <c r="AE7" s="132">
        <f>U7*W7</f>
        <v>17.546666666666667</v>
      </c>
      <c r="AF7" s="1">
        <f>CHOOSE(V7,Z7*SQRT(W7/3),SQRT(W7*((Z7^2)+((Y7^2)/3)-(Z7*Y7))))</f>
        <v>21.102519425444186</v>
      </c>
      <c r="AG7" s="1">
        <f t="shared" ref="AG7:AG70" si="5">(AF7^2)*RDS_on</f>
        <v>0.44531632610124922</v>
      </c>
      <c r="AH7" s="1">
        <f>((R7*U7)/2)*fsw*(tr_sw+tf_sw)</f>
        <v>1.5675358391903118</v>
      </c>
      <c r="AI7" s="133">
        <f>AG7+AH7</f>
        <v>2.012852165291561</v>
      </c>
      <c r="AJ7" s="132">
        <f>X7*U7</f>
        <v>7.5200000000000014</v>
      </c>
      <c r="AK7" s="1">
        <f>CHOOSE(V7,Z7*SQRT(X7/3),SQRT(X7*((Z7^2)+((Y7^2)/3)-(Y7*Z7))))</f>
        <v>13.814841803053429</v>
      </c>
      <c r="AL7" s="1">
        <f t="shared" ref="AL7:AL70" si="6">(AK7^2)*RDS_on_HS</f>
        <v>0.19084985404339253</v>
      </c>
      <c r="AM7" s="1">
        <f>CHOOSE(V7,0,(R7+Vd_rect)*Qrr*fsw)</f>
        <v>0.26083200000000001</v>
      </c>
      <c r="AN7" s="136">
        <f>Vd_rect*t_dead*fsw*Z7</f>
        <v>0.24887466666666669</v>
      </c>
      <c r="AO7" s="133">
        <f>AL7+AM7+AN7</f>
        <v>0.70055652071005925</v>
      </c>
      <c r="AP7" s="132">
        <f t="shared" ref="AP7:AP70" si="7">(AA7^2)*Rcs</f>
        <v>1.2723323602892833</v>
      </c>
      <c r="AQ7" s="137">
        <f t="shared" ref="AQ7:AQ70" si="8">Rdcr*AA7^2</f>
        <v>1.3041406692965152</v>
      </c>
      <c r="AR7" s="137">
        <f t="shared" ref="AR7:AR70" si="9">ABS(7.759*10^-3*fsw^0.9458*(0.00787*Y7)^2.304)</f>
        <v>1.4178406059200617</v>
      </c>
      <c r="AS7" s="1">
        <f t="shared" ref="AS7:AS70" si="10">(Qg_tot+Qg_tot_HS)*VCC*fsw</f>
        <v>1.9759999999999996E-2</v>
      </c>
      <c r="AT7" s="133">
        <f>IQ*T7</f>
        <v>7.2000000000000008E-2</v>
      </c>
      <c r="AU7" s="132">
        <f>AP7+AO7+AI7+AD7+AS7+AT7+AQ7+AR7</f>
        <v>8.103622990803995</v>
      </c>
      <c r="AV7" s="1">
        <f>R7*S7</f>
        <v>451.2</v>
      </c>
      <c r="AW7" s="133">
        <f>(AV7/(AV7+AU7))*100</f>
        <v>98.235671876908697</v>
      </c>
    </row>
    <row r="8" spans="1:49" x14ac:dyDescent="0.15">
      <c r="M8">
        <f>fsw</f>
        <v>130000</v>
      </c>
      <c r="Q8">
        <v>1</v>
      </c>
      <c r="R8" s="132">
        <f t="shared" si="0"/>
        <v>60</v>
      </c>
      <c r="S8" s="1">
        <f t="shared" si="1"/>
        <v>7.52</v>
      </c>
      <c r="T8" s="1">
        <f t="shared" si="2"/>
        <v>18.28</v>
      </c>
      <c r="U8" s="133">
        <f t="shared" ref="U8:U71" si="11">(R8*S8)/(T8*EFF_est)</f>
        <v>24.682713347921222</v>
      </c>
      <c r="V8" s="132">
        <f>IF(Calculations!$B$17=3,2,IF((S8*R8/T8)&lt;((T8*(1-(T8/R8)))/(2*Lm*fsw)),1,2))</f>
        <v>2</v>
      </c>
      <c r="W8" s="1">
        <f t="shared" ref="W8:W71" si="12">CHOOSE(V8,SQRT((2*S8*Lm*fsw*(R8-T8))/((T8)^2)),1-(T8/R8))</f>
        <v>0.69533333333333336</v>
      </c>
      <c r="X8" s="133">
        <f t="shared" si="3"/>
        <v>0.30466666666666664</v>
      </c>
      <c r="Y8" s="132">
        <f t="shared" si="4"/>
        <v>9.777456410256411</v>
      </c>
      <c r="Z8" s="1">
        <f t="shared" ref="Z8:Z71" si="13">CHOOSE(V8,Y8,U8+(0.5*Y8))</f>
        <v>29.571441553049429</v>
      </c>
      <c r="AA8" s="1">
        <f t="shared" ref="AA8:AA71" si="14">CHOOSE(V8,Z8*SQRT((W8+X8)/3),SQRT((U8^2)+((Y8^2)/12)))</f>
        <v>24.843568437394829</v>
      </c>
      <c r="AB8" s="1">
        <v>0</v>
      </c>
      <c r="AC8" s="1">
        <f t="shared" ref="AC8:AC71" si="15">(AA8^2)*Rdcr</f>
        <v>1.2652659300422169</v>
      </c>
      <c r="AD8" s="133">
        <f t="shared" ref="AD8:AD71" si="16">AB8+AC8</f>
        <v>1.2652659300422169</v>
      </c>
      <c r="AE8" s="132">
        <f>U8*W8</f>
        <v>17.162713347921223</v>
      </c>
      <c r="AF8" s="1">
        <f t="shared" ref="AF8:AF71" si="17">CHOOSE(V8,Z8*SQRT(W8/3),SQRT(W8*((Z8^2)+((Y8^2)/3)-(Z8*Y8))))</f>
        <v>20.716219363738031</v>
      </c>
      <c r="AG8" s="1">
        <f t="shared" si="5"/>
        <v>0.42916174472651453</v>
      </c>
      <c r="AH8" s="1">
        <f t="shared" ref="AH8:AH71" si="18">((R8*U8)/2)*fsw*(tr_sw+tf_sw)</f>
        <v>1.5435254434040269</v>
      </c>
      <c r="AI8" s="133">
        <f t="shared" ref="AI8:AI71" si="19">AG8+AH8</f>
        <v>1.9726871881305414</v>
      </c>
      <c r="AJ8" s="132">
        <f t="shared" ref="AJ8:AJ71" si="20">X8*U8</f>
        <v>7.5199999999999987</v>
      </c>
      <c r="AK8" s="1">
        <f t="shared" ref="AK8:AK71" si="21">CHOOSE(V8,Z8*SQRT(X8/3),SQRT(X8*((Z8^2)+((Y8^2)/3)-(Y8*Z8))))</f>
        <v>13.712809631034986</v>
      </c>
      <c r="AL8" s="1">
        <f t="shared" si="6"/>
        <v>0.18804114797700586</v>
      </c>
      <c r="AM8" s="1">
        <f t="shared" ref="AM8:AM71" si="22">CHOOSE(V8,(R8+Vd_rect)*Qrr*fsw,(R8+Vd_rect)*Qrr*fsw)</f>
        <v>0.26083200000000001</v>
      </c>
      <c r="AN8" s="136">
        <f>Vd_rect*t_dead*fsw*Z8</f>
        <v>0.24603439372137129</v>
      </c>
      <c r="AO8" s="133">
        <f t="shared" ref="AO8:AO71" si="23">AL8+AM8+AN8</f>
        <v>0.6949075416983771</v>
      </c>
      <c r="AP8" s="132">
        <f t="shared" si="7"/>
        <v>1.2344057854070412</v>
      </c>
      <c r="AQ8" s="137">
        <f t="shared" si="8"/>
        <v>1.2652659300422169</v>
      </c>
      <c r="AR8" s="137">
        <f t="shared" si="9"/>
        <v>1.4467037421798128</v>
      </c>
      <c r="AS8" s="1">
        <f t="shared" si="10"/>
        <v>1.9759999999999996E-2</v>
      </c>
      <c r="AT8" s="133">
        <f t="shared" ref="AT8:AT71" si="24">IQ*T8</f>
        <v>7.3120000000000004E-2</v>
      </c>
      <c r="AU8" s="132">
        <f t="shared" ref="AU8:AU71" si="25">AP8+AO8+AI8+AD8+AS8+AT8+AQ8+AR8</f>
        <v>7.9721161175002067</v>
      </c>
      <c r="AV8" s="1">
        <f t="shared" ref="AV8:AV71" si="26">R8*S8</f>
        <v>451.2</v>
      </c>
      <c r="AW8" s="133">
        <f t="shared" ref="AW8:AW71" si="27">(AV8/(AV8+AU8))*100</f>
        <v>98.263806568894481</v>
      </c>
    </row>
    <row r="9" spans="1:49" x14ac:dyDescent="0.15">
      <c r="N9" s="1" t="s">
        <v>451</v>
      </c>
      <c r="O9" s="1">
        <f>Vin_vari</f>
        <v>20</v>
      </c>
      <c r="P9" t="s">
        <v>34</v>
      </c>
      <c r="Q9">
        <v>2</v>
      </c>
      <c r="R9" s="132">
        <f t="shared" si="0"/>
        <v>60</v>
      </c>
      <c r="S9" s="1">
        <f t="shared" si="1"/>
        <v>7.52</v>
      </c>
      <c r="T9" s="1">
        <f t="shared" si="2"/>
        <v>18.559999999999999</v>
      </c>
      <c r="U9" s="133">
        <f t="shared" si="11"/>
        <v>24.310344827586206</v>
      </c>
      <c r="V9" s="132">
        <f>IF(Calculations!$B$17=3,2,IF((S9*R9/T9)&lt;((T9*(1-(T9/R9)))/(2*Lm*fsw)),1,2))</f>
        <v>2</v>
      </c>
      <c r="W9" s="1">
        <f t="shared" si="12"/>
        <v>0.69066666666666676</v>
      </c>
      <c r="X9" s="133">
        <f t="shared" si="3"/>
        <v>0.30933333333333324</v>
      </c>
      <c r="Y9" s="132">
        <f t="shared" si="4"/>
        <v>9.8605948717948717</v>
      </c>
      <c r="Z9" s="1">
        <f t="shared" si="13"/>
        <v>29.240642263483643</v>
      </c>
      <c r="AA9" s="1">
        <f t="shared" si="14"/>
        <v>24.476426956801102</v>
      </c>
      <c r="AB9" s="1">
        <v>0</v>
      </c>
      <c r="AC9" s="1">
        <f t="shared" si="15"/>
        <v>1.2281457269718201</v>
      </c>
      <c r="AD9" s="133">
        <f t="shared" si="16"/>
        <v>1.2281457269718201</v>
      </c>
      <c r="AE9" s="132">
        <f t="shared" ref="AE9:AE72" si="28">U9*W9</f>
        <v>16.79034482758621</v>
      </c>
      <c r="AF9" s="1">
        <f t="shared" si="17"/>
        <v>20.341466904301637</v>
      </c>
      <c r="AG9" s="1">
        <f t="shared" si="5"/>
        <v>0.41377527581879886</v>
      </c>
      <c r="AH9" s="1">
        <f t="shared" si="18"/>
        <v>1.5202394992147421</v>
      </c>
      <c r="AI9" s="133">
        <f t="shared" si="19"/>
        <v>1.934014775033541</v>
      </c>
      <c r="AJ9" s="132">
        <f t="shared" si="20"/>
        <v>7.5199999999999978</v>
      </c>
      <c r="AK9" s="1">
        <f t="shared" si="21"/>
        <v>13.613236233637503</v>
      </c>
      <c r="AL9" s="1">
        <f t="shared" si="6"/>
        <v>0.18532020075282099</v>
      </c>
      <c r="AM9" s="1">
        <f t="shared" si="22"/>
        <v>0.26083200000000001</v>
      </c>
      <c r="AN9" s="136">
        <f t="shared" ref="AN9:AN72" si="29">Vd_rect*t_dead*fsw*Z9</f>
        <v>0.24328214363218395</v>
      </c>
      <c r="AO9" s="133">
        <f t="shared" si="23"/>
        <v>0.68943434438500495</v>
      </c>
      <c r="AP9" s="132">
        <f t="shared" si="7"/>
        <v>1.1981909531432393</v>
      </c>
      <c r="AQ9" s="137">
        <f t="shared" si="8"/>
        <v>1.2281457269718201</v>
      </c>
      <c r="AR9" s="137">
        <f t="shared" si="9"/>
        <v>1.4752035096432528</v>
      </c>
      <c r="AS9" s="1">
        <f t="shared" si="10"/>
        <v>1.9759999999999996E-2</v>
      </c>
      <c r="AT9" s="133">
        <f t="shared" si="24"/>
        <v>7.424E-2</v>
      </c>
      <c r="AU9" s="132">
        <f t="shared" si="25"/>
        <v>7.8471350361486776</v>
      </c>
      <c r="AV9" s="1">
        <f t="shared" si="26"/>
        <v>451.2</v>
      </c>
      <c r="AW9" s="133">
        <f t="shared" si="27"/>
        <v>98.290560067316235</v>
      </c>
    </row>
    <row r="10" spans="1:49" x14ac:dyDescent="0.15">
      <c r="N10" s="1"/>
      <c r="O10" s="1"/>
      <c r="Q10">
        <v>3</v>
      </c>
      <c r="R10" s="132">
        <f t="shared" si="0"/>
        <v>60</v>
      </c>
      <c r="S10" s="1">
        <f t="shared" si="1"/>
        <v>7.52</v>
      </c>
      <c r="T10" s="1">
        <f t="shared" si="2"/>
        <v>18.84</v>
      </c>
      <c r="U10" s="133">
        <f t="shared" si="11"/>
        <v>23.949044585987259</v>
      </c>
      <c r="V10" s="132">
        <f>IF(Calculations!$B$17=3,2,IF((S10*R10/T10)&lt;((T10*(1-(T10/R10)))/(2*Lm*fsw)),1,2))</f>
        <v>2</v>
      </c>
      <c r="W10" s="1">
        <f t="shared" si="12"/>
        <v>0.68599999999999994</v>
      </c>
      <c r="X10" s="133">
        <f t="shared" si="3"/>
        <v>0.31400000000000006</v>
      </c>
      <c r="Y10" s="132">
        <f t="shared" si="4"/>
        <v>9.9417230769230756</v>
      </c>
      <c r="Z10" s="1">
        <f t="shared" si="13"/>
        <v>28.919906124448797</v>
      </c>
      <c r="AA10" s="1">
        <f t="shared" si="14"/>
        <v>24.120390227491296</v>
      </c>
      <c r="AB10" s="1">
        <v>0</v>
      </c>
      <c r="AC10" s="1">
        <f t="shared" si="15"/>
        <v>1.1926761106892378</v>
      </c>
      <c r="AD10" s="133">
        <f t="shared" si="16"/>
        <v>1.1926761106892378</v>
      </c>
      <c r="AE10" s="132">
        <f t="shared" si="28"/>
        <v>16.42904458598726</v>
      </c>
      <c r="AF10" s="1">
        <f t="shared" si="17"/>
        <v>19.977741417946874</v>
      </c>
      <c r="AG10" s="1">
        <f t="shared" si="5"/>
        <v>0.39911015216234996</v>
      </c>
      <c r="AH10" s="1">
        <f t="shared" si="18"/>
        <v>1.4976457062327819</v>
      </c>
      <c r="AI10" s="133">
        <f t="shared" si="19"/>
        <v>1.8967558583951318</v>
      </c>
      <c r="AJ10" s="132">
        <f t="shared" si="20"/>
        <v>7.5200000000000005</v>
      </c>
      <c r="AK10" s="1">
        <f t="shared" si="21"/>
        <v>13.516030207280085</v>
      </c>
      <c r="AL10" s="1">
        <f t="shared" si="6"/>
        <v>0.18268307256410773</v>
      </c>
      <c r="AM10" s="1">
        <f t="shared" si="22"/>
        <v>0.26083200000000001</v>
      </c>
      <c r="AN10" s="136">
        <f t="shared" si="29"/>
        <v>0.24061361895541403</v>
      </c>
      <c r="AO10" s="133">
        <f t="shared" si="23"/>
        <v>0.68412869151952171</v>
      </c>
      <c r="AP10" s="132">
        <f t="shared" si="7"/>
        <v>1.1635864494529151</v>
      </c>
      <c r="AQ10" s="137">
        <f t="shared" si="8"/>
        <v>1.1926761106892378</v>
      </c>
      <c r="AR10" s="137">
        <f t="shared" si="9"/>
        <v>1.5033178934842542</v>
      </c>
      <c r="AS10" s="1">
        <f t="shared" si="10"/>
        <v>1.9759999999999996E-2</v>
      </c>
      <c r="AT10" s="133">
        <f t="shared" si="24"/>
        <v>7.5359999999999996E-2</v>
      </c>
      <c r="AU10" s="132">
        <f t="shared" si="25"/>
        <v>7.7282611142302979</v>
      </c>
      <c r="AV10" s="1">
        <f t="shared" si="26"/>
        <v>451.2</v>
      </c>
      <c r="AW10" s="133">
        <f t="shared" si="27"/>
        <v>98.316019785866558</v>
      </c>
    </row>
    <row r="11" spans="1:49" x14ac:dyDescent="0.15">
      <c r="N11" s="1" t="s">
        <v>258</v>
      </c>
      <c r="O11" s="1">
        <v>150</v>
      </c>
      <c r="Q11">
        <v>4</v>
      </c>
      <c r="R11" s="132">
        <f t="shared" si="0"/>
        <v>60</v>
      </c>
      <c r="S11" s="1">
        <f t="shared" si="1"/>
        <v>7.52</v>
      </c>
      <c r="T11" s="1">
        <f t="shared" si="2"/>
        <v>19.12</v>
      </c>
      <c r="U11" s="133">
        <f t="shared" si="11"/>
        <v>23.598326359832633</v>
      </c>
      <c r="V11" s="132">
        <f>IF(Calculations!$B$17=3,2,IF((S11*R11/T11)&lt;((T11*(1-(T11/R11)))/(2*Lm*fsw)),1,2))</f>
        <v>2</v>
      </c>
      <c r="W11" s="1">
        <f t="shared" si="12"/>
        <v>0.68133333333333335</v>
      </c>
      <c r="X11" s="133">
        <f t="shared" si="3"/>
        <v>0.31866666666666665</v>
      </c>
      <c r="Y11" s="132">
        <f t="shared" si="4"/>
        <v>10.020841025641026</v>
      </c>
      <c r="Z11" s="1">
        <f t="shared" si="13"/>
        <v>28.608746872653146</v>
      </c>
      <c r="AA11" s="1">
        <f t="shared" si="14"/>
        <v>23.774968171523089</v>
      </c>
      <c r="AB11" s="1">
        <v>0</v>
      </c>
      <c r="AC11" s="1">
        <f t="shared" si="15"/>
        <v>1.1587606786917184</v>
      </c>
      <c r="AD11" s="133">
        <f t="shared" si="16"/>
        <v>1.1587606786917184</v>
      </c>
      <c r="AE11" s="132">
        <f t="shared" si="28"/>
        <v>16.078326359832634</v>
      </c>
      <c r="AF11" s="1">
        <f t="shared" si="17"/>
        <v>19.624552513134976</v>
      </c>
      <c r="AG11" s="1">
        <f t="shared" si="5"/>
        <v>0.38512306134079227</v>
      </c>
      <c r="AH11" s="1">
        <f t="shared" si="18"/>
        <v>1.475713656141507</v>
      </c>
      <c r="AI11" s="133">
        <f t="shared" si="19"/>
        <v>1.8608367174822993</v>
      </c>
      <c r="AJ11" s="132">
        <f t="shared" si="20"/>
        <v>7.5199999999999987</v>
      </c>
      <c r="AK11" s="1">
        <f t="shared" si="21"/>
        <v>13.421104657074379</v>
      </c>
      <c r="AL11" s="1">
        <f t="shared" si="6"/>
        <v>0.18012605021614359</v>
      </c>
      <c r="AM11" s="1">
        <f t="shared" si="22"/>
        <v>0.26083200000000001</v>
      </c>
      <c r="AN11" s="136">
        <f t="shared" si="29"/>
        <v>0.2380247739804742</v>
      </c>
      <c r="AO11" s="133">
        <f t="shared" si="23"/>
        <v>0.67898282419661782</v>
      </c>
      <c r="AP11" s="132">
        <f t="shared" si="7"/>
        <v>1.1304982231138718</v>
      </c>
      <c r="AQ11" s="137">
        <f t="shared" si="8"/>
        <v>1.1587606786917184</v>
      </c>
      <c r="AR11" s="137">
        <f t="shared" si="9"/>
        <v>1.5310253125888036</v>
      </c>
      <c r="AS11" s="1">
        <f t="shared" si="10"/>
        <v>1.9759999999999996E-2</v>
      </c>
      <c r="AT11" s="133">
        <f t="shared" si="24"/>
        <v>7.6480000000000006E-2</v>
      </c>
      <c r="AU11" s="132">
        <f t="shared" si="25"/>
        <v>7.615104434765029</v>
      </c>
      <c r="AV11" s="1">
        <f t="shared" si="26"/>
        <v>451.2</v>
      </c>
      <c r="AW11" s="133">
        <f t="shared" si="27"/>
        <v>98.340267275170362</v>
      </c>
    </row>
    <row r="12" spans="1:49" x14ac:dyDescent="0.15">
      <c r="N12" s="1" t="s">
        <v>635</v>
      </c>
      <c r="O12" s="1">
        <f>(VIN_MAX-VIN_MIN)/(O11)</f>
        <v>0.28000000000000003</v>
      </c>
      <c r="Q12">
        <v>5</v>
      </c>
      <c r="R12" s="132">
        <f t="shared" si="0"/>
        <v>60</v>
      </c>
      <c r="S12" s="1">
        <f t="shared" si="1"/>
        <v>7.52</v>
      </c>
      <c r="T12" s="1">
        <f t="shared" si="2"/>
        <v>19.399999999999999</v>
      </c>
      <c r="U12" s="133">
        <f t="shared" si="11"/>
        <v>23.257731958762889</v>
      </c>
      <c r="V12" s="132">
        <f>IF(Calculations!$B$17=3,2,IF((S12*R12/T12)&lt;((T12*(1-(T12/R12)))/(2*Lm*fsw)),1,2))</f>
        <v>2</v>
      </c>
      <c r="W12" s="1">
        <f t="shared" si="12"/>
        <v>0.67666666666666675</v>
      </c>
      <c r="X12" s="133">
        <f t="shared" si="3"/>
        <v>0.32333333333333325</v>
      </c>
      <c r="Y12" s="132">
        <f t="shared" si="4"/>
        <v>10.097948717948718</v>
      </c>
      <c r="Z12" s="1">
        <f t="shared" si="13"/>
        <v>28.306706317737248</v>
      </c>
      <c r="AA12" s="1">
        <f t="shared" si="14"/>
        <v>23.439698730107168</v>
      </c>
      <c r="AB12" s="1">
        <v>0</v>
      </c>
      <c r="AC12" s="1">
        <f t="shared" si="15"/>
        <v>1.1263099269442842</v>
      </c>
      <c r="AD12" s="133">
        <f t="shared" si="16"/>
        <v>1.1263099269442842</v>
      </c>
      <c r="AE12" s="132">
        <f t="shared" si="28"/>
        <v>15.73773195876289</v>
      </c>
      <c r="AF12" s="1">
        <f t="shared" si="17"/>
        <v>19.281437856248523</v>
      </c>
      <c r="AG12" s="1">
        <f t="shared" si="5"/>
        <v>0.37177384580437367</v>
      </c>
      <c r="AH12" s="1">
        <f t="shared" si="18"/>
        <v>1.4544146961559599</v>
      </c>
      <c r="AI12" s="133">
        <f t="shared" si="19"/>
        <v>1.8261885419603336</v>
      </c>
      <c r="AJ12" s="132">
        <f t="shared" si="20"/>
        <v>7.5199999999999987</v>
      </c>
      <c r="AK12" s="1">
        <f t="shared" si="21"/>
        <v>13.328376898700528</v>
      </c>
      <c r="AL12" s="1">
        <f t="shared" si="6"/>
        <v>0.1776456307538139</v>
      </c>
      <c r="AM12" s="1">
        <f t="shared" si="22"/>
        <v>0.26083200000000001</v>
      </c>
      <c r="AN12" s="136">
        <f t="shared" si="29"/>
        <v>0.23551179656357393</v>
      </c>
      <c r="AO12" s="133">
        <f t="shared" si="23"/>
        <v>0.67398942731738787</v>
      </c>
      <c r="AP12" s="132">
        <f t="shared" si="7"/>
        <v>1.0988389531163751</v>
      </c>
      <c r="AQ12" s="137">
        <f t="shared" si="8"/>
        <v>1.1263099269442842</v>
      </c>
      <c r="AR12" s="137">
        <f t="shared" si="9"/>
        <v>1.5583046275651686</v>
      </c>
      <c r="AS12" s="1">
        <f t="shared" si="10"/>
        <v>1.9759999999999996E-2</v>
      </c>
      <c r="AT12" s="133">
        <f t="shared" si="24"/>
        <v>7.7600000000000002E-2</v>
      </c>
      <c r="AU12" s="132">
        <f t="shared" si="25"/>
        <v>7.5073014038478334</v>
      </c>
      <c r="AV12" s="1">
        <f t="shared" si="26"/>
        <v>451.2</v>
      </c>
      <c r="AW12" s="133">
        <f t="shared" si="27"/>
        <v>98.363378699037014</v>
      </c>
    </row>
    <row r="13" spans="1:49" x14ac:dyDescent="0.15">
      <c r="Q13">
        <v>6</v>
      </c>
      <c r="R13" s="132">
        <f t="shared" si="0"/>
        <v>60</v>
      </c>
      <c r="S13" s="1">
        <f t="shared" si="1"/>
        <v>7.52</v>
      </c>
      <c r="T13" s="1">
        <f t="shared" si="2"/>
        <v>19.68</v>
      </c>
      <c r="U13" s="133">
        <f t="shared" si="11"/>
        <v>22.926829268292682</v>
      </c>
      <c r="V13" s="132">
        <f>IF(Calculations!$B$17=3,2,IF((S13*R13/T13)&lt;((T13*(1-(T13/R13)))/(2*Lm*fsw)),1,2))</f>
        <v>2</v>
      </c>
      <c r="W13" s="1">
        <f t="shared" si="12"/>
        <v>0.67199999999999993</v>
      </c>
      <c r="X13" s="133">
        <f t="shared" si="3"/>
        <v>0.32800000000000007</v>
      </c>
      <c r="Y13" s="132">
        <f t="shared" si="4"/>
        <v>10.173046153846151</v>
      </c>
      <c r="Z13" s="1">
        <f t="shared" si="13"/>
        <v>28.013352345215758</v>
      </c>
      <c r="AA13" s="1">
        <f t="shared" si="14"/>
        <v>23.114145870039533</v>
      </c>
      <c r="AB13" s="1">
        <v>0</v>
      </c>
      <c r="AC13" s="1">
        <f t="shared" si="15"/>
        <v>1.0952406655680043</v>
      </c>
      <c r="AD13" s="133">
        <f t="shared" si="16"/>
        <v>1.0952406655680043</v>
      </c>
      <c r="AE13" s="132">
        <f t="shared" si="28"/>
        <v>15.406829268292681</v>
      </c>
      <c r="AF13" s="1">
        <f t="shared" si="17"/>
        <v>18.947961178200277</v>
      </c>
      <c r="AG13" s="1">
        <f t="shared" si="5"/>
        <v>0.35902523281058485</v>
      </c>
      <c r="AH13" s="1">
        <f t="shared" si="18"/>
        <v>1.4337218041374804</v>
      </c>
      <c r="AI13" s="133">
        <f t="shared" si="19"/>
        <v>1.7927470369480654</v>
      </c>
      <c r="AJ13" s="132">
        <f t="shared" si="20"/>
        <v>7.5200000000000014</v>
      </c>
      <c r="AK13" s="1">
        <f t="shared" si="21"/>
        <v>13.237768183907768</v>
      </c>
      <c r="AL13" s="1">
        <f t="shared" si="6"/>
        <v>0.1752385064908808</v>
      </c>
      <c r="AM13" s="1">
        <f t="shared" si="22"/>
        <v>0.26083200000000001</v>
      </c>
      <c r="AN13" s="136">
        <f t="shared" si="29"/>
        <v>0.23307109151219513</v>
      </c>
      <c r="AO13" s="133">
        <f t="shared" si="23"/>
        <v>0.66914159800307593</v>
      </c>
      <c r="AP13" s="132">
        <f t="shared" si="7"/>
        <v>1.0685274786029311</v>
      </c>
      <c r="AQ13" s="137">
        <f t="shared" si="8"/>
        <v>1.0952406655680043</v>
      </c>
      <c r="AR13" s="137">
        <f t="shared" si="9"/>
        <v>1.5851351484474749</v>
      </c>
      <c r="AS13" s="1">
        <f t="shared" si="10"/>
        <v>1.9759999999999996E-2</v>
      </c>
      <c r="AT13" s="133">
        <f t="shared" si="24"/>
        <v>7.8719999999999998E-2</v>
      </c>
      <c r="AU13" s="132">
        <f t="shared" si="25"/>
        <v>7.4045125931375546</v>
      </c>
      <c r="AV13" s="1">
        <f t="shared" si="26"/>
        <v>451.2</v>
      </c>
      <c r="AW13" s="133">
        <f t="shared" si="27"/>
        <v>98.385425265165978</v>
      </c>
    </row>
    <row r="14" spans="1:49" x14ac:dyDescent="0.15">
      <c r="Q14">
        <v>7</v>
      </c>
      <c r="R14" s="132">
        <f t="shared" si="0"/>
        <v>60</v>
      </c>
      <c r="S14" s="1">
        <f t="shared" si="1"/>
        <v>7.52</v>
      </c>
      <c r="T14" s="1">
        <f t="shared" si="2"/>
        <v>19.96</v>
      </c>
      <c r="U14" s="133">
        <f t="shared" si="11"/>
        <v>22.605210420841683</v>
      </c>
      <c r="V14" s="132">
        <f>IF(Calculations!$B$17=3,2,IF((S14*R14/T14)&lt;((T14*(1-(T14/R14)))/(2*Lm*fsw)),1,2))</f>
        <v>2</v>
      </c>
      <c r="W14" s="1">
        <f t="shared" si="12"/>
        <v>0.66733333333333333</v>
      </c>
      <c r="X14" s="133">
        <f t="shared" si="3"/>
        <v>0.33266666666666667</v>
      </c>
      <c r="Y14" s="132">
        <f t="shared" si="4"/>
        <v>10.246133333333333</v>
      </c>
      <c r="Z14" s="1">
        <f t="shared" si="13"/>
        <v>27.728277087508349</v>
      </c>
      <c r="AA14" s="1">
        <f t="shared" si="14"/>
        <v>22.797897758219573</v>
      </c>
      <c r="AB14" s="1">
        <v>0</v>
      </c>
      <c r="AC14" s="1">
        <f t="shared" si="15"/>
        <v>1.0654754914981777</v>
      </c>
      <c r="AD14" s="133">
        <f t="shared" si="16"/>
        <v>1.0654754914981777</v>
      </c>
      <c r="AE14" s="132">
        <f t="shared" si="28"/>
        <v>15.085210420841683</v>
      </c>
      <c r="AF14" s="1">
        <f t="shared" si="17"/>
        <v>18.623710449074093</v>
      </c>
      <c r="AG14" s="1">
        <f t="shared" si="5"/>
        <v>0.34684259089095154</v>
      </c>
      <c r="AH14" s="1">
        <f t="shared" si="18"/>
        <v>1.4136094742197203</v>
      </c>
      <c r="AI14" s="133">
        <f t="shared" si="19"/>
        <v>1.7604520651106719</v>
      </c>
      <c r="AJ14" s="132">
        <f t="shared" si="20"/>
        <v>7.52</v>
      </c>
      <c r="AK14" s="1">
        <f t="shared" si="21"/>
        <v>13.149203447482343</v>
      </c>
      <c r="AL14" s="1">
        <f t="shared" si="6"/>
        <v>0.17290155130328155</v>
      </c>
      <c r="AM14" s="1">
        <f t="shared" si="22"/>
        <v>0.26083200000000001</v>
      </c>
      <c r="AN14" s="136">
        <f t="shared" si="29"/>
        <v>0.23069926536806951</v>
      </c>
      <c r="AO14" s="133">
        <f t="shared" si="23"/>
        <v>0.66443281667135112</v>
      </c>
      <c r="AP14" s="132">
        <f t="shared" si="7"/>
        <v>1.0394882843884661</v>
      </c>
      <c r="AQ14" s="137">
        <f t="shared" si="8"/>
        <v>1.0654754914981777</v>
      </c>
      <c r="AR14" s="137">
        <f t="shared" si="9"/>
        <v>1.6114966421033587</v>
      </c>
      <c r="AS14" s="1">
        <f t="shared" si="10"/>
        <v>1.9759999999999996E-2</v>
      </c>
      <c r="AT14" s="133">
        <f t="shared" si="24"/>
        <v>7.9840000000000008E-2</v>
      </c>
      <c r="AU14" s="132">
        <f t="shared" si="25"/>
        <v>7.3064207912702024</v>
      </c>
      <c r="AV14" s="1">
        <f t="shared" si="26"/>
        <v>451.2</v>
      </c>
      <c r="AW14" s="133">
        <f t="shared" si="27"/>
        <v>98.406473615208895</v>
      </c>
    </row>
    <row r="15" spans="1:49" x14ac:dyDescent="0.15">
      <c r="O15">
        <f>0.205*2.5/(Lm*fsw)</f>
        <v>0.39423076923076916</v>
      </c>
      <c r="Q15">
        <v>8</v>
      </c>
      <c r="R15" s="132">
        <f t="shared" si="0"/>
        <v>60</v>
      </c>
      <c r="S15" s="1">
        <f t="shared" si="1"/>
        <v>7.52</v>
      </c>
      <c r="T15" s="1">
        <f t="shared" si="2"/>
        <v>20.240000000000002</v>
      </c>
      <c r="U15" s="133">
        <f t="shared" si="11"/>
        <v>22.292490118577071</v>
      </c>
      <c r="V15" s="132">
        <f>IF(Calculations!$B$17=3,2,IF((S15*R15/T15)&lt;((T15*(1-(T15/R15)))/(2*Lm*fsw)),1,2))</f>
        <v>2</v>
      </c>
      <c r="W15" s="1">
        <f t="shared" si="12"/>
        <v>0.66266666666666663</v>
      </c>
      <c r="X15" s="133">
        <f t="shared" si="3"/>
        <v>0.33733333333333337</v>
      </c>
      <c r="Y15" s="132">
        <f t="shared" si="4"/>
        <v>10.317210256410256</v>
      </c>
      <c r="Z15" s="1">
        <f t="shared" si="13"/>
        <v>27.451095246782199</v>
      </c>
      <c r="AA15" s="1">
        <f t="shared" si="14"/>
        <v>22.490565087974954</v>
      </c>
      <c r="AB15" s="1">
        <v>0</v>
      </c>
      <c r="AC15" s="1">
        <f t="shared" si="15"/>
        <v>1.0369423118516974</v>
      </c>
      <c r="AD15" s="133">
        <f t="shared" si="16"/>
        <v>1.0369423118516974</v>
      </c>
      <c r="AE15" s="132">
        <f t="shared" si="28"/>
        <v>14.772490118577071</v>
      </c>
      <c r="AF15" s="1">
        <f t="shared" si="17"/>
        <v>18.308296204518488</v>
      </c>
      <c r="AG15" s="1">
        <f t="shared" si="5"/>
        <v>0.33519370991238606</v>
      </c>
      <c r="AH15" s="1">
        <f t="shared" si="18"/>
        <v>1.3940536119281428</v>
      </c>
      <c r="AI15" s="133">
        <f t="shared" si="19"/>
        <v>1.7292473218405289</v>
      </c>
      <c r="AJ15" s="132">
        <f t="shared" si="20"/>
        <v>7.52</v>
      </c>
      <c r="AK15" s="1">
        <f t="shared" si="21"/>
        <v>13.062611073749832</v>
      </c>
      <c r="AL15" s="1">
        <f t="shared" si="6"/>
        <v>0.17063180806405173</v>
      </c>
      <c r="AM15" s="1">
        <f t="shared" si="22"/>
        <v>0.26083200000000001</v>
      </c>
      <c r="AN15" s="136">
        <f t="shared" si="29"/>
        <v>0.22839311245322791</v>
      </c>
      <c r="AO15" s="133">
        <f t="shared" si="23"/>
        <v>0.65985692051727962</v>
      </c>
      <c r="AP15" s="132">
        <f t="shared" si="7"/>
        <v>1.0116510359528756</v>
      </c>
      <c r="AQ15" s="137">
        <f t="shared" si="8"/>
        <v>1.0369423118516974</v>
      </c>
      <c r="AR15" s="137">
        <f t="shared" si="9"/>
        <v>1.6373693393556334</v>
      </c>
      <c r="AS15" s="1">
        <f t="shared" si="10"/>
        <v>1.9759999999999996E-2</v>
      </c>
      <c r="AT15" s="133">
        <f t="shared" si="24"/>
        <v>8.0960000000000004E-2</v>
      </c>
      <c r="AU15" s="132">
        <f t="shared" si="25"/>
        <v>7.2127292413697113</v>
      </c>
      <c r="AV15" s="1">
        <f t="shared" si="26"/>
        <v>451.2</v>
      </c>
      <c r="AW15" s="133">
        <f t="shared" si="27"/>
        <v>98.426586178506412</v>
      </c>
    </row>
    <row r="16" spans="1:49" x14ac:dyDescent="0.15">
      <c r="Q16">
        <v>9</v>
      </c>
      <c r="R16" s="132">
        <f t="shared" si="0"/>
        <v>60</v>
      </c>
      <c r="S16" s="1">
        <f t="shared" si="1"/>
        <v>7.52</v>
      </c>
      <c r="T16" s="1">
        <f t="shared" si="2"/>
        <v>20.52</v>
      </c>
      <c r="U16" s="133">
        <f t="shared" si="11"/>
        <v>21.988304093567251</v>
      </c>
      <c r="V16" s="132">
        <f>IF(Calculations!$B$17=3,2,IF((S16*R16/T16)&lt;((T16*(1-(T16/R16)))/(2*Lm*fsw)),1,2))</f>
        <v>2</v>
      </c>
      <c r="W16" s="1">
        <f t="shared" si="12"/>
        <v>0.65800000000000003</v>
      </c>
      <c r="X16" s="133">
        <f t="shared" si="3"/>
        <v>0.34199999999999997</v>
      </c>
      <c r="Y16" s="132">
        <f t="shared" si="4"/>
        <v>10.386276923076922</v>
      </c>
      <c r="Z16" s="1">
        <f t="shared" si="13"/>
        <v>27.181442555105711</v>
      </c>
      <c r="AA16" s="1">
        <f t="shared" si="14"/>
        <v>22.191779542691545</v>
      </c>
      <c r="AB16" s="1">
        <v>0</v>
      </c>
      <c r="AC16" s="1">
        <f t="shared" si="15"/>
        <v>1.0095739125064169</v>
      </c>
      <c r="AD16" s="133">
        <f t="shared" si="16"/>
        <v>1.0095739125064169</v>
      </c>
      <c r="AE16" s="132">
        <f t="shared" si="28"/>
        <v>14.468304093567252</v>
      </c>
      <c r="AF16" s="1">
        <f t="shared" si="17"/>
        <v>18.001350009390862</v>
      </c>
      <c r="AG16" s="1">
        <f t="shared" si="5"/>
        <v>0.32404860216059639</v>
      </c>
      <c r="AH16" s="1">
        <f t="shared" si="18"/>
        <v>1.3750314378862385</v>
      </c>
      <c r="AI16" s="133">
        <f t="shared" si="19"/>
        <v>1.6990800400468349</v>
      </c>
      <c r="AJ16" s="132">
        <f t="shared" si="20"/>
        <v>7.52</v>
      </c>
      <c r="AK16" s="1">
        <f t="shared" si="21"/>
        <v>12.977922680877192</v>
      </c>
      <c r="AL16" s="1">
        <f t="shared" si="6"/>
        <v>0.16842647711082664</v>
      </c>
      <c r="AM16" s="1">
        <f t="shared" si="22"/>
        <v>0.26083200000000001</v>
      </c>
      <c r="AN16" s="136">
        <f t="shared" si="29"/>
        <v>0.22614960205847953</v>
      </c>
      <c r="AO16" s="133">
        <f t="shared" si="23"/>
        <v>0.65540807916930621</v>
      </c>
      <c r="AP16" s="132">
        <f t="shared" si="7"/>
        <v>0.98495015854284607</v>
      </c>
      <c r="AQ16" s="137">
        <f t="shared" si="8"/>
        <v>1.0095739125064169</v>
      </c>
      <c r="AR16" s="137">
        <f t="shared" si="9"/>
        <v>1.6627339418274432</v>
      </c>
      <c r="AS16" s="1">
        <f t="shared" si="10"/>
        <v>1.9759999999999996E-2</v>
      </c>
      <c r="AT16" s="133">
        <f t="shared" si="24"/>
        <v>8.208E-2</v>
      </c>
      <c r="AU16" s="132">
        <f t="shared" si="25"/>
        <v>7.1231600445992633</v>
      </c>
      <c r="AV16" s="1">
        <f t="shared" si="26"/>
        <v>451.2</v>
      </c>
      <c r="AW16" s="133">
        <f t="shared" si="27"/>
        <v>98.445821493309197</v>
      </c>
    </row>
    <row r="17" spans="17:49" x14ac:dyDescent="0.15">
      <c r="Q17">
        <v>10</v>
      </c>
      <c r="R17" s="132">
        <f t="shared" si="0"/>
        <v>60</v>
      </c>
      <c r="S17" s="1">
        <f t="shared" si="1"/>
        <v>7.52</v>
      </c>
      <c r="T17" s="1">
        <f t="shared" si="2"/>
        <v>20.8</v>
      </c>
      <c r="U17" s="133">
        <f t="shared" si="11"/>
        <v>21.69230769230769</v>
      </c>
      <c r="V17" s="132">
        <f>IF(Calculations!$B$17=3,2,IF((S17*R17/T17)&lt;((T17*(1-(T17/R17)))/(2*Lm*fsw)),1,2))</f>
        <v>2</v>
      </c>
      <c r="W17" s="1">
        <f t="shared" si="12"/>
        <v>0.65333333333333332</v>
      </c>
      <c r="X17" s="133">
        <f t="shared" si="3"/>
        <v>0.34666666666666668</v>
      </c>
      <c r="Y17" s="132">
        <f t="shared" si="4"/>
        <v>10.453333333333333</v>
      </c>
      <c r="Z17" s="1">
        <f t="shared" si="13"/>
        <v>26.918974358974356</v>
      </c>
      <c r="AA17" s="1">
        <f t="shared" si="14"/>
        <v>21.901192383807924</v>
      </c>
      <c r="AB17" s="1">
        <v>0</v>
      </c>
      <c r="AC17" s="1">
        <f t="shared" si="15"/>
        <v>0.98330756705676059</v>
      </c>
      <c r="AD17" s="133">
        <f t="shared" si="16"/>
        <v>0.98330756705676059</v>
      </c>
      <c r="AE17" s="132">
        <f t="shared" si="28"/>
        <v>14.17230769230769</v>
      </c>
      <c r="AF17" s="1">
        <f t="shared" si="17"/>
        <v>17.702523045711402</v>
      </c>
      <c r="AG17" s="1">
        <f t="shared" si="5"/>
        <v>0.31337932218394332</v>
      </c>
      <c r="AH17" s="1">
        <f t="shared" si="18"/>
        <v>1.3565213992993084</v>
      </c>
      <c r="AI17" s="133">
        <f t="shared" si="19"/>
        <v>1.6699007214832517</v>
      </c>
      <c r="AJ17" s="132">
        <f t="shared" si="20"/>
        <v>7.52</v>
      </c>
      <c r="AK17" s="1">
        <f t="shared" si="21"/>
        <v>12.895072921415487</v>
      </c>
      <c r="AL17" s="1">
        <f t="shared" si="6"/>
        <v>0.16628290564862294</v>
      </c>
      <c r="AM17" s="1">
        <f t="shared" si="22"/>
        <v>0.26083200000000001</v>
      </c>
      <c r="AN17" s="136">
        <f t="shared" si="29"/>
        <v>0.22396586666666668</v>
      </c>
      <c r="AO17" s="133">
        <f t="shared" si="23"/>
        <v>0.6510807723152896</v>
      </c>
      <c r="AP17" s="132">
        <f t="shared" si="7"/>
        <v>0.95932445566513247</v>
      </c>
      <c r="AQ17" s="137">
        <f t="shared" si="8"/>
        <v>0.98330756705676059</v>
      </c>
      <c r="AR17" s="137">
        <f t="shared" si="9"/>
        <v>1.6875716285195799</v>
      </c>
      <c r="AS17" s="1">
        <f t="shared" si="10"/>
        <v>1.9759999999999996E-2</v>
      </c>
      <c r="AT17" s="133">
        <f t="shared" si="24"/>
        <v>8.320000000000001E-2</v>
      </c>
      <c r="AU17" s="132">
        <f t="shared" si="25"/>
        <v>7.0374527120967745</v>
      </c>
      <c r="AV17" s="1">
        <f t="shared" si="26"/>
        <v>451.2</v>
      </c>
      <c r="AW17" s="133">
        <f t="shared" si="27"/>
        <v>98.464234498850914</v>
      </c>
    </row>
    <row r="18" spans="17:49" x14ac:dyDescent="0.15">
      <c r="Q18">
        <v>11</v>
      </c>
      <c r="R18" s="132">
        <f t="shared" si="0"/>
        <v>60</v>
      </c>
      <c r="S18" s="1">
        <f t="shared" si="1"/>
        <v>7.52</v>
      </c>
      <c r="T18" s="1">
        <f t="shared" si="2"/>
        <v>21.08</v>
      </c>
      <c r="U18" s="133">
        <f t="shared" si="11"/>
        <v>21.40417457305503</v>
      </c>
      <c r="V18" s="132">
        <f>IF(Calculations!$B$17=3,2,IF((S18*R18/T18)&lt;((T18*(1-(T18/R18)))/(2*Lm*fsw)),1,2))</f>
        <v>2</v>
      </c>
      <c r="W18" s="1">
        <f t="shared" si="12"/>
        <v>0.64866666666666672</v>
      </c>
      <c r="X18" s="133">
        <f t="shared" si="3"/>
        <v>0.35133333333333328</v>
      </c>
      <c r="Y18" s="132">
        <f t="shared" si="4"/>
        <v>10.518379487179487</v>
      </c>
      <c r="Z18" s="1">
        <f t="shared" si="13"/>
        <v>26.663364316644774</v>
      </c>
      <c r="AA18" s="1">
        <f t="shared" si="14"/>
        <v>21.618473151609066</v>
      </c>
      <c r="AB18" s="1">
        <v>0</v>
      </c>
      <c r="AC18" s="1">
        <f t="shared" si="15"/>
        <v>0.95808468188402607</v>
      </c>
      <c r="AD18" s="133">
        <f t="shared" si="16"/>
        <v>0.95808468188402607</v>
      </c>
      <c r="AE18" s="132">
        <f t="shared" si="28"/>
        <v>13.884174573055031</v>
      </c>
      <c r="AF18" s="1">
        <f t="shared" si="17"/>
        <v>17.41148481336112</v>
      </c>
      <c r="AG18" s="1">
        <f t="shared" si="5"/>
        <v>0.30315980340590493</v>
      </c>
      <c r="AH18" s="1">
        <f t="shared" si="18"/>
        <v>1.3385030884926765</v>
      </c>
      <c r="AI18" s="133">
        <f t="shared" si="19"/>
        <v>1.6416628918985814</v>
      </c>
      <c r="AJ18" s="132">
        <f t="shared" si="20"/>
        <v>7.52</v>
      </c>
      <c r="AK18" s="1">
        <f t="shared" si="21"/>
        <v>12.81399929767975</v>
      </c>
      <c r="AL18" s="1">
        <f t="shared" si="6"/>
        <v>0.16419857800093712</v>
      </c>
      <c r="AM18" s="1">
        <f t="shared" si="22"/>
        <v>0.26083200000000001</v>
      </c>
      <c r="AN18" s="136">
        <f t="shared" si="29"/>
        <v>0.22183919111448455</v>
      </c>
      <c r="AO18" s="133">
        <f t="shared" si="23"/>
        <v>0.64686976911542171</v>
      </c>
      <c r="AP18" s="132">
        <f t="shared" si="7"/>
        <v>0.9347167628136841</v>
      </c>
      <c r="AQ18" s="137">
        <f t="shared" si="8"/>
        <v>0.95808468188402607</v>
      </c>
      <c r="AR18" s="137">
        <f t="shared" si="9"/>
        <v>1.7118640621283003</v>
      </c>
      <c r="AS18" s="1">
        <f t="shared" si="10"/>
        <v>1.9759999999999996E-2</v>
      </c>
      <c r="AT18" s="133">
        <f t="shared" si="24"/>
        <v>8.4319999999999992E-2</v>
      </c>
      <c r="AU18" s="132">
        <f t="shared" si="25"/>
        <v>6.9553628497240387</v>
      </c>
      <c r="AV18" s="1">
        <f t="shared" si="26"/>
        <v>451.2</v>
      </c>
      <c r="AW18" s="133">
        <f t="shared" si="27"/>
        <v>98.481876801253236</v>
      </c>
    </row>
    <row r="19" spans="17:49" x14ac:dyDescent="0.15">
      <c r="Q19">
        <v>12</v>
      </c>
      <c r="R19" s="132">
        <f t="shared" si="0"/>
        <v>60</v>
      </c>
      <c r="S19" s="1">
        <f t="shared" si="1"/>
        <v>7.52</v>
      </c>
      <c r="T19" s="1">
        <f t="shared" si="2"/>
        <v>21.36</v>
      </c>
      <c r="U19" s="133">
        <f t="shared" si="11"/>
        <v>21.123595505617978</v>
      </c>
      <c r="V19" s="132">
        <f>IF(Calculations!$B$17=3,2,IF((S19*R19/T19)&lt;((T19*(1-(T19/R19)))/(2*Lm*fsw)),1,2))</f>
        <v>2</v>
      </c>
      <c r="W19" s="1">
        <f t="shared" si="12"/>
        <v>0.64400000000000002</v>
      </c>
      <c r="X19" s="133">
        <f t="shared" si="3"/>
        <v>0.35599999999999998</v>
      </c>
      <c r="Y19" s="132">
        <f t="shared" si="4"/>
        <v>10.581415384615383</v>
      </c>
      <c r="Z19" s="1">
        <f t="shared" si="13"/>
        <v>26.414303197925669</v>
      </c>
      <c r="AA19" s="1">
        <f t="shared" si="14"/>
        <v>21.343308468466457</v>
      </c>
      <c r="AB19" s="1">
        <v>0</v>
      </c>
      <c r="AC19" s="1">
        <f t="shared" si="15"/>
        <v>0.93385047357922946</v>
      </c>
      <c r="AD19" s="133">
        <f t="shared" si="16"/>
        <v>0.93385047357922946</v>
      </c>
      <c r="AE19" s="132">
        <f t="shared" si="28"/>
        <v>13.603595505617978</v>
      </c>
      <c r="AF19" s="1">
        <f t="shared" si="17"/>
        <v>17.127921933170764</v>
      </c>
      <c r="AG19" s="1">
        <f t="shared" si="5"/>
        <v>0.29336570974879217</v>
      </c>
      <c r="AH19" s="1">
        <f t="shared" si="18"/>
        <v>1.3209571678570045</v>
      </c>
      <c r="AI19" s="133">
        <f t="shared" si="19"/>
        <v>1.6143228776057965</v>
      </c>
      <c r="AJ19" s="132">
        <f t="shared" si="20"/>
        <v>7.52</v>
      </c>
      <c r="AK19" s="1">
        <f t="shared" si="21"/>
        <v>12.734641990700792</v>
      </c>
      <c r="AL19" s="1">
        <f t="shared" si="6"/>
        <v>0.16217110663131984</v>
      </c>
      <c r="AM19" s="1">
        <f t="shared" si="22"/>
        <v>0.26083200000000001</v>
      </c>
      <c r="AN19" s="136">
        <f t="shared" si="29"/>
        <v>0.21976700260674159</v>
      </c>
      <c r="AO19" s="133">
        <f t="shared" si="23"/>
        <v>0.64277010923806144</v>
      </c>
      <c r="AP19" s="132">
        <f t="shared" si="7"/>
        <v>0.91107363276022402</v>
      </c>
      <c r="AQ19" s="137">
        <f t="shared" si="8"/>
        <v>0.93385047357922946</v>
      </c>
      <c r="AR19" s="137">
        <f t="shared" si="9"/>
        <v>1.7355933951113451</v>
      </c>
      <c r="AS19" s="1">
        <f t="shared" si="10"/>
        <v>1.9759999999999996E-2</v>
      </c>
      <c r="AT19" s="133">
        <f t="shared" si="24"/>
        <v>8.5440000000000002E-2</v>
      </c>
      <c r="AU19" s="132">
        <f t="shared" si="25"/>
        <v>6.8766609618738865</v>
      </c>
      <c r="AV19" s="1">
        <f t="shared" si="26"/>
        <v>451.2</v>
      </c>
      <c r="AW19" s="133">
        <f t="shared" si="27"/>
        <v>98.498796915906127</v>
      </c>
    </row>
    <row r="20" spans="17:49" x14ac:dyDescent="0.15">
      <c r="Q20">
        <v>13</v>
      </c>
      <c r="R20" s="132">
        <f t="shared" si="0"/>
        <v>60</v>
      </c>
      <c r="S20" s="1">
        <f t="shared" si="1"/>
        <v>7.52</v>
      </c>
      <c r="T20" s="1">
        <f t="shared" si="2"/>
        <v>21.64</v>
      </c>
      <c r="U20" s="133">
        <f t="shared" si="11"/>
        <v>20.850277264325321</v>
      </c>
      <c r="V20" s="132">
        <f>IF(Calculations!$B$17=3,2,IF((S20*R20/T20)&lt;((T20*(1-(T20/R20)))/(2*Lm*fsw)),1,2))</f>
        <v>2</v>
      </c>
      <c r="W20" s="1">
        <f t="shared" si="12"/>
        <v>0.63933333333333331</v>
      </c>
      <c r="X20" s="133">
        <f t="shared" si="3"/>
        <v>0.36066666666666669</v>
      </c>
      <c r="Y20" s="132">
        <f t="shared" si="4"/>
        <v>10.642441025641025</v>
      </c>
      <c r="Z20" s="1">
        <f t="shared" si="13"/>
        <v>26.171497777145834</v>
      </c>
      <c r="AA20" s="1">
        <f t="shared" si="14"/>
        <v>21.075400935243483</v>
      </c>
      <c r="AB20" s="1">
        <v>0</v>
      </c>
      <c r="AC20" s="1">
        <f t="shared" si="15"/>
        <v>0.91055367539158671</v>
      </c>
      <c r="AD20" s="133">
        <f t="shared" si="16"/>
        <v>0.91055367539158671</v>
      </c>
      <c r="AE20" s="132">
        <f t="shared" si="28"/>
        <v>13.330277264325321</v>
      </c>
      <c r="AF20" s="1">
        <f t="shared" si="17"/>
        <v>16.851537043119247</v>
      </c>
      <c r="AG20" s="1">
        <f t="shared" si="5"/>
        <v>0.28397430071562019</v>
      </c>
      <c r="AH20" s="1">
        <f t="shared" si="18"/>
        <v>1.3038653006204071</v>
      </c>
      <c r="AI20" s="133">
        <f t="shared" si="19"/>
        <v>1.5878396013360272</v>
      </c>
      <c r="AJ20" s="132">
        <f t="shared" si="20"/>
        <v>7.52</v>
      </c>
      <c r="AK20" s="1">
        <f t="shared" si="21"/>
        <v>12.656943701606714</v>
      </c>
      <c r="AL20" s="1">
        <f t="shared" si="6"/>
        <v>0.16019822386564186</v>
      </c>
      <c r="AM20" s="1">
        <f t="shared" si="22"/>
        <v>0.26083200000000001</v>
      </c>
      <c r="AN20" s="136">
        <f t="shared" si="29"/>
        <v>0.21774686150585337</v>
      </c>
      <c r="AO20" s="133">
        <f t="shared" si="23"/>
        <v>0.63877708537149525</v>
      </c>
      <c r="AP20" s="132">
        <f t="shared" si="7"/>
        <v>0.88834504916252377</v>
      </c>
      <c r="AQ20" s="137">
        <f t="shared" si="8"/>
        <v>0.91055367539158671</v>
      </c>
      <c r="AR20" s="137">
        <f t="shared" si="9"/>
        <v>1.7587422755094828</v>
      </c>
      <c r="AS20" s="1">
        <f t="shared" si="10"/>
        <v>1.9759999999999996E-2</v>
      </c>
      <c r="AT20" s="133">
        <f t="shared" si="24"/>
        <v>8.6559999999999998E-2</v>
      </c>
      <c r="AU20" s="132">
        <f t="shared" si="25"/>
        <v>6.8011313621627014</v>
      </c>
      <c r="AV20" s="1">
        <f t="shared" si="26"/>
        <v>451.2</v>
      </c>
      <c r="AW20" s="133">
        <f t="shared" si="27"/>
        <v>98.515040488669726</v>
      </c>
    </row>
    <row r="21" spans="17:49" x14ac:dyDescent="0.15">
      <c r="Q21">
        <v>14</v>
      </c>
      <c r="R21" s="132">
        <f t="shared" si="0"/>
        <v>60</v>
      </c>
      <c r="S21" s="1">
        <f t="shared" si="1"/>
        <v>7.52</v>
      </c>
      <c r="T21" s="1">
        <f t="shared" si="2"/>
        <v>21.92</v>
      </c>
      <c r="U21" s="133">
        <f t="shared" si="11"/>
        <v>20.583941605839414</v>
      </c>
      <c r="V21" s="132">
        <f>IF(Calculations!$B$17=3,2,IF((S21*R21/T21)&lt;((T21*(1-(T21/R21)))/(2*Lm*fsw)),1,2))</f>
        <v>2</v>
      </c>
      <c r="W21" s="1">
        <f t="shared" si="12"/>
        <v>0.63466666666666671</v>
      </c>
      <c r="X21" s="133">
        <f t="shared" si="3"/>
        <v>0.36533333333333329</v>
      </c>
      <c r="Y21" s="132">
        <f t="shared" si="4"/>
        <v>10.70145641025641</v>
      </c>
      <c r="Z21" s="1">
        <f t="shared" si="13"/>
        <v>25.93466981096762</v>
      </c>
      <c r="AA21" s="1">
        <f t="shared" si="14"/>
        <v>20.814468112533127</v>
      </c>
      <c r="AB21" s="1">
        <v>0</v>
      </c>
      <c r="AC21" s="1">
        <f t="shared" si="15"/>
        <v>0.88814626975569955</v>
      </c>
      <c r="AD21" s="133">
        <f t="shared" si="16"/>
        <v>0.88814626975569955</v>
      </c>
      <c r="AE21" s="132">
        <f t="shared" si="28"/>
        <v>13.063941605839416</v>
      </c>
      <c r="AF21" s="1">
        <f t="shared" si="17"/>
        <v>16.582047779308215</v>
      </c>
      <c r="AG21" s="1">
        <f t="shared" si="5"/>
        <v>0.27496430855526049</v>
      </c>
      <c r="AH21" s="1">
        <f t="shared" si="18"/>
        <v>1.2872100869263507</v>
      </c>
      <c r="AI21" s="133">
        <f t="shared" si="19"/>
        <v>1.5621743954816112</v>
      </c>
      <c r="AJ21" s="132">
        <f t="shared" si="20"/>
        <v>7.5199999999999978</v>
      </c>
      <c r="AK21" s="1">
        <f t="shared" si="21"/>
        <v>12.580849504401435</v>
      </c>
      <c r="AL21" s="1">
        <f t="shared" si="6"/>
        <v>0.15827777425239783</v>
      </c>
      <c r="AM21" s="1">
        <f t="shared" si="22"/>
        <v>0.26083200000000001</v>
      </c>
      <c r="AN21" s="136">
        <f t="shared" si="29"/>
        <v>0.21577645282725061</v>
      </c>
      <c r="AO21" s="133">
        <f t="shared" si="23"/>
        <v>0.63488622707964848</v>
      </c>
      <c r="AP21" s="132">
        <f t="shared" si="7"/>
        <v>0.86648416561531683</v>
      </c>
      <c r="AQ21" s="137">
        <f t="shared" si="8"/>
        <v>0.88814626975569955</v>
      </c>
      <c r="AR21" s="137">
        <f t="shared" si="9"/>
        <v>1.7812938525303814</v>
      </c>
      <c r="AS21" s="1">
        <f t="shared" si="10"/>
        <v>1.9759999999999996E-2</v>
      </c>
      <c r="AT21" s="133">
        <f t="shared" si="24"/>
        <v>8.7680000000000008E-2</v>
      </c>
      <c r="AU21" s="132">
        <f t="shared" si="25"/>
        <v>6.7285711802183563</v>
      </c>
      <c r="AV21" s="1">
        <f t="shared" si="26"/>
        <v>451.2</v>
      </c>
      <c r="AW21" s="133">
        <f t="shared" si="27"/>
        <v>98.530650497985562</v>
      </c>
    </row>
    <row r="22" spans="17:49" x14ac:dyDescent="0.15">
      <c r="Q22">
        <v>15</v>
      </c>
      <c r="R22" s="132">
        <f t="shared" si="0"/>
        <v>60</v>
      </c>
      <c r="S22" s="1">
        <f t="shared" si="1"/>
        <v>7.52</v>
      </c>
      <c r="T22" s="1">
        <f t="shared" si="2"/>
        <v>22.2</v>
      </c>
      <c r="U22" s="133">
        <f t="shared" si="11"/>
        <v>20.324324324324323</v>
      </c>
      <c r="V22" s="132">
        <f>IF(Calculations!$B$17=3,2,IF((S22*R22/T22)&lt;((T22*(1-(T22/R22)))/(2*Lm*fsw)),1,2))</f>
        <v>2</v>
      </c>
      <c r="W22" s="1">
        <f t="shared" si="12"/>
        <v>0.63</v>
      </c>
      <c r="X22" s="133">
        <f t="shared" si="3"/>
        <v>0.37</v>
      </c>
      <c r="Y22" s="132">
        <f t="shared" si="4"/>
        <v>10.758461538461537</v>
      </c>
      <c r="Z22" s="1">
        <f t="shared" si="13"/>
        <v>25.703555093555092</v>
      </c>
      <c r="AA22" s="1">
        <f t="shared" si="14"/>
        <v>20.560241579235743</v>
      </c>
      <c r="AB22" s="1">
        <v>0</v>
      </c>
      <c r="AC22" s="1">
        <f t="shared" si="15"/>
        <v>0.86658324428289524</v>
      </c>
      <c r="AD22" s="133">
        <f t="shared" si="16"/>
        <v>0.86658324428289524</v>
      </c>
      <c r="AE22" s="132">
        <f t="shared" si="28"/>
        <v>12.804324324324323</v>
      </c>
      <c r="AF22" s="1">
        <f t="shared" si="17"/>
        <v>16.319185834220306</v>
      </c>
      <c r="AG22" s="1">
        <f t="shared" si="5"/>
        <v>0.26631582629181672</v>
      </c>
      <c r="AH22" s="1">
        <f t="shared" si="18"/>
        <v>1.2709750047489015</v>
      </c>
      <c r="AI22" s="133">
        <f t="shared" si="19"/>
        <v>1.5372908310407181</v>
      </c>
      <c r="AJ22" s="132">
        <f t="shared" si="20"/>
        <v>7.52</v>
      </c>
      <c r="AK22" s="1">
        <f t="shared" si="21"/>
        <v>12.50630670920547</v>
      </c>
      <c r="AL22" s="1">
        <f t="shared" si="6"/>
        <v>0.15640770750471775</v>
      </c>
      <c r="AM22" s="1">
        <f t="shared" si="22"/>
        <v>0.26083200000000001</v>
      </c>
      <c r="AN22" s="136">
        <f t="shared" si="29"/>
        <v>0.2138535783783784</v>
      </c>
      <c r="AO22" s="133">
        <f t="shared" si="23"/>
        <v>0.6310932858830961</v>
      </c>
      <c r="AP22" s="132">
        <f t="shared" si="7"/>
        <v>0.84544706759306865</v>
      </c>
      <c r="AQ22" s="137">
        <f t="shared" si="8"/>
        <v>0.86658324428289524</v>
      </c>
      <c r="AR22" s="137">
        <f t="shared" si="9"/>
        <v>1.8032317819012706</v>
      </c>
      <c r="AS22" s="1">
        <f t="shared" si="10"/>
        <v>1.9759999999999996E-2</v>
      </c>
      <c r="AT22" s="133">
        <f t="shared" si="24"/>
        <v>8.8800000000000004E-2</v>
      </c>
      <c r="AU22" s="132">
        <f t="shared" si="25"/>
        <v>6.6587894549839444</v>
      </c>
      <c r="AV22" s="1">
        <f t="shared" si="26"/>
        <v>451.2</v>
      </c>
      <c r="AW22" s="133">
        <f t="shared" si="27"/>
        <v>98.545667439755761</v>
      </c>
    </row>
    <row r="23" spans="17:49" x14ac:dyDescent="0.15">
      <c r="Q23">
        <v>16</v>
      </c>
      <c r="R23" s="132">
        <f t="shared" si="0"/>
        <v>60</v>
      </c>
      <c r="S23" s="1">
        <f t="shared" si="1"/>
        <v>7.52</v>
      </c>
      <c r="T23" s="1">
        <f t="shared" si="2"/>
        <v>22.48</v>
      </c>
      <c r="U23" s="133">
        <f t="shared" si="11"/>
        <v>20.0711743772242</v>
      </c>
      <c r="V23" s="132">
        <f>IF(Calculations!$B$17=3,2,IF((S23*R23/T23)&lt;((T23*(1-(T23/R23)))/(2*Lm*fsw)),1,2))</f>
        <v>2</v>
      </c>
      <c r="W23" s="1">
        <f t="shared" si="12"/>
        <v>0.6253333333333333</v>
      </c>
      <c r="X23" s="133">
        <f t="shared" si="3"/>
        <v>0.3746666666666667</v>
      </c>
      <c r="Y23" s="132">
        <f t="shared" si="4"/>
        <v>10.813456410256411</v>
      </c>
      <c r="Z23" s="1">
        <f t="shared" si="13"/>
        <v>25.477902582352407</v>
      </c>
      <c r="AA23" s="1">
        <f t="shared" si="14"/>
        <v>20.312466061731257</v>
      </c>
      <c r="AB23" s="1">
        <v>0</v>
      </c>
      <c r="AC23" s="1">
        <f t="shared" si="15"/>
        <v>0.84582236889341744</v>
      </c>
      <c r="AD23" s="133">
        <f t="shared" si="16"/>
        <v>0.84582236889341744</v>
      </c>
      <c r="AE23" s="132">
        <f t="shared" si="28"/>
        <v>12.551174377224198</v>
      </c>
      <c r="AF23" s="1">
        <f t="shared" si="17"/>
        <v>16.062696085514975</v>
      </c>
      <c r="AG23" s="1">
        <f t="shared" si="5"/>
        <v>0.25801020553561815</v>
      </c>
      <c r="AH23" s="1">
        <f t="shared" si="18"/>
        <v>1.2551443552235593</v>
      </c>
      <c r="AI23" s="133">
        <f t="shared" si="19"/>
        <v>1.5131545607591774</v>
      </c>
      <c r="AJ23" s="132">
        <f t="shared" si="20"/>
        <v>7.5200000000000005</v>
      </c>
      <c r="AK23" s="1">
        <f t="shared" si="21"/>
        <v>12.433264735111454</v>
      </c>
      <c r="AL23" s="1">
        <f t="shared" si="6"/>
        <v>0.1545860719733661</v>
      </c>
      <c r="AM23" s="1">
        <f t="shared" si="22"/>
        <v>0.26083200000000001</v>
      </c>
      <c r="AN23" s="136">
        <f t="shared" si="29"/>
        <v>0.21197614948517204</v>
      </c>
      <c r="AO23" s="133">
        <f t="shared" si="23"/>
        <v>0.62739422145853818</v>
      </c>
      <c r="AP23" s="132">
        <f t="shared" si="7"/>
        <v>0.82519255501796829</v>
      </c>
      <c r="AQ23" s="137">
        <f t="shared" si="8"/>
        <v>0.84582236889341744</v>
      </c>
      <c r="AR23" s="137">
        <f t="shared" si="9"/>
        <v>1.8245402309964358</v>
      </c>
      <c r="AS23" s="1">
        <f t="shared" si="10"/>
        <v>1.9759999999999996E-2</v>
      </c>
      <c r="AT23" s="133">
        <f t="shared" si="24"/>
        <v>8.992E-2</v>
      </c>
      <c r="AU23" s="132">
        <f t="shared" si="25"/>
        <v>6.5916063060189547</v>
      </c>
      <c r="AV23" s="1">
        <f t="shared" si="26"/>
        <v>451.2</v>
      </c>
      <c r="AW23" s="133">
        <f t="shared" si="27"/>
        <v>98.560129496648599</v>
      </c>
    </row>
    <row r="24" spans="17:49" x14ac:dyDescent="0.15">
      <c r="Q24">
        <v>17</v>
      </c>
      <c r="R24" s="132">
        <f t="shared" si="0"/>
        <v>60</v>
      </c>
      <c r="S24" s="1">
        <f t="shared" si="1"/>
        <v>7.52</v>
      </c>
      <c r="T24" s="1">
        <f t="shared" si="2"/>
        <v>22.76</v>
      </c>
      <c r="U24" s="133">
        <f t="shared" si="11"/>
        <v>19.824253075571175</v>
      </c>
      <c r="V24" s="132">
        <f>IF(Calculations!$B$17=3,2,IF((S24*R24/T24)&lt;((T24*(1-(T24/R24)))/(2*Lm*fsw)),1,2))</f>
        <v>2</v>
      </c>
      <c r="W24" s="1">
        <f t="shared" si="12"/>
        <v>0.6206666666666667</v>
      </c>
      <c r="X24" s="133">
        <f t="shared" si="3"/>
        <v>0.3793333333333333</v>
      </c>
      <c r="Y24" s="132">
        <f t="shared" si="4"/>
        <v>10.866441025641027</v>
      </c>
      <c r="Z24" s="1">
        <f t="shared" si="13"/>
        <v>25.25747358839169</v>
      </c>
      <c r="AA24" s="1">
        <f t="shared" si="14"/>
        <v>20.070898627563682</v>
      </c>
      <c r="AB24" s="1">
        <v>0</v>
      </c>
      <c r="AC24" s="1">
        <f t="shared" si="15"/>
        <v>0.82582399202177215</v>
      </c>
      <c r="AD24" s="133">
        <f t="shared" si="16"/>
        <v>0.82582399202177215</v>
      </c>
      <c r="AE24" s="132">
        <f t="shared" si="28"/>
        <v>12.304253075571177</v>
      </c>
      <c r="AF24" s="1">
        <f t="shared" si="17"/>
        <v>15.812335789279626</v>
      </c>
      <c r="AG24" s="1">
        <f t="shared" si="5"/>
        <v>0.25002996311293335</v>
      </c>
      <c r="AH24" s="1">
        <f t="shared" si="18"/>
        <v>1.2397032120134275</v>
      </c>
      <c r="AI24" s="133">
        <f t="shared" si="19"/>
        <v>1.4897331751263607</v>
      </c>
      <c r="AJ24" s="132">
        <f t="shared" si="20"/>
        <v>7.5199999999999987</v>
      </c>
      <c r="AK24" s="1">
        <f t="shared" si="21"/>
        <v>12.361674991885378</v>
      </c>
      <c r="AL24" s="1">
        <f t="shared" si="6"/>
        <v>0.15281100860500435</v>
      </c>
      <c r="AM24" s="1">
        <f t="shared" si="22"/>
        <v>0.26083200000000001</v>
      </c>
      <c r="AN24" s="136">
        <f t="shared" si="29"/>
        <v>0.21014218025541889</v>
      </c>
      <c r="AO24" s="133">
        <f t="shared" si="23"/>
        <v>0.62378518886042322</v>
      </c>
      <c r="AP24" s="132">
        <f t="shared" si="7"/>
        <v>0.8056819434358754</v>
      </c>
      <c r="AQ24" s="137">
        <f t="shared" si="8"/>
        <v>0.82582399202177215</v>
      </c>
      <c r="AR24" s="137">
        <f t="shared" si="9"/>
        <v>1.8452038837452012</v>
      </c>
      <c r="AS24" s="1">
        <f t="shared" si="10"/>
        <v>1.9759999999999996E-2</v>
      </c>
      <c r="AT24" s="133">
        <f t="shared" si="24"/>
        <v>9.104000000000001E-2</v>
      </c>
      <c r="AU24" s="132">
        <f t="shared" si="25"/>
        <v>6.5268521752114044</v>
      </c>
      <c r="AV24" s="1">
        <f t="shared" si="26"/>
        <v>451.2</v>
      </c>
      <c r="AW24" s="133">
        <f t="shared" si="27"/>
        <v>98.574072693311649</v>
      </c>
    </row>
    <row r="25" spans="17:49" x14ac:dyDescent="0.15">
      <c r="Q25">
        <v>18</v>
      </c>
      <c r="R25" s="132">
        <f t="shared" si="0"/>
        <v>60</v>
      </c>
      <c r="S25" s="1">
        <f t="shared" si="1"/>
        <v>7.52</v>
      </c>
      <c r="T25" s="1">
        <f t="shared" si="2"/>
        <v>23.04</v>
      </c>
      <c r="U25" s="133">
        <f t="shared" si="11"/>
        <v>19.583333333333332</v>
      </c>
      <c r="V25" s="132">
        <f>IF(Calculations!$B$17=3,2,IF((S25*R25/T25)&lt;((T25*(1-(T25/R25)))/(2*Lm*fsw)),1,2))</f>
        <v>2</v>
      </c>
      <c r="W25" s="1">
        <f t="shared" si="12"/>
        <v>0.61599999999999999</v>
      </c>
      <c r="X25" s="133">
        <f t="shared" si="3"/>
        <v>0.38400000000000001</v>
      </c>
      <c r="Y25" s="132">
        <f t="shared" si="4"/>
        <v>10.917415384615383</v>
      </c>
      <c r="Z25" s="1">
        <f t="shared" si="13"/>
        <v>25.042041025641023</v>
      </c>
      <c r="AA25" s="1">
        <f t="shared" si="14"/>
        <v>19.835307938147338</v>
      </c>
      <c r="AB25" s="1">
        <v>0</v>
      </c>
      <c r="AC25" s="1">
        <f t="shared" si="15"/>
        <v>0.80655085405231797</v>
      </c>
      <c r="AD25" s="133">
        <f t="shared" si="16"/>
        <v>0.80655085405231797</v>
      </c>
      <c r="AE25" s="132">
        <f t="shared" si="28"/>
        <v>12.063333333333333</v>
      </c>
      <c r="AF25" s="1">
        <f t="shared" si="17"/>
        <v>15.567873832244933</v>
      </c>
      <c r="AG25" s="1">
        <f t="shared" si="5"/>
        <v>0.24235869565669654</v>
      </c>
      <c r="AH25" s="1">
        <f t="shared" si="18"/>
        <v>1.2246373743674313</v>
      </c>
      <c r="AI25" s="133">
        <f t="shared" si="19"/>
        <v>1.4669960700241278</v>
      </c>
      <c r="AJ25" s="132">
        <f t="shared" si="20"/>
        <v>7.52</v>
      </c>
      <c r="AK25" s="1">
        <f t="shared" si="21"/>
        <v>12.291490769814466</v>
      </c>
      <c r="AL25" s="1">
        <f t="shared" si="6"/>
        <v>0.15108074534443422</v>
      </c>
      <c r="AM25" s="1">
        <f t="shared" si="22"/>
        <v>0.26083200000000001</v>
      </c>
      <c r="AN25" s="136">
        <f t="shared" si="29"/>
        <v>0.20834978133333334</v>
      </c>
      <c r="AO25" s="133">
        <f t="shared" si="23"/>
        <v>0.6202625266777676</v>
      </c>
      <c r="AP25" s="132">
        <f t="shared" si="7"/>
        <v>0.78687888200226153</v>
      </c>
      <c r="AQ25" s="137">
        <f t="shared" si="8"/>
        <v>0.80655085405231797</v>
      </c>
      <c r="AR25" s="137">
        <f t="shared" si="9"/>
        <v>1.8652079453257833</v>
      </c>
      <c r="AS25" s="1">
        <f t="shared" si="10"/>
        <v>1.9759999999999996E-2</v>
      </c>
      <c r="AT25" s="133">
        <f t="shared" si="24"/>
        <v>9.2159999999999992E-2</v>
      </c>
      <c r="AU25" s="132">
        <f t="shared" si="25"/>
        <v>6.4643671321345764</v>
      </c>
      <c r="AV25" s="1">
        <f t="shared" si="26"/>
        <v>451.2</v>
      </c>
      <c r="AW25" s="133">
        <f t="shared" si="27"/>
        <v>98.587531038817318</v>
      </c>
    </row>
    <row r="26" spans="17:49" x14ac:dyDescent="0.15">
      <c r="Q26">
        <v>19</v>
      </c>
      <c r="R26" s="132">
        <f t="shared" si="0"/>
        <v>60</v>
      </c>
      <c r="S26" s="1">
        <f t="shared" si="1"/>
        <v>7.52</v>
      </c>
      <c r="T26" s="1">
        <f t="shared" si="2"/>
        <v>23.32</v>
      </c>
      <c r="U26" s="133">
        <f t="shared" si="11"/>
        <v>19.348198970840478</v>
      </c>
      <c r="V26" s="132">
        <f>IF(Calculations!$B$17=3,2,IF((S26*R26/T26)&lt;((T26*(1-(T26/R26)))/(2*Lm*fsw)),1,2))</f>
        <v>2</v>
      </c>
      <c r="W26" s="1">
        <f t="shared" si="12"/>
        <v>0.61133333333333328</v>
      </c>
      <c r="X26" s="133">
        <f t="shared" si="3"/>
        <v>0.38866666666666672</v>
      </c>
      <c r="Y26" s="132">
        <f t="shared" si="4"/>
        <v>10.966379487179486</v>
      </c>
      <c r="Z26" s="1">
        <f t="shared" si="13"/>
        <v>24.831388714430222</v>
      </c>
      <c r="AA26" s="1">
        <f t="shared" si="14"/>
        <v>19.605473555531248</v>
      </c>
      <c r="AB26" s="1">
        <v>0</v>
      </c>
      <c r="AC26" s="1">
        <f t="shared" si="15"/>
        <v>0.78796791634010188</v>
      </c>
      <c r="AD26" s="133">
        <f t="shared" si="16"/>
        <v>0.78796791634010188</v>
      </c>
      <c r="AE26" s="132">
        <f t="shared" si="28"/>
        <v>11.828198970840479</v>
      </c>
      <c r="AF26" s="1">
        <f t="shared" si="17"/>
        <v>15.329090038000611</v>
      </c>
      <c r="AG26" s="1">
        <f t="shared" si="5"/>
        <v>0.23498100139312961</v>
      </c>
      <c r="AH26" s="1">
        <f t="shared" si="18"/>
        <v>1.2099333235602749</v>
      </c>
      <c r="AI26" s="133">
        <f t="shared" si="19"/>
        <v>1.4449143249534044</v>
      </c>
      <c r="AJ26" s="132">
        <f t="shared" si="20"/>
        <v>7.5200000000000005</v>
      </c>
      <c r="AK26" s="1">
        <f t="shared" si="21"/>
        <v>12.222667137065688</v>
      </c>
      <c r="AL26" s="1">
        <f t="shared" si="6"/>
        <v>0.14939359194350557</v>
      </c>
      <c r="AM26" s="1">
        <f t="shared" si="22"/>
        <v>0.26083200000000001</v>
      </c>
      <c r="AN26" s="136">
        <f t="shared" si="29"/>
        <v>0.20659715410405946</v>
      </c>
      <c r="AO26" s="133">
        <f t="shared" si="23"/>
        <v>0.61682274604756504</v>
      </c>
      <c r="AP26" s="132">
        <f t="shared" si="7"/>
        <v>0.76874918667327019</v>
      </c>
      <c r="AQ26" s="137">
        <f t="shared" si="8"/>
        <v>0.78796791634010188</v>
      </c>
      <c r="AR26" s="137">
        <f t="shared" si="9"/>
        <v>1.8845381466500077</v>
      </c>
      <c r="AS26" s="1">
        <f t="shared" si="10"/>
        <v>1.9759999999999996E-2</v>
      </c>
      <c r="AT26" s="133">
        <f t="shared" si="24"/>
        <v>9.3280000000000002E-2</v>
      </c>
      <c r="AU26" s="132">
        <f t="shared" si="25"/>
        <v>6.4040002370044506</v>
      </c>
      <c r="AV26" s="1">
        <f t="shared" si="26"/>
        <v>451.2</v>
      </c>
      <c r="AW26" s="133">
        <f t="shared" si="27"/>
        <v>98.600536657527556</v>
      </c>
    </row>
    <row r="27" spans="17:49" x14ac:dyDescent="0.15">
      <c r="Q27">
        <v>20</v>
      </c>
      <c r="R27" s="132">
        <f t="shared" si="0"/>
        <v>60</v>
      </c>
      <c r="S27" s="1">
        <f t="shared" si="1"/>
        <v>7.52</v>
      </c>
      <c r="T27" s="1">
        <f t="shared" si="2"/>
        <v>23.6</v>
      </c>
      <c r="U27" s="133">
        <f t="shared" si="11"/>
        <v>19.118644067796609</v>
      </c>
      <c r="V27" s="132">
        <f>IF(Calculations!$B$17=3,2,IF((S27*R27/T27)&lt;((T27*(1-(T27/R27)))/(2*Lm*fsw)),1,2))</f>
        <v>2</v>
      </c>
      <c r="W27" s="1">
        <f t="shared" si="12"/>
        <v>0.60666666666666669</v>
      </c>
      <c r="X27" s="133">
        <f t="shared" si="3"/>
        <v>0.39333333333333331</v>
      </c>
      <c r="Y27" s="132">
        <f t="shared" si="4"/>
        <v>11.013333333333334</v>
      </c>
      <c r="Z27" s="1">
        <f t="shared" si="13"/>
        <v>24.625310734463277</v>
      </c>
      <c r="AA27" s="1">
        <f t="shared" si="14"/>
        <v>19.381185298729463</v>
      </c>
      <c r="AB27" s="1">
        <v>0</v>
      </c>
      <c r="AC27" s="1">
        <f t="shared" si="15"/>
        <v>0.77004220434655846</v>
      </c>
      <c r="AD27" s="133">
        <f t="shared" si="16"/>
        <v>0.77004220434655846</v>
      </c>
      <c r="AE27" s="132">
        <f t="shared" si="28"/>
        <v>11.598644067796609</v>
      </c>
      <c r="AF27" s="1">
        <f t="shared" si="17"/>
        <v>15.095774522718939</v>
      </c>
      <c r="AG27" s="1">
        <f t="shared" si="5"/>
        <v>0.22788240844077021</v>
      </c>
      <c r="AH27" s="1">
        <f t="shared" si="18"/>
        <v>1.1955781824332887</v>
      </c>
      <c r="AI27" s="133">
        <f t="shared" si="19"/>
        <v>1.423460590874059</v>
      </c>
      <c r="AJ27" s="132">
        <f t="shared" si="20"/>
        <v>7.52</v>
      </c>
      <c r="AK27" s="1">
        <f t="shared" si="21"/>
        <v>12.155160843975571</v>
      </c>
      <c r="AL27" s="1">
        <f t="shared" si="6"/>
        <v>0.1477479351429169</v>
      </c>
      <c r="AM27" s="1">
        <f t="shared" si="22"/>
        <v>0.26083200000000001</v>
      </c>
      <c r="AN27" s="136">
        <f t="shared" si="29"/>
        <v>0.2048825853107345</v>
      </c>
      <c r="AO27" s="133">
        <f t="shared" si="23"/>
        <v>0.61346252045365146</v>
      </c>
      <c r="AP27" s="132">
        <f t="shared" si="7"/>
        <v>0.75126068716737415</v>
      </c>
      <c r="AQ27" s="137">
        <f t="shared" si="8"/>
        <v>0.77004220434655846</v>
      </c>
      <c r="AR27" s="137">
        <f t="shared" si="9"/>
        <v>1.9031807486436076</v>
      </c>
      <c r="AS27" s="1">
        <f t="shared" si="10"/>
        <v>1.9759999999999996E-2</v>
      </c>
      <c r="AT27" s="133">
        <f t="shared" si="24"/>
        <v>9.4400000000000012E-2</v>
      </c>
      <c r="AU27" s="132">
        <f t="shared" si="25"/>
        <v>6.3456089558318078</v>
      </c>
      <c r="AV27" s="1">
        <f t="shared" si="26"/>
        <v>451.2</v>
      </c>
      <c r="AW27" s="133">
        <f t="shared" si="27"/>
        <v>98.613119909441764</v>
      </c>
    </row>
    <row r="28" spans="17:49" x14ac:dyDescent="0.15">
      <c r="Q28">
        <v>21</v>
      </c>
      <c r="R28" s="132">
        <f t="shared" si="0"/>
        <v>60</v>
      </c>
      <c r="S28" s="1">
        <f t="shared" si="1"/>
        <v>7.52</v>
      </c>
      <c r="T28" s="1">
        <f t="shared" si="2"/>
        <v>23.880000000000003</v>
      </c>
      <c r="U28" s="133">
        <f t="shared" si="11"/>
        <v>18.894472361809044</v>
      </c>
      <c r="V28" s="132">
        <f>IF(Calculations!$B$17=3,2,IF((S28*R28/T28)&lt;((T28*(1-(T28/R28)))/(2*Lm*fsw)),1,2))</f>
        <v>2</v>
      </c>
      <c r="W28" s="1">
        <f t="shared" si="12"/>
        <v>0.60199999999999998</v>
      </c>
      <c r="X28" s="133">
        <f t="shared" si="3"/>
        <v>0.39800000000000002</v>
      </c>
      <c r="Y28" s="132">
        <f t="shared" si="4"/>
        <v>11.058276923076924</v>
      </c>
      <c r="Z28" s="1">
        <f t="shared" si="13"/>
        <v>24.423610823347506</v>
      </c>
      <c r="AA28" s="1">
        <f t="shared" si="14"/>
        <v>19.16224264554614</v>
      </c>
      <c r="AB28" s="1">
        <v>0</v>
      </c>
      <c r="AC28" s="1">
        <f t="shared" si="15"/>
        <v>0.75274266357391351</v>
      </c>
      <c r="AD28" s="133">
        <f t="shared" si="16"/>
        <v>0.75274266357391351</v>
      </c>
      <c r="AE28" s="132">
        <f t="shared" si="28"/>
        <v>11.374472361809044</v>
      </c>
      <c r="AF28" s="1">
        <f t="shared" si="17"/>
        <v>14.867727096314548</v>
      </c>
      <c r="AG28" s="1">
        <f t="shared" si="5"/>
        <v>0.22104930901048581</v>
      </c>
      <c r="AH28" s="1">
        <f t="shared" si="18"/>
        <v>1.1815596777816419</v>
      </c>
      <c r="AI28" s="133">
        <f t="shared" si="19"/>
        <v>1.4026089867921279</v>
      </c>
      <c r="AJ28" s="132">
        <f t="shared" si="20"/>
        <v>7.52</v>
      </c>
      <c r="AK28" s="1">
        <f t="shared" si="21"/>
        <v>12.08893023374282</v>
      </c>
      <c r="AL28" s="1">
        <f t="shared" si="6"/>
        <v>0.14614223419630124</v>
      </c>
      <c r="AM28" s="1">
        <f t="shared" si="22"/>
        <v>0.26083200000000001</v>
      </c>
      <c r="AN28" s="136">
        <f t="shared" si="29"/>
        <v>0.20320444205025126</v>
      </c>
      <c r="AO28" s="133">
        <f t="shared" si="23"/>
        <v>0.61017867624655253</v>
      </c>
      <c r="AP28" s="132">
        <f t="shared" si="7"/>
        <v>0.73438308641357419</v>
      </c>
      <c r="AQ28" s="137">
        <f t="shared" si="8"/>
        <v>0.75274266357391351</v>
      </c>
      <c r="AR28" s="137">
        <f t="shared" si="9"/>
        <v>1.921122546326546</v>
      </c>
      <c r="AS28" s="1">
        <f t="shared" si="10"/>
        <v>1.9759999999999996E-2</v>
      </c>
      <c r="AT28" s="133">
        <f t="shared" si="24"/>
        <v>9.5520000000000008E-2</v>
      </c>
      <c r="AU28" s="132">
        <f t="shared" si="25"/>
        <v>6.2890586229266274</v>
      </c>
      <c r="AV28" s="1">
        <f t="shared" si="26"/>
        <v>451.2</v>
      </c>
      <c r="AW28" s="133">
        <f t="shared" si="27"/>
        <v>98.625309500984102</v>
      </c>
    </row>
    <row r="29" spans="17:49" x14ac:dyDescent="0.15">
      <c r="Q29">
        <v>22</v>
      </c>
      <c r="R29" s="132">
        <f t="shared" si="0"/>
        <v>60</v>
      </c>
      <c r="S29" s="1">
        <f t="shared" si="1"/>
        <v>7.52</v>
      </c>
      <c r="T29" s="1">
        <f t="shared" si="2"/>
        <v>24.16</v>
      </c>
      <c r="U29" s="133">
        <f t="shared" si="11"/>
        <v>18.67549668874172</v>
      </c>
      <c r="V29" s="132">
        <f>IF(Calculations!$B$17=3,2,IF((S29*R29/T29)&lt;((T29*(1-(T29/R29)))/(2*Lm*fsw)),1,2))</f>
        <v>2</v>
      </c>
      <c r="W29" s="1">
        <f t="shared" si="12"/>
        <v>0.59733333333333327</v>
      </c>
      <c r="X29" s="133">
        <f t="shared" si="3"/>
        <v>0.40266666666666673</v>
      </c>
      <c r="Y29" s="132">
        <f t="shared" si="4"/>
        <v>11.101210256410255</v>
      </c>
      <c r="Z29" s="1">
        <f t="shared" si="13"/>
        <v>24.226101816946848</v>
      </c>
      <c r="AA29" s="1">
        <f t="shared" si="14"/>
        <v>18.948454176201867</v>
      </c>
      <c r="AB29" s="1">
        <v>0</v>
      </c>
      <c r="AC29" s="1">
        <f t="shared" si="15"/>
        <v>0.73604002711862504</v>
      </c>
      <c r="AD29" s="133">
        <f t="shared" si="16"/>
        <v>0.73604002711862504</v>
      </c>
      <c r="AE29" s="132">
        <f t="shared" si="28"/>
        <v>11.155496688741719</v>
      </c>
      <c r="AF29" s="1">
        <f t="shared" si="17"/>
        <v>14.644756705346554</v>
      </c>
      <c r="AG29" s="1">
        <f t="shared" si="5"/>
        <v>0.21446889895879284</v>
      </c>
      <c r="AH29" s="1">
        <f t="shared" si="18"/>
        <v>1.1678661053570203</v>
      </c>
      <c r="AI29" s="133">
        <f t="shared" si="19"/>
        <v>1.3823350043158131</v>
      </c>
      <c r="AJ29" s="132">
        <f t="shared" si="20"/>
        <v>7.5200000000000005</v>
      </c>
      <c r="AK29" s="1">
        <f t="shared" si="21"/>
        <v>12.023935159041283</v>
      </c>
      <c r="AL29" s="1">
        <f t="shared" si="6"/>
        <v>0.14457501670882913</v>
      </c>
      <c r="AM29" s="1">
        <f t="shared" si="22"/>
        <v>0.26083200000000001</v>
      </c>
      <c r="AN29" s="136">
        <f t="shared" si="29"/>
        <v>0.20156116711699779</v>
      </c>
      <c r="AO29" s="133">
        <f t="shared" si="23"/>
        <v>0.60696818382582696</v>
      </c>
      <c r="AP29" s="132">
        <f t="shared" si="7"/>
        <v>0.71808783133524401</v>
      </c>
      <c r="AQ29" s="137">
        <f t="shared" si="8"/>
        <v>0.73604002711862504</v>
      </c>
      <c r="AR29" s="137">
        <f t="shared" si="9"/>
        <v>1.9383508726974985</v>
      </c>
      <c r="AS29" s="1">
        <f t="shared" si="10"/>
        <v>1.9759999999999996E-2</v>
      </c>
      <c r="AT29" s="133">
        <f t="shared" si="24"/>
        <v>9.6640000000000004E-2</v>
      </c>
      <c r="AU29" s="132">
        <f t="shared" si="25"/>
        <v>6.2342219464116333</v>
      </c>
      <c r="AV29" s="1">
        <f t="shared" si="26"/>
        <v>451.2</v>
      </c>
      <c r="AW29" s="133">
        <f t="shared" si="27"/>
        <v>98.637132587088772</v>
      </c>
    </row>
    <row r="30" spans="17:49" x14ac:dyDescent="0.15">
      <c r="Q30">
        <v>23</v>
      </c>
      <c r="R30" s="132">
        <f t="shared" si="0"/>
        <v>60</v>
      </c>
      <c r="S30" s="1">
        <f t="shared" si="1"/>
        <v>7.52</v>
      </c>
      <c r="T30" s="1">
        <f t="shared" si="2"/>
        <v>24.44</v>
      </c>
      <c r="U30" s="133">
        <f t="shared" si="11"/>
        <v>18.46153846153846</v>
      </c>
      <c r="V30" s="132">
        <f>IF(Calculations!$B$17=3,2,IF((S30*R30/T30)&lt;((T30*(1-(T30/R30)))/(2*Lm*fsw)),1,2))</f>
        <v>2</v>
      </c>
      <c r="W30" s="1">
        <f t="shared" si="12"/>
        <v>0.59266666666666667</v>
      </c>
      <c r="X30" s="133">
        <f t="shared" si="3"/>
        <v>0.40733333333333333</v>
      </c>
      <c r="Y30" s="132">
        <f t="shared" si="4"/>
        <v>11.142133333333334</v>
      </c>
      <c r="Z30" s="1">
        <f t="shared" si="13"/>
        <v>24.032605128205127</v>
      </c>
      <c r="AA30" s="1">
        <f t="shared" si="14"/>
        <v>18.739637055405989</v>
      </c>
      <c r="AB30" s="1">
        <v>0</v>
      </c>
      <c r="AC30" s="1">
        <f t="shared" si="15"/>
        <v>0.71990669378510763</v>
      </c>
      <c r="AD30" s="133">
        <f t="shared" si="16"/>
        <v>0.71990669378510763</v>
      </c>
      <c r="AE30" s="132">
        <f t="shared" si="28"/>
        <v>10.94153846153846</v>
      </c>
      <c r="AF30" s="1">
        <f t="shared" si="17"/>
        <v>14.426680914307328</v>
      </c>
      <c r="AG30" s="1">
        <f t="shared" si="5"/>
        <v>0.20812912220323931</v>
      </c>
      <c r="AH30" s="1">
        <f t="shared" si="18"/>
        <v>1.154486297276007</v>
      </c>
      <c r="AI30" s="133">
        <f t="shared" si="19"/>
        <v>1.3626154194792464</v>
      </c>
      <c r="AJ30" s="132">
        <f t="shared" si="20"/>
        <v>7.52</v>
      </c>
      <c r="AK30" s="1">
        <f t="shared" si="21"/>
        <v>11.960136904112176</v>
      </c>
      <c r="AL30" s="1">
        <f t="shared" si="6"/>
        <v>0.14304487476510599</v>
      </c>
      <c r="AM30" s="1">
        <f t="shared" si="22"/>
        <v>0.26083200000000001</v>
      </c>
      <c r="AN30" s="136">
        <f t="shared" si="29"/>
        <v>0.19995127466666668</v>
      </c>
      <c r="AO30" s="133">
        <f t="shared" si="23"/>
        <v>0.60382814943177276</v>
      </c>
      <c r="AP30" s="132">
        <f t="shared" si="7"/>
        <v>0.70234799393669056</v>
      </c>
      <c r="AQ30" s="137">
        <f t="shared" si="8"/>
        <v>0.71990669378510763</v>
      </c>
      <c r="AR30" s="137">
        <f t="shared" si="9"/>
        <v>1.9548536024264349</v>
      </c>
      <c r="AS30" s="1">
        <f t="shared" si="10"/>
        <v>1.9759999999999996E-2</v>
      </c>
      <c r="AT30" s="133">
        <f t="shared" si="24"/>
        <v>9.7760000000000014E-2</v>
      </c>
      <c r="AU30" s="132">
        <f t="shared" si="25"/>
        <v>6.1809785528443593</v>
      </c>
      <c r="AV30" s="1">
        <f t="shared" si="26"/>
        <v>451.2</v>
      </c>
      <c r="AW30" s="133">
        <f t="shared" si="27"/>
        <v>98.648614865357757</v>
      </c>
    </row>
    <row r="31" spans="17:49" x14ac:dyDescent="0.15">
      <c r="Q31">
        <v>24</v>
      </c>
      <c r="R31" s="132">
        <f t="shared" si="0"/>
        <v>60</v>
      </c>
      <c r="S31" s="1">
        <f t="shared" si="1"/>
        <v>7.52</v>
      </c>
      <c r="T31" s="1">
        <f t="shared" si="2"/>
        <v>24.72</v>
      </c>
      <c r="U31" s="133">
        <f t="shared" si="11"/>
        <v>18.252427184466018</v>
      </c>
      <c r="V31" s="132">
        <f>IF(Calculations!$B$17=3,2,IF((S31*R31/T31)&lt;((T31*(1-(T31/R31)))/(2*Lm*fsw)),1,2))</f>
        <v>2</v>
      </c>
      <c r="W31" s="1">
        <f t="shared" si="12"/>
        <v>0.58800000000000008</v>
      </c>
      <c r="X31" s="133">
        <f t="shared" si="3"/>
        <v>0.41199999999999992</v>
      </c>
      <c r="Y31" s="132">
        <f t="shared" si="4"/>
        <v>11.181046153846154</v>
      </c>
      <c r="Z31" s="1">
        <f t="shared" si="13"/>
        <v>23.842950261389095</v>
      </c>
      <c r="AA31" s="1">
        <f t="shared" si="14"/>
        <v>18.535616549823853</v>
      </c>
      <c r="AB31" s="1">
        <v>0</v>
      </c>
      <c r="AC31" s="1">
        <f t="shared" si="15"/>
        <v>0.70431661580831295</v>
      </c>
      <c r="AD31" s="133">
        <f t="shared" si="16"/>
        <v>0.70431661580831295</v>
      </c>
      <c r="AE31" s="132">
        <f t="shared" si="28"/>
        <v>10.732427184466021</v>
      </c>
      <c r="AF31" s="1">
        <f t="shared" si="17"/>
        <v>14.213325422246447</v>
      </c>
      <c r="AG31" s="1">
        <f t="shared" si="5"/>
        <v>0.20201861955867714</v>
      </c>
      <c r="AH31" s="1">
        <f t="shared" si="18"/>
        <v>1.141409591643431</v>
      </c>
      <c r="AI31" s="133">
        <f t="shared" si="19"/>
        <v>1.3434282112021081</v>
      </c>
      <c r="AJ31" s="132">
        <f t="shared" si="20"/>
        <v>7.5199999999999978</v>
      </c>
      <c r="AK31" s="1">
        <f t="shared" si="21"/>
        <v>11.897498111932054</v>
      </c>
      <c r="AL31" s="1">
        <f t="shared" si="6"/>
        <v>0.1415504613234268</v>
      </c>
      <c r="AM31" s="1">
        <f t="shared" si="22"/>
        <v>0.26083200000000001</v>
      </c>
      <c r="AN31" s="136">
        <f t="shared" si="29"/>
        <v>0.1983733461747573</v>
      </c>
      <c r="AO31" s="133">
        <f t="shared" si="23"/>
        <v>0.60075580749818414</v>
      </c>
      <c r="AP31" s="132">
        <f t="shared" si="7"/>
        <v>0.68713816176420794</v>
      </c>
      <c r="AQ31" s="137">
        <f t="shared" si="8"/>
        <v>0.70431661580831295</v>
      </c>
      <c r="AR31" s="137">
        <f t="shared" si="9"/>
        <v>1.9706191553588805</v>
      </c>
      <c r="AS31" s="1">
        <f t="shared" si="10"/>
        <v>1.9759999999999996E-2</v>
      </c>
      <c r="AT31" s="133">
        <f t="shared" si="24"/>
        <v>9.8879999999999996E-2</v>
      </c>
      <c r="AU31" s="132">
        <f t="shared" si="25"/>
        <v>6.1292145674400063</v>
      </c>
      <c r="AV31" s="1">
        <f t="shared" si="26"/>
        <v>451.2</v>
      </c>
      <c r="AW31" s="133">
        <f t="shared" si="27"/>
        <v>98.659780662987544</v>
      </c>
    </row>
    <row r="32" spans="17:49" x14ac:dyDescent="0.15">
      <c r="Q32">
        <v>25</v>
      </c>
      <c r="R32" s="132">
        <f t="shared" si="0"/>
        <v>60</v>
      </c>
      <c r="S32" s="1">
        <f t="shared" si="1"/>
        <v>7.52</v>
      </c>
      <c r="T32" s="1">
        <f t="shared" si="2"/>
        <v>25</v>
      </c>
      <c r="U32" s="133">
        <f t="shared" si="11"/>
        <v>18.047999999999998</v>
      </c>
      <c r="V32" s="132">
        <f>IF(Calculations!$B$17=3,2,IF((S32*R32/T32)&lt;((T32*(1-(T32/R32)))/(2*Lm*fsw)),1,2))</f>
        <v>2</v>
      </c>
      <c r="W32" s="1">
        <f t="shared" si="12"/>
        <v>0.58333333333333326</v>
      </c>
      <c r="X32" s="133">
        <f t="shared" si="3"/>
        <v>0.41666666666666674</v>
      </c>
      <c r="Y32" s="132">
        <f t="shared" si="4"/>
        <v>11.217948717948717</v>
      </c>
      <c r="Z32" s="1">
        <f t="shared" si="13"/>
        <v>23.656974358974356</v>
      </c>
      <c r="AA32" s="1">
        <f t="shared" si="14"/>
        <v>18.336225578161134</v>
      </c>
      <c r="AB32" s="1">
        <v>0</v>
      </c>
      <c r="AC32" s="1">
        <f t="shared" si="15"/>
        <v>0.68924519532908168</v>
      </c>
      <c r="AD32" s="133">
        <f t="shared" si="16"/>
        <v>0.68924519532908168</v>
      </c>
      <c r="AE32" s="132">
        <f t="shared" si="28"/>
        <v>10.527999999999997</v>
      </c>
      <c r="AF32" s="1">
        <f t="shared" si="17"/>
        <v>14.004523611951466</v>
      </c>
      <c r="AG32" s="1">
        <f t="shared" si="5"/>
        <v>0.19612668159770616</v>
      </c>
      <c r="AH32" s="1">
        <f t="shared" si="18"/>
        <v>1.1286258042170243</v>
      </c>
      <c r="AI32" s="133">
        <f t="shared" si="19"/>
        <v>1.3247524858147304</v>
      </c>
      <c r="AJ32" s="132">
        <f t="shared" si="20"/>
        <v>7.5200000000000005</v>
      </c>
      <c r="AK32" s="1">
        <f t="shared" si="21"/>
        <v>11.835982716086756</v>
      </c>
      <c r="AL32" s="1">
        <f t="shared" si="6"/>
        <v>0.14009048685550443</v>
      </c>
      <c r="AM32" s="1">
        <f t="shared" si="22"/>
        <v>0.26083200000000001</v>
      </c>
      <c r="AN32" s="136">
        <f t="shared" si="29"/>
        <v>0.19682602666666665</v>
      </c>
      <c r="AO32" s="133">
        <f t="shared" si="23"/>
        <v>0.59774851352217118</v>
      </c>
      <c r="AP32" s="132">
        <f t="shared" si="7"/>
        <v>0.67243433690642118</v>
      </c>
      <c r="AQ32" s="137">
        <f t="shared" si="8"/>
        <v>0.68924519532908168</v>
      </c>
      <c r="AR32" s="137">
        <f t="shared" si="9"/>
        <v>1.9856364998353733</v>
      </c>
      <c r="AS32" s="1">
        <f t="shared" si="10"/>
        <v>1.9759999999999996E-2</v>
      </c>
      <c r="AT32" s="133">
        <f t="shared" si="24"/>
        <v>0.1</v>
      </c>
      <c r="AU32" s="132">
        <f t="shared" si="25"/>
        <v>6.0788222267368592</v>
      </c>
      <c r="AV32" s="1">
        <f t="shared" si="26"/>
        <v>451.2</v>
      </c>
      <c r="AW32" s="133">
        <f t="shared" si="27"/>
        <v>98.670653017094509</v>
      </c>
    </row>
    <row r="33" spans="17:49" x14ac:dyDescent="0.15">
      <c r="Q33">
        <v>26</v>
      </c>
      <c r="R33" s="132">
        <f t="shared" si="0"/>
        <v>60</v>
      </c>
      <c r="S33" s="1">
        <f t="shared" si="1"/>
        <v>7.52</v>
      </c>
      <c r="T33" s="1">
        <f t="shared" si="2"/>
        <v>25.28</v>
      </c>
      <c r="U33" s="133">
        <f t="shared" si="11"/>
        <v>17.848101265822784</v>
      </c>
      <c r="V33" s="132">
        <f>IF(Calculations!$B$17=3,2,IF((S33*R33/T33)&lt;((T33*(1-(T33/R33)))/(2*Lm*fsw)),1,2))</f>
        <v>2</v>
      </c>
      <c r="W33" s="1">
        <f t="shared" si="12"/>
        <v>0.57866666666666666</v>
      </c>
      <c r="X33" s="133">
        <f t="shared" si="3"/>
        <v>0.42133333333333334</v>
      </c>
      <c r="Y33" s="132">
        <f t="shared" si="4"/>
        <v>11.252841025641025</v>
      </c>
      <c r="Z33" s="1">
        <f t="shared" si="13"/>
        <v>23.474521778643297</v>
      </c>
      <c r="AA33" s="1">
        <f t="shared" si="14"/>
        <v>18.141304291333647</v>
      </c>
      <c r="AB33" s="1">
        <v>0</v>
      </c>
      <c r="AC33" s="1">
        <f t="shared" si="15"/>
        <v>0.67466918885105909</v>
      </c>
      <c r="AD33" s="133">
        <f t="shared" si="16"/>
        <v>0.67466918885105909</v>
      </c>
      <c r="AE33" s="132">
        <f t="shared" si="28"/>
        <v>10.328101265822784</v>
      </c>
      <c r="AF33" s="1">
        <f t="shared" si="17"/>
        <v>13.800116129153414</v>
      </c>
      <c r="AG33" s="1">
        <f t="shared" si="5"/>
        <v>0.19044320517812022</v>
      </c>
      <c r="AH33" s="1">
        <f t="shared" si="18"/>
        <v>1.1161252019551271</v>
      </c>
      <c r="AI33" s="133">
        <f t="shared" si="19"/>
        <v>1.3065684071332473</v>
      </c>
      <c r="AJ33" s="132">
        <f t="shared" si="20"/>
        <v>7.52</v>
      </c>
      <c r="AK33" s="1">
        <f t="shared" si="21"/>
        <v>11.775555877012367</v>
      </c>
      <c r="AL33" s="1">
        <f t="shared" si="6"/>
        <v>0.13866371621264051</v>
      </c>
      <c r="AM33" s="1">
        <f t="shared" si="22"/>
        <v>0.26083200000000001</v>
      </c>
      <c r="AN33" s="136">
        <f t="shared" si="29"/>
        <v>0.19530802119831225</v>
      </c>
      <c r="AO33" s="133">
        <f t="shared" si="23"/>
        <v>0.59480373741095272</v>
      </c>
      <c r="AP33" s="132">
        <f t="shared" si="7"/>
        <v>0.65821384278152117</v>
      </c>
      <c r="AQ33" s="137">
        <f t="shared" si="8"/>
        <v>0.67466918885105909</v>
      </c>
      <c r="AR33" s="137">
        <f t="shared" si="9"/>
        <v>1.9998951558292379</v>
      </c>
      <c r="AS33" s="1">
        <f t="shared" si="10"/>
        <v>1.9759999999999996E-2</v>
      </c>
      <c r="AT33" s="133">
        <f t="shared" si="24"/>
        <v>0.10112</v>
      </c>
      <c r="AU33" s="132">
        <f t="shared" si="25"/>
        <v>6.0296995208570765</v>
      </c>
      <c r="AV33" s="1">
        <f t="shared" si="26"/>
        <v>451.2</v>
      </c>
      <c r="AW33" s="133">
        <f t="shared" si="27"/>
        <v>98.681253749007169</v>
      </c>
    </row>
    <row r="34" spans="17:49" x14ac:dyDescent="0.15">
      <c r="Q34">
        <v>27</v>
      </c>
      <c r="R34" s="132">
        <f t="shared" si="0"/>
        <v>60</v>
      </c>
      <c r="S34" s="1">
        <f t="shared" si="1"/>
        <v>7.52</v>
      </c>
      <c r="T34" s="1">
        <f t="shared" si="2"/>
        <v>25.560000000000002</v>
      </c>
      <c r="U34" s="133">
        <f t="shared" si="11"/>
        <v>17.652582159624412</v>
      </c>
      <c r="V34" s="132">
        <f>IF(Calculations!$B$17=3,2,IF((S34*R34/T34)&lt;((T34*(1-(T34/R34)))/(2*Lm*fsw)),1,2))</f>
        <v>2</v>
      </c>
      <c r="W34" s="1">
        <f t="shared" si="12"/>
        <v>0.57399999999999995</v>
      </c>
      <c r="X34" s="133">
        <f t="shared" si="3"/>
        <v>0.42600000000000005</v>
      </c>
      <c r="Y34" s="132">
        <f t="shared" si="4"/>
        <v>11.285723076923077</v>
      </c>
      <c r="Z34" s="1">
        <f t="shared" si="13"/>
        <v>23.295443698085951</v>
      </c>
      <c r="AA34" s="1">
        <f t="shared" si="14"/>
        <v>17.950699680412818</v>
      </c>
      <c r="AB34" s="1">
        <v>0</v>
      </c>
      <c r="AC34" s="1">
        <f t="shared" si="15"/>
        <v>0.66056661898356428</v>
      </c>
      <c r="AD34" s="133">
        <f t="shared" si="16"/>
        <v>0.66056661898356428</v>
      </c>
      <c r="AE34" s="132">
        <f t="shared" si="28"/>
        <v>10.132582159624413</v>
      </c>
      <c r="AF34" s="1">
        <f t="shared" si="17"/>
        <v>13.599950489446572</v>
      </c>
      <c r="AG34" s="1">
        <f t="shared" si="5"/>
        <v>0.18495865331539804</v>
      </c>
      <c r="AH34" s="1">
        <f t="shared" si="18"/>
        <v>1.1038984783030366</v>
      </c>
      <c r="AI34" s="133">
        <f t="shared" si="19"/>
        <v>1.2888571316184345</v>
      </c>
      <c r="AJ34" s="132">
        <f t="shared" si="20"/>
        <v>7.5200000000000005</v>
      </c>
      <c r="AK34" s="1">
        <f t="shared" si="21"/>
        <v>11.716183922292057</v>
      </c>
      <c r="AL34" s="1">
        <f t="shared" si="6"/>
        <v>0.13726896570097488</v>
      </c>
      <c r="AM34" s="1">
        <f t="shared" si="22"/>
        <v>0.26083200000000001</v>
      </c>
      <c r="AN34" s="136">
        <f t="shared" si="29"/>
        <v>0.19381809156807514</v>
      </c>
      <c r="AO34" s="133">
        <f t="shared" si="23"/>
        <v>0.59191905726905003</v>
      </c>
      <c r="AP34" s="132">
        <f t="shared" si="7"/>
        <v>0.64445523803274574</v>
      </c>
      <c r="AQ34" s="137">
        <f t="shared" si="8"/>
        <v>0.66056661898356428</v>
      </c>
      <c r="AR34" s="137">
        <f t="shared" si="9"/>
        <v>2.0133851979056985</v>
      </c>
      <c r="AS34" s="1">
        <f t="shared" si="10"/>
        <v>1.9759999999999996E-2</v>
      </c>
      <c r="AT34" s="133">
        <f t="shared" si="24"/>
        <v>0.10224000000000001</v>
      </c>
      <c r="AU34" s="132">
        <f t="shared" si="25"/>
        <v>5.9817498627930572</v>
      </c>
      <c r="AV34" s="1">
        <f t="shared" si="26"/>
        <v>451.2</v>
      </c>
      <c r="AW34" s="133">
        <f t="shared" si="27"/>
        <v>98.691603533039483</v>
      </c>
    </row>
    <row r="35" spans="17:49" x14ac:dyDescent="0.15">
      <c r="Q35">
        <v>28</v>
      </c>
      <c r="R35" s="132">
        <f t="shared" si="0"/>
        <v>60</v>
      </c>
      <c r="S35" s="1">
        <f t="shared" si="1"/>
        <v>7.52</v>
      </c>
      <c r="T35" s="1">
        <f t="shared" si="2"/>
        <v>25.84</v>
      </c>
      <c r="U35" s="133">
        <f t="shared" si="11"/>
        <v>17.461300309597522</v>
      </c>
      <c r="V35" s="132">
        <f>IF(Calculations!$B$17=3,2,IF((S35*R35/T35)&lt;((T35*(1-(T35/R35)))/(2*Lm*fsw)),1,2))</f>
        <v>2</v>
      </c>
      <c r="W35" s="1">
        <f t="shared" si="12"/>
        <v>0.56933333333333336</v>
      </c>
      <c r="X35" s="133">
        <f t="shared" si="3"/>
        <v>0.43066666666666664</v>
      </c>
      <c r="Y35" s="132">
        <f t="shared" si="4"/>
        <v>11.316594871794871</v>
      </c>
      <c r="Z35" s="1">
        <f t="shared" si="13"/>
        <v>23.119597745494957</v>
      </c>
      <c r="AA35" s="1">
        <f t="shared" si="14"/>
        <v>17.764265210237237</v>
      </c>
      <c r="AB35" s="1">
        <v>0</v>
      </c>
      <c r="AC35" s="1">
        <f t="shared" si="15"/>
        <v>0.64691669284227227</v>
      </c>
      <c r="AD35" s="133">
        <f t="shared" si="16"/>
        <v>0.64691669284227227</v>
      </c>
      <c r="AE35" s="132">
        <f t="shared" si="28"/>
        <v>9.9413003095975228</v>
      </c>
      <c r="AF35" s="1">
        <f t="shared" si="17"/>
        <v>13.403880710812492</v>
      </c>
      <c r="AG35" s="1">
        <f t="shared" si="5"/>
        <v>0.17966401810969121</v>
      </c>
      <c r="AH35" s="1">
        <f t="shared" si="18"/>
        <v>1.0919367300861307</v>
      </c>
      <c r="AI35" s="133">
        <f t="shared" si="19"/>
        <v>1.2716007481958218</v>
      </c>
      <c r="AJ35" s="132">
        <f t="shared" si="20"/>
        <v>7.52</v>
      </c>
      <c r="AK35" s="1">
        <f t="shared" si="21"/>
        <v>11.657834290722858</v>
      </c>
      <c r="AL35" s="1">
        <f t="shared" si="6"/>
        <v>0.13590510034995373</v>
      </c>
      <c r="AM35" s="1">
        <f t="shared" si="22"/>
        <v>0.26083200000000001</v>
      </c>
      <c r="AN35" s="136">
        <f t="shared" si="29"/>
        <v>0.19235505324251806</v>
      </c>
      <c r="AO35" s="133">
        <f t="shared" si="23"/>
        <v>0.5890921535924718</v>
      </c>
      <c r="AP35" s="132">
        <f t="shared" si="7"/>
        <v>0.63113823691929005</v>
      </c>
      <c r="AQ35" s="137">
        <f t="shared" si="8"/>
        <v>0.64691669284227227</v>
      </c>
      <c r="AR35" s="137">
        <f t="shared" si="9"/>
        <v>2.0260972580051191</v>
      </c>
      <c r="AS35" s="1">
        <f t="shared" si="10"/>
        <v>1.9759999999999996E-2</v>
      </c>
      <c r="AT35" s="133">
        <f t="shared" si="24"/>
        <v>0.10336000000000001</v>
      </c>
      <c r="AU35" s="132">
        <f t="shared" si="25"/>
        <v>5.9348817823972464</v>
      </c>
      <c r="AV35" s="1">
        <f t="shared" si="26"/>
        <v>451.2</v>
      </c>
      <c r="AW35" s="133">
        <f t="shared" si="27"/>
        <v>98.70172196021079</v>
      </c>
    </row>
    <row r="36" spans="17:49" x14ac:dyDescent="0.15">
      <c r="Q36">
        <v>29</v>
      </c>
      <c r="R36" s="132">
        <f t="shared" si="0"/>
        <v>60</v>
      </c>
      <c r="S36" s="1">
        <f t="shared" si="1"/>
        <v>7.52</v>
      </c>
      <c r="T36" s="1">
        <f t="shared" si="2"/>
        <v>26.12</v>
      </c>
      <c r="U36" s="133">
        <f t="shared" si="11"/>
        <v>17.274119448698315</v>
      </c>
      <c r="V36" s="132">
        <f>IF(Calculations!$B$17=3,2,IF((S36*R36/T36)&lt;((T36*(1-(T36/R36)))/(2*Lm*fsw)),1,2))</f>
        <v>2</v>
      </c>
      <c r="W36" s="1">
        <f t="shared" si="12"/>
        <v>0.56466666666666665</v>
      </c>
      <c r="X36" s="133">
        <f t="shared" si="3"/>
        <v>0.43533333333333335</v>
      </c>
      <c r="Y36" s="132">
        <f t="shared" si="4"/>
        <v>11.345456410256409</v>
      </c>
      <c r="Z36" s="1">
        <f t="shared" si="13"/>
        <v>22.94684765382652</v>
      </c>
      <c r="AA36" s="1">
        <f t="shared" si="14"/>
        <v>17.581860476761737</v>
      </c>
      <c r="AB36" s="1">
        <v>0</v>
      </c>
      <c r="AC36" s="1">
        <f t="shared" si="15"/>
        <v>0.63369972653984863</v>
      </c>
      <c r="AD36" s="133">
        <f t="shared" si="16"/>
        <v>0.63369972653984863</v>
      </c>
      <c r="AE36" s="132">
        <f t="shared" si="28"/>
        <v>9.7541194486983152</v>
      </c>
      <c r="AF36" s="1">
        <f t="shared" si="17"/>
        <v>13.211766969818886</v>
      </c>
      <c r="AG36" s="1">
        <f t="shared" si="5"/>
        <v>0.1745507864647973</v>
      </c>
      <c r="AH36" s="1">
        <f t="shared" si="18"/>
        <v>1.0802314358891887</v>
      </c>
      <c r="AI36" s="133">
        <f t="shared" si="19"/>
        <v>1.254782222353986</v>
      </c>
      <c r="AJ36" s="132">
        <f t="shared" si="20"/>
        <v>7.52</v>
      </c>
      <c r="AK36" s="1">
        <f t="shared" si="21"/>
        <v>11.600475479889568</v>
      </c>
      <c r="AL36" s="1">
        <f t="shared" si="6"/>
        <v>0.13457103135951909</v>
      </c>
      <c r="AM36" s="1">
        <f t="shared" si="22"/>
        <v>0.26083200000000001</v>
      </c>
      <c r="AN36" s="136">
        <f t="shared" si="29"/>
        <v>0.19091777247983666</v>
      </c>
      <c r="AO36" s="133">
        <f t="shared" si="23"/>
        <v>0.5863208038393557</v>
      </c>
      <c r="AP36" s="132">
        <f t="shared" si="7"/>
        <v>0.61824363564863294</v>
      </c>
      <c r="AQ36" s="137">
        <f t="shared" si="8"/>
        <v>0.63369972653984863</v>
      </c>
      <c r="AR36" s="137">
        <f t="shared" si="9"/>
        <v>2.0380225280529474</v>
      </c>
      <c r="AS36" s="1">
        <f t="shared" si="10"/>
        <v>1.9759999999999996E-2</v>
      </c>
      <c r="AT36" s="133">
        <f t="shared" si="24"/>
        <v>0.10448</v>
      </c>
      <c r="AU36" s="132">
        <f t="shared" si="25"/>
        <v>5.8890086429746198</v>
      </c>
      <c r="AV36" s="1">
        <f t="shared" si="26"/>
        <v>451.2</v>
      </c>
      <c r="AW36" s="133">
        <f t="shared" si="27"/>
        <v>98.711627597334243</v>
      </c>
    </row>
    <row r="37" spans="17:49" x14ac:dyDescent="0.15">
      <c r="Q37">
        <v>30</v>
      </c>
      <c r="R37" s="132">
        <f t="shared" si="0"/>
        <v>60</v>
      </c>
      <c r="S37" s="1">
        <f t="shared" si="1"/>
        <v>7.52</v>
      </c>
      <c r="T37" s="1">
        <f t="shared" si="2"/>
        <v>26.4</v>
      </c>
      <c r="U37" s="133">
        <f t="shared" si="11"/>
        <v>17.09090909090909</v>
      </c>
      <c r="V37" s="132">
        <f>IF(Calculations!$B$17=3,2,IF((S37*R37/T37)&lt;((T37*(1-(T37/R37)))/(2*Lm*fsw)),1,2))</f>
        <v>2</v>
      </c>
      <c r="W37" s="1">
        <f t="shared" si="12"/>
        <v>0.56000000000000005</v>
      </c>
      <c r="X37" s="133">
        <f t="shared" si="3"/>
        <v>0.43999999999999995</v>
      </c>
      <c r="Y37" s="132">
        <f t="shared" si="4"/>
        <v>11.372307692307693</v>
      </c>
      <c r="Z37" s="1">
        <f t="shared" si="13"/>
        <v>22.777062937062936</v>
      </c>
      <c r="AA37" s="1">
        <f t="shared" si="14"/>
        <v>17.403350886379009</v>
      </c>
      <c r="AB37" s="1">
        <v>0</v>
      </c>
      <c r="AC37" s="1">
        <f t="shared" si="15"/>
        <v>0.62089707525257953</v>
      </c>
      <c r="AD37" s="133">
        <f t="shared" si="16"/>
        <v>0.62089707525257953</v>
      </c>
      <c r="AE37" s="132">
        <f t="shared" si="28"/>
        <v>9.5709090909090921</v>
      </c>
      <c r="AF37" s="1">
        <f t="shared" si="17"/>
        <v>13.023475279727769</v>
      </c>
      <c r="AG37" s="1">
        <f t="shared" si="5"/>
        <v>0.1696109083616803</v>
      </c>
      <c r="AH37" s="1">
        <f t="shared" si="18"/>
        <v>1.0687744358115765</v>
      </c>
      <c r="AI37" s="133">
        <f t="shared" si="19"/>
        <v>1.2383853441732569</v>
      </c>
      <c r="AJ37" s="132">
        <f t="shared" si="20"/>
        <v>7.5199999999999987</v>
      </c>
      <c r="AK37" s="1">
        <f t="shared" si="21"/>
        <v>11.544076997003648</v>
      </c>
      <c r="AL37" s="1">
        <f t="shared" si="6"/>
        <v>0.13326571371274878</v>
      </c>
      <c r="AM37" s="1">
        <f t="shared" si="22"/>
        <v>0.26083200000000001</v>
      </c>
      <c r="AN37" s="136">
        <f t="shared" si="29"/>
        <v>0.18950516363636366</v>
      </c>
      <c r="AO37" s="133">
        <f t="shared" si="23"/>
        <v>0.58360287734911243</v>
      </c>
      <c r="AP37" s="132">
        <f t="shared" si="7"/>
        <v>0.60575324414885812</v>
      </c>
      <c r="AQ37" s="137">
        <f t="shared" si="8"/>
        <v>0.62089707525257953</v>
      </c>
      <c r="AR37" s="137">
        <f t="shared" si="9"/>
        <v>2.0491527623987746</v>
      </c>
      <c r="AS37" s="1">
        <f t="shared" si="10"/>
        <v>1.9759999999999996E-2</v>
      </c>
      <c r="AT37" s="133">
        <f t="shared" si="24"/>
        <v>0.1056</v>
      </c>
      <c r="AU37" s="132">
        <f t="shared" si="25"/>
        <v>5.8440483785751605</v>
      </c>
      <c r="AV37" s="1">
        <f t="shared" si="26"/>
        <v>451.2</v>
      </c>
      <c r="AW37" s="133">
        <f t="shared" si="27"/>
        <v>98.72133804185664</v>
      </c>
    </row>
    <row r="38" spans="17:49" x14ac:dyDescent="0.15">
      <c r="Q38">
        <v>31</v>
      </c>
      <c r="R38" s="132">
        <f t="shared" si="0"/>
        <v>60</v>
      </c>
      <c r="S38" s="1">
        <f t="shared" si="1"/>
        <v>7.52</v>
      </c>
      <c r="T38" s="1">
        <f t="shared" si="2"/>
        <v>26.68</v>
      </c>
      <c r="U38" s="133">
        <f t="shared" si="11"/>
        <v>16.911544227886058</v>
      </c>
      <c r="V38" s="132">
        <f>IF(Calculations!$B$17=3,2,IF((S38*R38/T38)&lt;((T38*(1-(T38/R38)))/(2*Lm*fsw)),1,2))</f>
        <v>2</v>
      </c>
      <c r="W38" s="1">
        <f t="shared" si="12"/>
        <v>0.55533333333333335</v>
      </c>
      <c r="X38" s="133">
        <f t="shared" si="3"/>
        <v>0.44466666666666665</v>
      </c>
      <c r="Y38" s="132">
        <f t="shared" si="4"/>
        <v>11.397148717948719</v>
      </c>
      <c r="Z38" s="1">
        <f t="shared" si="13"/>
        <v>22.610118586860416</v>
      </c>
      <c r="AA38" s="1">
        <f t="shared" si="14"/>
        <v>17.228607355597052</v>
      </c>
      <c r="AB38" s="1">
        <v>0</v>
      </c>
      <c r="AC38" s="1">
        <f t="shared" si="15"/>
        <v>0.60849106839733236</v>
      </c>
      <c r="AD38" s="133">
        <f t="shared" si="16"/>
        <v>0.60849106839733236</v>
      </c>
      <c r="AE38" s="132">
        <f t="shared" si="28"/>
        <v>9.3915442278860581</v>
      </c>
      <c r="AF38" s="1">
        <f t="shared" si="17"/>
        <v>12.838877188895356</v>
      </c>
      <c r="AG38" s="1">
        <f t="shared" si="5"/>
        <v>0.16483676747153755</v>
      </c>
      <c r="AH38" s="1">
        <f t="shared" si="18"/>
        <v>1.0575579124972121</v>
      </c>
      <c r="AI38" s="133">
        <f t="shared" si="19"/>
        <v>1.2223946799687497</v>
      </c>
      <c r="AJ38" s="132">
        <f t="shared" si="20"/>
        <v>7.5200000000000005</v>
      </c>
      <c r="AK38" s="1">
        <f t="shared" si="21"/>
        <v>11.488609312784353</v>
      </c>
      <c r="AL38" s="1">
        <f t="shared" si="6"/>
        <v>0.13198814394179539</v>
      </c>
      <c r="AM38" s="1">
        <f t="shared" si="22"/>
        <v>0.26083200000000001</v>
      </c>
      <c r="AN38" s="136">
        <f t="shared" si="29"/>
        <v>0.18811618664267868</v>
      </c>
      <c r="AO38" s="133">
        <f t="shared" si="23"/>
        <v>0.58093633058447414</v>
      </c>
      <c r="AP38" s="132">
        <f t="shared" si="7"/>
        <v>0.59364982282666579</v>
      </c>
      <c r="AQ38" s="137">
        <f t="shared" si="8"/>
        <v>0.60849106839733236</v>
      </c>
      <c r="AR38" s="137">
        <f t="shared" si="9"/>
        <v>2.0594802800867367</v>
      </c>
      <c r="AS38" s="1">
        <f t="shared" si="10"/>
        <v>1.9759999999999996E-2</v>
      </c>
      <c r="AT38" s="133">
        <f t="shared" si="24"/>
        <v>0.10672</v>
      </c>
      <c r="AU38" s="132">
        <f t="shared" si="25"/>
        <v>5.7999232502612905</v>
      </c>
      <c r="AV38" s="1">
        <f t="shared" si="26"/>
        <v>451.2</v>
      </c>
      <c r="AW38" s="133">
        <f t="shared" si="27"/>
        <v>98.730869972797535</v>
      </c>
    </row>
    <row r="39" spans="17:49" x14ac:dyDescent="0.15">
      <c r="Q39">
        <v>32</v>
      </c>
      <c r="R39" s="132">
        <f t="shared" si="0"/>
        <v>60</v>
      </c>
      <c r="S39" s="1">
        <f t="shared" ref="S39:S70" si="30">IOUT</f>
        <v>7.52</v>
      </c>
      <c r="T39" s="1">
        <f t="shared" ref="T39:T70" si="31">VIN_MIN+($O$12)*(Q39)</f>
        <v>26.96</v>
      </c>
      <c r="U39" s="133">
        <f t="shared" si="11"/>
        <v>16.735905044510385</v>
      </c>
      <c r="V39" s="132">
        <f>IF(Calculations!$B$17=3,2,IF((S39*R39/T39)&lt;((T39*(1-(T39/R39)))/(2*Lm*fsw)),1,2))</f>
        <v>2</v>
      </c>
      <c r="W39" s="1">
        <f t="shared" si="12"/>
        <v>0.55066666666666664</v>
      </c>
      <c r="X39" s="133">
        <f t="shared" si="3"/>
        <v>0.44933333333333336</v>
      </c>
      <c r="Y39" s="132">
        <f t="shared" si="4"/>
        <v>11.419979487179488</v>
      </c>
      <c r="Z39" s="1">
        <f t="shared" si="13"/>
        <v>22.44589478810013</v>
      </c>
      <c r="AA39" s="1">
        <f t="shared" si="14"/>
        <v>17.057506029590069</v>
      </c>
      <c r="AB39" s="1">
        <v>0</v>
      </c>
      <c r="AC39" s="1">
        <f t="shared" si="15"/>
        <v>0.5964649494964781</v>
      </c>
      <c r="AD39" s="133">
        <f t="shared" si="16"/>
        <v>0.5964649494964781</v>
      </c>
      <c r="AE39" s="132">
        <f t="shared" si="28"/>
        <v>9.2159050445103858</v>
      </c>
      <c r="AF39" s="1">
        <f t="shared" si="17"/>
        <v>12.657849497980511</v>
      </c>
      <c r="AG39" s="1">
        <f t="shared" si="5"/>
        <v>0.16022115391352545</v>
      </c>
      <c r="AH39" s="1">
        <f t="shared" si="18"/>
        <v>1.0465743733466475</v>
      </c>
      <c r="AI39" s="133">
        <f t="shared" si="19"/>
        <v>1.2067955272601729</v>
      </c>
      <c r="AJ39" s="132">
        <f t="shared" si="20"/>
        <v>7.5200000000000005</v>
      </c>
      <c r="AK39" s="1">
        <f t="shared" si="21"/>
        <v>11.434043818176315</v>
      </c>
      <c r="AL39" s="1">
        <f t="shared" si="6"/>
        <v>0.130737358035976</v>
      </c>
      <c r="AM39" s="1">
        <f t="shared" si="22"/>
        <v>0.26083200000000001</v>
      </c>
      <c r="AN39" s="136">
        <f t="shared" si="29"/>
        <v>0.1867498446369931</v>
      </c>
      <c r="AO39" s="133">
        <f t="shared" si="23"/>
        <v>0.5783192026729691</v>
      </c>
      <c r="AP39" s="132">
        <f t="shared" si="7"/>
        <v>0.58191702389900313</v>
      </c>
      <c r="AQ39" s="137">
        <f t="shared" si="8"/>
        <v>0.5964649494964781</v>
      </c>
      <c r="AR39" s="137">
        <f t="shared" si="9"/>
        <v>2.0689979669592993</v>
      </c>
      <c r="AS39" s="1">
        <f t="shared" si="10"/>
        <v>1.9759999999999996E-2</v>
      </c>
      <c r="AT39" s="133">
        <f t="shared" si="24"/>
        <v>0.10784000000000001</v>
      </c>
      <c r="AU39" s="132">
        <f t="shared" si="25"/>
        <v>5.7565596197844</v>
      </c>
      <c r="AV39" s="1">
        <f t="shared" si="26"/>
        <v>451.2</v>
      </c>
      <c r="AW39" s="133">
        <f t="shared" si="27"/>
        <v>98.740239198103595</v>
      </c>
    </row>
    <row r="40" spans="17:49" x14ac:dyDescent="0.15">
      <c r="Q40">
        <v>33</v>
      </c>
      <c r="R40" s="132">
        <f t="shared" si="0"/>
        <v>60</v>
      </c>
      <c r="S40" s="1">
        <f t="shared" si="30"/>
        <v>7.52</v>
      </c>
      <c r="T40" s="1">
        <f t="shared" si="31"/>
        <v>27.240000000000002</v>
      </c>
      <c r="U40" s="133">
        <f t="shared" si="11"/>
        <v>16.563876651982376</v>
      </c>
      <c r="V40" s="132">
        <f>IF(Calculations!$B$17=3,2,IF((S40*R40/T40)&lt;((T40*(1-(T40/R40)))/(2*Lm*fsw)),1,2))</f>
        <v>2</v>
      </c>
      <c r="W40" s="1">
        <f t="shared" si="12"/>
        <v>0.54600000000000004</v>
      </c>
      <c r="X40" s="133">
        <f t="shared" si="3"/>
        <v>0.45399999999999996</v>
      </c>
      <c r="Y40" s="132">
        <f t="shared" si="4"/>
        <v>11.440800000000001</v>
      </c>
      <c r="Z40" s="1">
        <f t="shared" si="13"/>
        <v>22.284276651982378</v>
      </c>
      <c r="AA40" s="1">
        <f t="shared" si="14"/>
        <v>16.889928018262449</v>
      </c>
      <c r="AB40" s="1">
        <v>0</v>
      </c>
      <c r="AC40" s="1">
        <f t="shared" si="15"/>
        <v>0.58480282034727804</v>
      </c>
      <c r="AD40" s="133">
        <f t="shared" si="16"/>
        <v>0.58480282034727804</v>
      </c>
      <c r="AE40" s="132">
        <f t="shared" si="28"/>
        <v>9.0438766519823783</v>
      </c>
      <c r="AF40" s="1">
        <f t="shared" si="17"/>
        <v>12.480273994600418</v>
      </c>
      <c r="AG40" s="1">
        <f t="shared" si="5"/>
        <v>0.1557572389802995</v>
      </c>
      <c r="AH40" s="1">
        <f t="shared" si="18"/>
        <v>1.0358166338261972</v>
      </c>
      <c r="AI40" s="133">
        <f t="shared" si="19"/>
        <v>1.1915738728064966</v>
      </c>
      <c r="AJ40" s="132">
        <f t="shared" si="20"/>
        <v>7.5199999999999978</v>
      </c>
      <c r="AK40" s="1">
        <f t="shared" si="21"/>
        <v>11.38035278371402</v>
      </c>
      <c r="AL40" s="1">
        <f t="shared" si="6"/>
        <v>0.12951242948178746</v>
      </c>
      <c r="AM40" s="1">
        <f t="shared" si="22"/>
        <v>0.26083200000000001</v>
      </c>
      <c r="AN40" s="136">
        <f t="shared" si="29"/>
        <v>0.18540518174449341</v>
      </c>
      <c r="AO40" s="133">
        <f t="shared" si="23"/>
        <v>0.57574961122628088</v>
      </c>
      <c r="AP40" s="132">
        <f t="shared" si="7"/>
        <v>0.5705393369241738</v>
      </c>
      <c r="AQ40" s="137">
        <f t="shared" si="8"/>
        <v>0.58480282034727804</v>
      </c>
      <c r="AR40" s="137">
        <f t="shared" si="9"/>
        <v>2.0776992775963397</v>
      </c>
      <c r="AS40" s="1">
        <f t="shared" si="10"/>
        <v>1.9759999999999996E-2</v>
      </c>
      <c r="AT40" s="133">
        <f t="shared" si="24"/>
        <v>0.10896000000000002</v>
      </c>
      <c r="AU40" s="132">
        <f t="shared" si="25"/>
        <v>5.7138877392478467</v>
      </c>
      <c r="AV40" s="1">
        <f t="shared" si="26"/>
        <v>451.2</v>
      </c>
      <c r="AW40" s="133">
        <f t="shared" si="27"/>
        <v>98.749460698706386</v>
      </c>
    </row>
    <row r="41" spans="17:49" x14ac:dyDescent="0.15">
      <c r="Q41">
        <v>34</v>
      </c>
      <c r="R41" s="132">
        <f t="shared" si="0"/>
        <v>60</v>
      </c>
      <c r="S41" s="1">
        <f t="shared" si="30"/>
        <v>7.52</v>
      </c>
      <c r="T41" s="1">
        <f t="shared" si="31"/>
        <v>27.520000000000003</v>
      </c>
      <c r="U41" s="133">
        <f t="shared" si="11"/>
        <v>16.395348837209301</v>
      </c>
      <c r="V41" s="132">
        <f>IF(Calculations!$B$17=3,2,IF((S41*R41/T41)&lt;((T41*(1-(T41/R41)))/(2*Lm*fsw)),1,2))</f>
        <v>2</v>
      </c>
      <c r="W41" s="1">
        <f t="shared" si="12"/>
        <v>0.54133333333333322</v>
      </c>
      <c r="X41" s="133">
        <f t="shared" si="3"/>
        <v>0.45866666666666678</v>
      </c>
      <c r="Y41" s="132">
        <f t="shared" si="4"/>
        <v>11.459610256410254</v>
      </c>
      <c r="Z41" s="1">
        <f t="shared" si="13"/>
        <v>22.125153965414427</v>
      </c>
      <c r="AA41" s="1">
        <f t="shared" si="14"/>
        <v>16.725759148576255</v>
      </c>
      <c r="AB41" s="1">
        <v>0</v>
      </c>
      <c r="AC41" s="1">
        <f t="shared" si="15"/>
        <v>0.57348958914717363</v>
      </c>
      <c r="AD41" s="133">
        <f t="shared" si="16"/>
        <v>0.57348958914717363</v>
      </c>
      <c r="AE41" s="132">
        <f t="shared" si="28"/>
        <v>8.8753488372092999</v>
      </c>
      <c r="AF41" s="1">
        <f t="shared" si="17"/>
        <v>12.306037204182886</v>
      </c>
      <c r="AG41" s="1">
        <f t="shared" si="5"/>
        <v>0.15143855167073333</v>
      </c>
      <c r="AH41" s="1">
        <f t="shared" si="18"/>
        <v>1.0252778017959889</v>
      </c>
      <c r="AI41" s="133">
        <f t="shared" si="19"/>
        <v>1.1767163534667222</v>
      </c>
      <c r="AJ41" s="132">
        <f t="shared" si="20"/>
        <v>7.5200000000000014</v>
      </c>
      <c r="AK41" s="1">
        <f t="shared" si="21"/>
        <v>11.32750932135785</v>
      </c>
      <c r="AL41" s="1">
        <f t="shared" si="6"/>
        <v>0.12831246742544897</v>
      </c>
      <c r="AM41" s="1">
        <f t="shared" si="22"/>
        <v>0.26083200000000001</v>
      </c>
      <c r="AN41" s="136">
        <f t="shared" si="29"/>
        <v>0.18408128099224805</v>
      </c>
      <c r="AO41" s="133">
        <f t="shared" si="23"/>
        <v>0.57322574841769702</v>
      </c>
      <c r="AP41" s="132">
        <f t="shared" si="7"/>
        <v>0.55950203819236455</v>
      </c>
      <c r="AQ41" s="137">
        <f t="shared" si="8"/>
        <v>0.57348958914717363</v>
      </c>
      <c r="AR41" s="137">
        <f t="shared" si="9"/>
        <v>2.0855782370912119</v>
      </c>
      <c r="AS41" s="1">
        <f t="shared" si="10"/>
        <v>1.9759999999999996E-2</v>
      </c>
      <c r="AT41" s="133">
        <f t="shared" si="24"/>
        <v>0.11008000000000001</v>
      </c>
      <c r="AU41" s="132">
        <f t="shared" si="25"/>
        <v>5.6718415554623434</v>
      </c>
      <c r="AV41" s="1">
        <f t="shared" si="26"/>
        <v>451.2</v>
      </c>
      <c r="AW41" s="133">
        <f t="shared" si="27"/>
        <v>98.75854866954549</v>
      </c>
    </row>
    <row r="42" spans="17:49" x14ac:dyDescent="0.15">
      <c r="Q42">
        <v>35</v>
      </c>
      <c r="R42" s="132">
        <f t="shared" si="0"/>
        <v>60</v>
      </c>
      <c r="S42" s="1">
        <f t="shared" si="30"/>
        <v>7.52</v>
      </c>
      <c r="T42" s="1">
        <f t="shared" si="31"/>
        <v>27.8</v>
      </c>
      <c r="U42" s="133">
        <f t="shared" si="11"/>
        <v>16.230215827338128</v>
      </c>
      <c r="V42" s="132">
        <f>IF(Calculations!$B$17=3,2,IF((S42*R42/T42)&lt;((T42*(1-(T42/R42)))/(2*Lm*fsw)),1,2))</f>
        <v>2</v>
      </c>
      <c r="W42" s="1">
        <f t="shared" si="12"/>
        <v>0.53666666666666663</v>
      </c>
      <c r="X42" s="133">
        <f t="shared" si="3"/>
        <v>0.46333333333333337</v>
      </c>
      <c r="Y42" s="132">
        <f t="shared" si="4"/>
        <v>11.476410256410256</v>
      </c>
      <c r="Z42" s="1">
        <f t="shared" si="13"/>
        <v>21.968420955543255</v>
      </c>
      <c r="AA42" s="1">
        <f t="shared" si="14"/>
        <v>16.564889731993297</v>
      </c>
      <c r="AB42" s="1">
        <v>0</v>
      </c>
      <c r="AC42" s="1">
        <f t="shared" si="15"/>
        <v>0.5625109222578486</v>
      </c>
      <c r="AD42" s="133">
        <f t="shared" si="16"/>
        <v>0.5625109222578486</v>
      </c>
      <c r="AE42" s="132">
        <f t="shared" si="28"/>
        <v>8.7102158273381285</v>
      </c>
      <c r="AF42" s="1">
        <f t="shared" si="17"/>
        <v>12.135030155865373</v>
      </c>
      <c r="AG42" s="1">
        <f t="shared" si="5"/>
        <v>0.14725895688376198</v>
      </c>
      <c r="AH42" s="1">
        <f t="shared" si="18"/>
        <v>1.0149512627850941</v>
      </c>
      <c r="AI42" s="133">
        <f t="shared" si="19"/>
        <v>1.162210219668856</v>
      </c>
      <c r="AJ42" s="132">
        <f t="shared" si="20"/>
        <v>7.52</v>
      </c>
      <c r="AK42" s="1">
        <f t="shared" si="21"/>
        <v>11.275487348639743</v>
      </c>
      <c r="AL42" s="1">
        <f t="shared" si="6"/>
        <v>0.1271366149493349</v>
      </c>
      <c r="AM42" s="1">
        <f t="shared" si="22"/>
        <v>0.26083200000000001</v>
      </c>
      <c r="AN42" s="136">
        <f t="shared" si="29"/>
        <v>0.1827772623501199</v>
      </c>
      <c r="AO42" s="133">
        <f t="shared" si="23"/>
        <v>0.57074587729945481</v>
      </c>
      <c r="AP42" s="132">
        <f t="shared" si="7"/>
        <v>0.54879114366619386</v>
      </c>
      <c r="AQ42" s="137">
        <f t="shared" si="8"/>
        <v>0.5625109222578486</v>
      </c>
      <c r="AR42" s="137">
        <f t="shared" si="9"/>
        <v>2.0926294426654035</v>
      </c>
      <c r="AS42" s="1">
        <f t="shared" si="10"/>
        <v>1.9759999999999996E-2</v>
      </c>
      <c r="AT42" s="133">
        <f t="shared" si="24"/>
        <v>0.11120000000000001</v>
      </c>
      <c r="AU42" s="132">
        <f t="shared" si="25"/>
        <v>5.6303585278156048</v>
      </c>
      <c r="AV42" s="1">
        <f t="shared" si="26"/>
        <v>451.2</v>
      </c>
      <c r="AW42" s="133">
        <f t="shared" si="27"/>
        <v>98.767516557796199</v>
      </c>
    </row>
    <row r="43" spans="17:49" x14ac:dyDescent="0.15">
      <c r="Q43">
        <v>36</v>
      </c>
      <c r="R43" s="132">
        <f t="shared" si="0"/>
        <v>60</v>
      </c>
      <c r="S43" s="1">
        <f t="shared" si="30"/>
        <v>7.52</v>
      </c>
      <c r="T43" s="1">
        <f t="shared" si="31"/>
        <v>28.080000000000002</v>
      </c>
      <c r="U43" s="133">
        <f t="shared" si="11"/>
        <v>16.068376068376068</v>
      </c>
      <c r="V43" s="132">
        <f>IF(Calculations!$B$17=3,2,IF((S43*R43/T43)&lt;((T43*(1-(T43/R43)))/(2*Lm*fsw)),1,2))</f>
        <v>2</v>
      </c>
      <c r="W43" s="1">
        <f t="shared" si="12"/>
        <v>0.53200000000000003</v>
      </c>
      <c r="X43" s="133">
        <f t="shared" si="3"/>
        <v>0.46799999999999997</v>
      </c>
      <c r="Y43" s="132">
        <f t="shared" si="4"/>
        <v>11.491200000000001</v>
      </c>
      <c r="Z43" s="1">
        <f t="shared" si="13"/>
        <v>21.813976068376068</v>
      </c>
      <c r="AA43" s="1">
        <f t="shared" si="14"/>
        <v>16.407214345974783</v>
      </c>
      <c r="AB43" s="1">
        <v>0</v>
      </c>
      <c r="AC43" s="1">
        <f t="shared" si="15"/>
        <v>0.55185319931925936</v>
      </c>
      <c r="AD43" s="133">
        <f t="shared" si="16"/>
        <v>0.55185319931925936</v>
      </c>
      <c r="AE43" s="132">
        <f t="shared" si="28"/>
        <v>8.5483760683760686</v>
      </c>
      <c r="AF43" s="1">
        <f t="shared" si="17"/>
        <v>11.967148162382411</v>
      </c>
      <c r="AG43" s="1">
        <f t="shared" si="5"/>
        <v>0.14321263514041271</v>
      </c>
      <c r="AH43" s="1">
        <f t="shared" si="18"/>
        <v>1.0048306661476358</v>
      </c>
      <c r="AI43" s="133">
        <f t="shared" si="19"/>
        <v>1.1480433012880487</v>
      </c>
      <c r="AJ43" s="132">
        <f t="shared" si="20"/>
        <v>7.52</v>
      </c>
      <c r="AK43" s="1">
        <f t="shared" si="21"/>
        <v>11.224261554968683</v>
      </c>
      <c r="AL43" s="1">
        <f t="shared" si="6"/>
        <v>0.12598404745434799</v>
      </c>
      <c r="AM43" s="1">
        <f t="shared" si="22"/>
        <v>0.26083200000000001</v>
      </c>
      <c r="AN43" s="136">
        <f t="shared" si="29"/>
        <v>0.18149228088888891</v>
      </c>
      <c r="AO43" s="133">
        <f t="shared" si="23"/>
        <v>0.56830832834323686</v>
      </c>
      <c r="AP43" s="132">
        <f t="shared" si="7"/>
        <v>0.53839336518952141</v>
      </c>
      <c r="AQ43" s="137">
        <f t="shared" si="8"/>
        <v>0.55185319931925936</v>
      </c>
      <c r="AR43" s="137">
        <f t="shared" si="9"/>
        <v>2.0988480651231649</v>
      </c>
      <c r="AS43" s="1">
        <f t="shared" si="10"/>
        <v>1.9759999999999996E-2</v>
      </c>
      <c r="AT43" s="133">
        <f t="shared" si="24"/>
        <v>0.11232</v>
      </c>
      <c r="AU43" s="132">
        <f t="shared" si="25"/>
        <v>5.5893794585824903</v>
      </c>
      <c r="AV43" s="1">
        <f t="shared" si="26"/>
        <v>451.2</v>
      </c>
      <c r="AW43" s="133">
        <f t="shared" si="27"/>
        <v>98.776377098520243</v>
      </c>
    </row>
    <row r="44" spans="17:49" x14ac:dyDescent="0.15">
      <c r="Q44">
        <v>37</v>
      </c>
      <c r="R44" s="132">
        <f t="shared" si="0"/>
        <v>60</v>
      </c>
      <c r="S44" s="1">
        <f t="shared" si="30"/>
        <v>7.52</v>
      </c>
      <c r="T44" s="1">
        <f t="shared" si="31"/>
        <v>28.36</v>
      </c>
      <c r="U44" s="133">
        <f t="shared" si="11"/>
        <v>15.909732016925247</v>
      </c>
      <c r="V44" s="132">
        <f>IF(Calculations!$B$17=3,2,IF((S44*R44/T44)&lt;((T44*(1-(T44/R44)))/(2*Lm*fsw)),1,2))</f>
        <v>2</v>
      </c>
      <c r="W44" s="1">
        <f t="shared" si="12"/>
        <v>0.52733333333333332</v>
      </c>
      <c r="X44" s="133">
        <f t="shared" si="3"/>
        <v>0.47266666666666668</v>
      </c>
      <c r="Y44" s="132">
        <f t="shared" si="4"/>
        <v>11.503979487179487</v>
      </c>
      <c r="Z44" s="1">
        <f t="shared" si="13"/>
        <v>21.66172176051499</v>
      </c>
      <c r="AA44" s="1">
        <f t="shared" si="14"/>
        <v>16.252631628564963</v>
      </c>
      <c r="AB44" s="1">
        <v>0</v>
      </c>
      <c r="AC44" s="1">
        <f t="shared" si="15"/>
        <v>0.54150347145035183</v>
      </c>
      <c r="AD44" s="133">
        <f t="shared" si="16"/>
        <v>0.54150347145035183</v>
      </c>
      <c r="AE44" s="132">
        <f t="shared" si="28"/>
        <v>8.3897320169252474</v>
      </c>
      <c r="AF44" s="1">
        <f t="shared" si="17"/>
        <v>11.802290612966608</v>
      </c>
      <c r="AG44" s="1">
        <f t="shared" si="5"/>
        <v>0.13929406371291972</v>
      </c>
      <c r="AH44" s="1">
        <f t="shared" si="18"/>
        <v>0.99490991203898493</v>
      </c>
      <c r="AI44" s="133">
        <f t="shared" si="19"/>
        <v>1.1342039757519047</v>
      </c>
      <c r="AJ44" s="132">
        <f t="shared" si="20"/>
        <v>7.5200000000000005</v>
      </c>
      <c r="AK44" s="1">
        <f t="shared" si="21"/>
        <v>11.173807369957224</v>
      </c>
      <c r="AL44" s="1">
        <f t="shared" si="6"/>
        <v>0.12485397114091037</v>
      </c>
      <c r="AM44" s="1">
        <f t="shared" si="22"/>
        <v>0.26083200000000001</v>
      </c>
      <c r="AN44" s="136">
        <f t="shared" si="29"/>
        <v>0.18022552504748474</v>
      </c>
      <c r="AO44" s="133">
        <f t="shared" si="23"/>
        <v>0.56591149618839509</v>
      </c>
      <c r="AP44" s="132">
        <f t="shared" si="7"/>
        <v>0.52829606970766041</v>
      </c>
      <c r="AQ44" s="137">
        <f t="shared" si="8"/>
        <v>0.54150347145035183</v>
      </c>
      <c r="AR44" s="137">
        <f t="shared" si="9"/>
        <v>2.1042298501474033</v>
      </c>
      <c r="AS44" s="1">
        <f t="shared" si="10"/>
        <v>1.9759999999999996E-2</v>
      </c>
      <c r="AT44" s="133">
        <f t="shared" si="24"/>
        <v>0.11344</v>
      </c>
      <c r="AU44" s="132">
        <f t="shared" si="25"/>
        <v>5.5488483346960669</v>
      </c>
      <c r="AV44" s="1">
        <f t="shared" si="26"/>
        <v>451.2</v>
      </c>
      <c r="AW44" s="133">
        <f t="shared" si="27"/>
        <v>98.785142347938674</v>
      </c>
    </row>
    <row r="45" spans="17:49" x14ac:dyDescent="0.15">
      <c r="Q45">
        <v>38</v>
      </c>
      <c r="R45" s="132">
        <f t="shared" si="0"/>
        <v>60</v>
      </c>
      <c r="S45" s="1">
        <f t="shared" si="30"/>
        <v>7.52</v>
      </c>
      <c r="T45" s="1">
        <f t="shared" si="31"/>
        <v>28.64</v>
      </c>
      <c r="U45" s="133">
        <f t="shared" si="11"/>
        <v>15.754189944134078</v>
      </c>
      <c r="V45" s="132">
        <f>IF(Calculations!$B$17=3,2,IF((S45*R45/T45)&lt;((T45*(1-(T45/R45)))/(2*Lm*fsw)),1,2))</f>
        <v>2</v>
      </c>
      <c r="W45" s="1">
        <f t="shared" si="12"/>
        <v>0.52266666666666661</v>
      </c>
      <c r="X45" s="133">
        <f t="shared" si="3"/>
        <v>0.47733333333333339</v>
      </c>
      <c r="Y45" s="132">
        <f t="shared" si="4"/>
        <v>11.514748717948716</v>
      </c>
      <c r="Z45" s="1">
        <f t="shared" si="13"/>
        <v>21.511564303108436</v>
      </c>
      <c r="AA45" s="1">
        <f t="shared" si="14"/>
        <v>16.10104408516149</v>
      </c>
      <c r="AB45" s="1">
        <v>0</v>
      </c>
      <c r="AC45" s="1">
        <f t="shared" si="15"/>
        <v>0.53144942229624326</v>
      </c>
      <c r="AD45" s="133">
        <f t="shared" si="16"/>
        <v>0.53144942229624326</v>
      </c>
      <c r="AE45" s="132">
        <f t="shared" si="28"/>
        <v>8.2341899441340765</v>
      </c>
      <c r="AF45" s="1">
        <f t="shared" si="17"/>
        <v>11.640360778364618</v>
      </c>
      <c r="AG45" s="1">
        <f t="shared" si="5"/>
        <v>0.13549799905048934</v>
      </c>
      <c r="AH45" s="1">
        <f t="shared" si="18"/>
        <v>0.98518313915592226</v>
      </c>
      <c r="AI45" s="133">
        <f t="shared" si="19"/>
        <v>1.1206811382064117</v>
      </c>
      <c r="AJ45" s="132">
        <f t="shared" si="20"/>
        <v>7.5200000000000005</v>
      </c>
      <c r="AK45" s="1">
        <f t="shared" si="21"/>
        <v>11.124100933640637</v>
      </c>
      <c r="AL45" s="1">
        <f t="shared" si="6"/>
        <v>0.12374562158182449</v>
      </c>
      <c r="AM45" s="1">
        <f t="shared" si="22"/>
        <v>0.26083200000000001</v>
      </c>
      <c r="AN45" s="136">
        <f t="shared" si="29"/>
        <v>0.1789762150018622</v>
      </c>
      <c r="AO45" s="133">
        <f t="shared" si="23"/>
        <v>0.56355383658368674</v>
      </c>
      <c r="AP45" s="132">
        <f t="shared" si="7"/>
        <v>0.51848724126462764</v>
      </c>
      <c r="AQ45" s="137">
        <f t="shared" si="8"/>
        <v>0.53144942229624326</v>
      </c>
      <c r="AR45" s="137">
        <f t="shared" si="9"/>
        <v>2.1087711194379684</v>
      </c>
      <c r="AS45" s="1">
        <f t="shared" si="10"/>
        <v>1.9759999999999996E-2</v>
      </c>
      <c r="AT45" s="133">
        <f t="shared" si="24"/>
        <v>0.11456000000000001</v>
      </c>
      <c r="AU45" s="132">
        <f t="shared" si="25"/>
        <v>5.5087121800851797</v>
      </c>
      <c r="AV45" s="1">
        <f t="shared" si="26"/>
        <v>451.2</v>
      </c>
      <c r="AW45" s="133">
        <f t="shared" si="27"/>
        <v>98.793823714509514</v>
      </c>
    </row>
    <row r="46" spans="17:49" x14ac:dyDescent="0.15">
      <c r="Q46">
        <v>39</v>
      </c>
      <c r="R46" s="132">
        <f t="shared" si="0"/>
        <v>60</v>
      </c>
      <c r="S46" s="1">
        <f t="shared" si="30"/>
        <v>7.52</v>
      </c>
      <c r="T46" s="1">
        <f t="shared" si="31"/>
        <v>28.92</v>
      </c>
      <c r="U46" s="133">
        <f t="shared" si="11"/>
        <v>15.601659751037342</v>
      </c>
      <c r="V46" s="132">
        <f>IF(Calculations!$B$17=3,2,IF((S46*R46/T46)&lt;((T46*(1-(T46/R46)))/(2*Lm*fsw)),1,2))</f>
        <v>2</v>
      </c>
      <c r="W46" s="1">
        <f t="shared" si="12"/>
        <v>0.51800000000000002</v>
      </c>
      <c r="X46" s="133">
        <f t="shared" si="3"/>
        <v>0.48199999999999998</v>
      </c>
      <c r="Y46" s="132">
        <f t="shared" si="4"/>
        <v>11.523507692307692</v>
      </c>
      <c r="Z46" s="1">
        <f t="shared" si="13"/>
        <v>21.36341359719119</v>
      </c>
      <c r="AA46" s="1">
        <f t="shared" si="14"/>
        <v>15.952357906644862</v>
      </c>
      <c r="AB46" s="1">
        <v>0</v>
      </c>
      <c r="AC46" s="1">
        <f t="shared" si="15"/>
        <v>0.52167933170247438</v>
      </c>
      <c r="AD46" s="133">
        <f t="shared" si="16"/>
        <v>0.52167933170247438</v>
      </c>
      <c r="AE46" s="132">
        <f t="shared" si="28"/>
        <v>8.0816597510373427</v>
      </c>
      <c r="AF46" s="1">
        <f t="shared" si="17"/>
        <v>11.481265627138757</v>
      </c>
      <c r="AG46" s="1">
        <f t="shared" si="5"/>
        <v>0.13181946040091794</v>
      </c>
      <c r="AH46" s="1">
        <f t="shared" si="18"/>
        <v>0.97564471318899071</v>
      </c>
      <c r="AI46" s="133">
        <f t="shared" si="19"/>
        <v>1.1074641735899087</v>
      </c>
      <c r="AJ46" s="132">
        <f t="shared" si="20"/>
        <v>7.5199999999999987</v>
      </c>
      <c r="AK46" s="1">
        <f t="shared" si="21"/>
        <v>11.075119068469508</v>
      </c>
      <c r="AL46" s="1">
        <f t="shared" si="6"/>
        <v>0.1226582623807769</v>
      </c>
      <c r="AM46" s="1">
        <f t="shared" si="22"/>
        <v>0.26083200000000001</v>
      </c>
      <c r="AN46" s="136">
        <f t="shared" si="29"/>
        <v>0.17774360112863072</v>
      </c>
      <c r="AO46" s="133">
        <f t="shared" si="23"/>
        <v>0.56123386350940763</v>
      </c>
      <c r="AP46" s="132">
        <f t="shared" si="7"/>
        <v>0.50895544556338967</v>
      </c>
      <c r="AQ46" s="137">
        <f t="shared" si="8"/>
        <v>0.52167933170247438</v>
      </c>
      <c r="AR46" s="137">
        <f t="shared" si="9"/>
        <v>2.1124687716932766</v>
      </c>
      <c r="AS46" s="1">
        <f t="shared" si="10"/>
        <v>1.9759999999999996E-2</v>
      </c>
      <c r="AT46" s="133">
        <f t="shared" si="24"/>
        <v>0.11568000000000001</v>
      </c>
      <c r="AU46" s="132">
        <f t="shared" si="25"/>
        <v>5.468920917760931</v>
      </c>
      <c r="AV46" s="1">
        <f t="shared" si="26"/>
        <v>451.2</v>
      </c>
      <c r="AW46" s="133">
        <f t="shared" si="27"/>
        <v>98.802431987977172</v>
      </c>
    </row>
    <row r="47" spans="17:49" x14ac:dyDescent="0.15">
      <c r="Q47">
        <v>40</v>
      </c>
      <c r="R47" s="132">
        <f t="shared" si="0"/>
        <v>60</v>
      </c>
      <c r="S47" s="1">
        <f t="shared" si="30"/>
        <v>7.52</v>
      </c>
      <c r="T47" s="1">
        <f t="shared" si="31"/>
        <v>29.200000000000003</v>
      </c>
      <c r="U47" s="133">
        <f t="shared" si="11"/>
        <v>15.452054794520546</v>
      </c>
      <c r="V47" s="132">
        <f>IF(Calculations!$B$17=3,2,IF((S47*R47/T47)&lt;((T47*(1-(T47/R47)))/(2*Lm*fsw)),1,2))</f>
        <v>2</v>
      </c>
      <c r="W47" s="1">
        <f t="shared" si="12"/>
        <v>0.51333333333333331</v>
      </c>
      <c r="X47" s="133">
        <f t="shared" si="3"/>
        <v>0.48666666666666669</v>
      </c>
      <c r="Y47" s="132">
        <f t="shared" si="4"/>
        <v>11.530256410256412</v>
      </c>
      <c r="Z47" s="1">
        <f t="shared" si="13"/>
        <v>21.217182999648752</v>
      </c>
      <c r="AA47" s="1">
        <f t="shared" si="14"/>
        <v>15.806482798102818</v>
      </c>
      <c r="AB47" s="1">
        <v>0</v>
      </c>
      <c r="AC47" s="1">
        <f t="shared" si="15"/>
        <v>0.51218204181577653</v>
      </c>
      <c r="AD47" s="133">
        <f t="shared" si="16"/>
        <v>0.51218204181577653</v>
      </c>
      <c r="AE47" s="132">
        <f t="shared" si="28"/>
        <v>7.9320547945205462</v>
      </c>
      <c r="AF47" s="1">
        <f t="shared" si="17"/>
        <v>11.324915652488679</v>
      </c>
      <c r="AG47" s="1">
        <f t="shared" si="5"/>
        <v>0.12825371453598308</v>
      </c>
      <c r="AH47" s="1">
        <f t="shared" si="18"/>
        <v>0.96628921593923334</v>
      </c>
      <c r="AI47" s="133">
        <f t="shared" si="19"/>
        <v>1.0945429304752163</v>
      </c>
      <c r="AJ47" s="132">
        <f t="shared" si="20"/>
        <v>7.52</v>
      </c>
      <c r="AK47" s="1">
        <f t="shared" si="21"/>
        <v>11.02683925296534</v>
      </c>
      <c r="AL47" s="1">
        <f t="shared" si="6"/>
        <v>0.12159118391073721</v>
      </c>
      <c r="AM47" s="1">
        <f t="shared" si="22"/>
        <v>0.26083200000000001</v>
      </c>
      <c r="AN47" s="136">
        <f t="shared" si="29"/>
        <v>0.17652696255707764</v>
      </c>
      <c r="AO47" s="133">
        <f t="shared" si="23"/>
        <v>0.55895014646781482</v>
      </c>
      <c r="AP47" s="132">
        <f t="shared" si="7"/>
        <v>0.49968979689344062</v>
      </c>
      <c r="AQ47" s="137">
        <f t="shared" si="8"/>
        <v>0.51218204181577653</v>
      </c>
      <c r="AR47" s="137">
        <f t="shared" si="9"/>
        <v>2.1153202834361764</v>
      </c>
      <c r="AS47" s="1">
        <f t="shared" si="10"/>
        <v>1.9759999999999996E-2</v>
      </c>
      <c r="AT47" s="133">
        <f t="shared" si="24"/>
        <v>0.11680000000000001</v>
      </c>
      <c r="AU47" s="132">
        <f t="shared" si="25"/>
        <v>5.429427240904201</v>
      </c>
      <c r="AV47" s="1">
        <f t="shared" si="26"/>
        <v>451.2</v>
      </c>
      <c r="AW47" s="133">
        <f t="shared" si="27"/>
        <v>98.810977366546325</v>
      </c>
    </row>
    <row r="48" spans="17:49" x14ac:dyDescent="0.15">
      <c r="Q48">
        <v>41</v>
      </c>
      <c r="R48" s="132">
        <f t="shared" si="0"/>
        <v>60</v>
      </c>
      <c r="S48" s="1">
        <f t="shared" si="30"/>
        <v>7.52</v>
      </c>
      <c r="T48" s="1">
        <f t="shared" si="31"/>
        <v>29.48</v>
      </c>
      <c r="U48" s="133">
        <f t="shared" si="11"/>
        <v>15.305291723202171</v>
      </c>
      <c r="V48" s="132">
        <f>IF(Calculations!$B$17=3,2,IF((S48*R48/T48)&lt;((T48*(1-(T48/R48)))/(2*Lm*fsw)),1,2))</f>
        <v>2</v>
      </c>
      <c r="W48" s="1">
        <f t="shared" si="12"/>
        <v>0.5086666666666666</v>
      </c>
      <c r="X48" s="133">
        <f t="shared" si="3"/>
        <v>0.4913333333333334</v>
      </c>
      <c r="Y48" s="132">
        <f t="shared" si="4"/>
        <v>11.53499487179487</v>
      </c>
      <c r="Z48" s="1">
        <f t="shared" si="13"/>
        <v>21.072789159099607</v>
      </c>
      <c r="AA48" s="1">
        <f t="shared" si="14"/>
        <v>15.663331817443845</v>
      </c>
      <c r="AB48" s="1">
        <v>0</v>
      </c>
      <c r="AC48" s="1">
        <f t="shared" si="15"/>
        <v>0.50294692542786479</v>
      </c>
      <c r="AD48" s="133">
        <f t="shared" si="16"/>
        <v>0.50294692542786479</v>
      </c>
      <c r="AE48" s="132">
        <f t="shared" si="28"/>
        <v>7.7852917232021701</v>
      </c>
      <c r="AF48" s="1">
        <f t="shared" si="17"/>
        <v>11.171224708885326</v>
      </c>
      <c r="AG48" s="1">
        <f t="shared" si="5"/>
        <v>0.12479626149641004</v>
      </c>
      <c r="AH48" s="1">
        <f t="shared" si="18"/>
        <v>0.95711143505514296</v>
      </c>
      <c r="AI48" s="133">
        <f t="shared" si="19"/>
        <v>1.0819076965515531</v>
      </c>
      <c r="AJ48" s="132">
        <f t="shared" si="20"/>
        <v>7.5200000000000005</v>
      </c>
      <c r="AK48" s="1">
        <f t="shared" si="21"/>
        <v>10.979239596936514</v>
      </c>
      <c r="AL48" s="1">
        <f t="shared" si="6"/>
        <v>0.12054370212693867</v>
      </c>
      <c r="AM48" s="1">
        <f t="shared" si="22"/>
        <v>0.26083200000000001</v>
      </c>
      <c r="AN48" s="136">
        <f t="shared" si="29"/>
        <v>0.17532560580370876</v>
      </c>
      <c r="AO48" s="133">
        <f t="shared" si="23"/>
        <v>0.55670130793064743</v>
      </c>
      <c r="AP48" s="132">
        <f t="shared" si="7"/>
        <v>0.49067992724669746</v>
      </c>
      <c r="AQ48" s="137">
        <f t="shared" si="8"/>
        <v>0.50294692542786479</v>
      </c>
      <c r="AR48" s="137">
        <f t="shared" si="9"/>
        <v>2.1173237096846989</v>
      </c>
      <c r="AS48" s="1">
        <f t="shared" si="10"/>
        <v>1.9759999999999996E-2</v>
      </c>
      <c r="AT48" s="133">
        <f t="shared" si="24"/>
        <v>0.11792000000000001</v>
      </c>
      <c r="AU48" s="132">
        <f t="shared" si="25"/>
        <v>5.3901864922693257</v>
      </c>
      <c r="AV48" s="1">
        <f t="shared" si="26"/>
        <v>451.2</v>
      </c>
      <c r="AW48" s="133">
        <f t="shared" si="27"/>
        <v>98.819469482320869</v>
      </c>
    </row>
    <row r="49" spans="17:49" x14ac:dyDescent="0.15">
      <c r="Q49">
        <v>42</v>
      </c>
      <c r="R49" s="132">
        <f t="shared" si="0"/>
        <v>60</v>
      </c>
      <c r="S49" s="1">
        <f t="shared" si="30"/>
        <v>7.52</v>
      </c>
      <c r="T49" s="1">
        <f t="shared" si="31"/>
        <v>29.76</v>
      </c>
      <c r="U49" s="133">
        <f t="shared" si="11"/>
        <v>15.161290322580644</v>
      </c>
      <c r="V49" s="132">
        <f>IF(Calculations!$B$17=3,2,IF((S49*R49/T49)&lt;((T49*(1-(T49/R49)))/(2*Lm*fsw)),1,2))</f>
        <v>2</v>
      </c>
      <c r="W49" s="1">
        <f t="shared" si="12"/>
        <v>0.504</v>
      </c>
      <c r="X49" s="133">
        <f t="shared" si="3"/>
        <v>0.496</v>
      </c>
      <c r="Y49" s="132">
        <f t="shared" si="4"/>
        <v>11.537723076923077</v>
      </c>
      <c r="Z49" s="1">
        <f t="shared" si="13"/>
        <v>20.930151861042184</v>
      </c>
      <c r="AA49" s="1">
        <f t="shared" si="14"/>
        <v>15.522821223247117</v>
      </c>
      <c r="AB49" s="1">
        <v>0</v>
      </c>
      <c r="AC49" s="1">
        <f t="shared" si="15"/>
        <v>0.49396385639422674</v>
      </c>
      <c r="AD49" s="133">
        <f t="shared" si="16"/>
        <v>0.49396385639422674</v>
      </c>
      <c r="AE49" s="132">
        <f t="shared" si="28"/>
        <v>7.6412903225806446</v>
      </c>
      <c r="AF49" s="1">
        <f t="shared" si="17"/>
        <v>11.02010985786263</v>
      </c>
      <c r="AG49" s="1">
        <f t="shared" si="5"/>
        <v>0.12144282127936112</v>
      </c>
      <c r="AH49" s="1">
        <f t="shared" si="18"/>
        <v>0.94810635434897894</v>
      </c>
      <c r="AI49" s="133">
        <f t="shared" si="19"/>
        <v>1.0695491756283402</v>
      </c>
      <c r="AJ49" s="132">
        <f t="shared" si="20"/>
        <v>7.52</v>
      </c>
      <c r="AK49" s="1">
        <f t="shared" si="21"/>
        <v>10.932298818159428</v>
      </c>
      <c r="AL49" s="1">
        <f t="shared" si="6"/>
        <v>0.11951515744953002</v>
      </c>
      <c r="AM49" s="1">
        <f t="shared" si="22"/>
        <v>0.26083200000000001</v>
      </c>
      <c r="AN49" s="136">
        <f t="shared" si="29"/>
        <v>0.17413886348387098</v>
      </c>
      <c r="AO49" s="133">
        <f t="shared" si="23"/>
        <v>0.55448602093340105</v>
      </c>
      <c r="AP49" s="132">
        <f t="shared" si="7"/>
        <v>0.48191595745778226</v>
      </c>
      <c r="AQ49" s="137">
        <f t="shared" si="8"/>
        <v>0.49396385639422674</v>
      </c>
      <c r="AR49" s="137">
        <f t="shared" si="9"/>
        <v>2.1184776844683286</v>
      </c>
      <c r="AS49" s="1">
        <f t="shared" si="10"/>
        <v>1.9759999999999996E-2</v>
      </c>
      <c r="AT49" s="133">
        <f t="shared" si="24"/>
        <v>0.11904000000000001</v>
      </c>
      <c r="AU49" s="132">
        <f t="shared" si="25"/>
        <v>5.3511565512763051</v>
      </c>
      <c r="AV49" s="1">
        <f t="shared" si="26"/>
        <v>451.2</v>
      </c>
      <c r="AW49" s="133">
        <f t="shared" si="27"/>
        <v>98.827917425136278</v>
      </c>
    </row>
    <row r="50" spans="17:49" x14ac:dyDescent="0.15">
      <c r="Q50">
        <v>43</v>
      </c>
      <c r="R50" s="132">
        <f t="shared" si="0"/>
        <v>60</v>
      </c>
      <c r="S50" s="1">
        <f t="shared" si="30"/>
        <v>7.52</v>
      </c>
      <c r="T50" s="1">
        <f t="shared" si="31"/>
        <v>30.04</v>
      </c>
      <c r="U50" s="133">
        <f t="shared" si="11"/>
        <v>15.019973368841544</v>
      </c>
      <c r="V50" s="132">
        <f>IF(Calculations!$B$17=3,2,IF((S50*R50/T50)&lt;((T50*(1-(T50/R50)))/(2*Lm*fsw)),1,2))</f>
        <v>2</v>
      </c>
      <c r="W50" s="1">
        <f t="shared" si="12"/>
        <v>0.4993333333333333</v>
      </c>
      <c r="X50" s="133">
        <f t="shared" si="3"/>
        <v>0.5006666666666667</v>
      </c>
      <c r="Y50" s="132">
        <f t="shared" si="4"/>
        <v>11.538441025641024</v>
      </c>
      <c r="Z50" s="1">
        <f t="shared" si="13"/>
        <v>20.789193881662058</v>
      </c>
      <c r="AA50" s="1">
        <f t="shared" si="14"/>
        <v>15.384870331245095</v>
      </c>
      <c r="AB50" s="1">
        <v>0</v>
      </c>
      <c r="AC50" s="1">
        <f t="shared" si="15"/>
        <v>0.48522318197391234</v>
      </c>
      <c r="AD50" s="133">
        <f t="shared" si="16"/>
        <v>0.48522318197391234</v>
      </c>
      <c r="AE50" s="132">
        <f t="shared" si="28"/>
        <v>7.4999733688415438</v>
      </c>
      <c r="AF50" s="1">
        <f t="shared" si="17"/>
        <v>10.871491222361048</v>
      </c>
      <c r="AG50" s="1">
        <f t="shared" si="5"/>
        <v>0.1181893213978733</v>
      </c>
      <c r="AH50" s="1">
        <f t="shared" si="18"/>
        <v>0.93926914465464761</v>
      </c>
      <c r="AI50" s="133">
        <f t="shared" si="19"/>
        <v>1.057458466052521</v>
      </c>
      <c r="AJ50" s="132">
        <f t="shared" si="20"/>
        <v>7.5200000000000005</v>
      </c>
      <c r="AK50" s="1">
        <f t="shared" si="21"/>
        <v>10.885996220436249</v>
      </c>
      <c r="AL50" s="1">
        <f t="shared" si="6"/>
        <v>0.1185049137113523</v>
      </c>
      <c r="AM50" s="1">
        <f t="shared" si="22"/>
        <v>0.26083200000000001</v>
      </c>
      <c r="AN50" s="136">
        <f t="shared" si="29"/>
        <v>0.17296609309542835</v>
      </c>
      <c r="AO50" s="133">
        <f t="shared" si="23"/>
        <v>0.55230300680678068</v>
      </c>
      <c r="AP50" s="132">
        <f t="shared" si="7"/>
        <v>0.47338847021845115</v>
      </c>
      <c r="AQ50" s="137">
        <f t="shared" si="8"/>
        <v>0.48522318197391234</v>
      </c>
      <c r="AR50" s="137">
        <f t="shared" si="9"/>
        <v>2.1187814211901621</v>
      </c>
      <c r="AS50" s="1">
        <f t="shared" si="10"/>
        <v>1.9759999999999996E-2</v>
      </c>
      <c r="AT50" s="133">
        <f t="shared" si="24"/>
        <v>0.12016</v>
      </c>
      <c r="AU50" s="132">
        <f t="shared" si="25"/>
        <v>5.3122977282157393</v>
      </c>
      <c r="AV50" s="1">
        <f t="shared" si="26"/>
        <v>451.2</v>
      </c>
      <c r="AW50" s="133">
        <f t="shared" si="27"/>
        <v>98.836329764904079</v>
      </c>
    </row>
    <row r="51" spans="17:49" x14ac:dyDescent="0.15">
      <c r="Q51">
        <v>44</v>
      </c>
      <c r="R51" s="132">
        <f t="shared" si="0"/>
        <v>60</v>
      </c>
      <c r="S51" s="1">
        <f t="shared" si="30"/>
        <v>7.52</v>
      </c>
      <c r="T51" s="1">
        <f t="shared" si="31"/>
        <v>30.32</v>
      </c>
      <c r="U51" s="133">
        <f t="shared" si="11"/>
        <v>14.881266490765171</v>
      </c>
      <c r="V51" s="132">
        <f>IF(Calculations!$B$17=3,2,IF((S51*R51/T51)&lt;((T51*(1-(T51/R51)))/(2*Lm*fsw)),1,2))</f>
        <v>2</v>
      </c>
      <c r="W51" s="1">
        <f t="shared" si="12"/>
        <v>0.4946666666666667</v>
      </c>
      <c r="X51" s="133">
        <f t="shared" si="3"/>
        <v>0.5053333333333333</v>
      </c>
      <c r="Y51" s="132">
        <f t="shared" si="4"/>
        <v>11.537148717948719</v>
      </c>
      <c r="Z51" s="1">
        <f t="shared" si="13"/>
        <v>20.64984084973953</v>
      </c>
      <c r="AA51" s="1">
        <f t="shared" si="14"/>
        <v>15.249401378879625</v>
      </c>
      <c r="AB51" s="1">
        <v>0</v>
      </c>
      <c r="AC51" s="1">
        <f t="shared" si="15"/>
        <v>0.47671569694906035</v>
      </c>
      <c r="AD51" s="133">
        <f t="shared" si="16"/>
        <v>0.47671569694906035</v>
      </c>
      <c r="AE51" s="132">
        <f t="shared" si="28"/>
        <v>7.3612664907651713</v>
      </c>
      <c r="AF51" s="1">
        <f t="shared" si="17"/>
        <v>10.725291849061527</v>
      </c>
      <c r="AG51" s="1">
        <f t="shared" si="5"/>
        <v>0.11503188524754564</v>
      </c>
      <c r="AH51" s="1">
        <f t="shared" si="18"/>
        <v>0.93059515519213754</v>
      </c>
      <c r="AI51" s="133">
        <f t="shared" si="19"/>
        <v>1.0456270404396832</v>
      </c>
      <c r="AJ51" s="132">
        <f t="shared" si="20"/>
        <v>7.52</v>
      </c>
      <c r="AK51" s="1">
        <f t="shared" si="21"/>
        <v>10.840311672946962</v>
      </c>
      <c r="AL51" s="1">
        <f t="shared" si="6"/>
        <v>0.11751235716663017</v>
      </c>
      <c r="AM51" s="1">
        <f t="shared" si="22"/>
        <v>0.26083200000000001</v>
      </c>
      <c r="AN51" s="136">
        <f t="shared" si="29"/>
        <v>0.17180667586983292</v>
      </c>
      <c r="AO51" s="133">
        <f t="shared" si="23"/>
        <v>0.55015103303646307</v>
      </c>
      <c r="AP51" s="132">
        <f t="shared" si="7"/>
        <v>0.46508848482835163</v>
      </c>
      <c r="AQ51" s="137">
        <f t="shared" si="8"/>
        <v>0.47671569694906035</v>
      </c>
      <c r="AR51" s="137">
        <f t="shared" si="9"/>
        <v>2.1182347128353554</v>
      </c>
      <c r="AS51" s="1">
        <f t="shared" si="10"/>
        <v>1.9759999999999996E-2</v>
      </c>
      <c r="AT51" s="133">
        <f t="shared" si="24"/>
        <v>0.12128</v>
      </c>
      <c r="AU51" s="132">
        <f t="shared" si="25"/>
        <v>5.2735726650379737</v>
      </c>
      <c r="AV51" s="1">
        <f t="shared" si="26"/>
        <v>451.2</v>
      </c>
      <c r="AW51" s="133">
        <f t="shared" si="27"/>
        <v>98.844714572576635</v>
      </c>
    </row>
    <row r="52" spans="17:49" x14ac:dyDescent="0.15">
      <c r="Q52">
        <v>45</v>
      </c>
      <c r="R52" s="132">
        <f t="shared" si="0"/>
        <v>60</v>
      </c>
      <c r="S52" s="1">
        <f t="shared" si="30"/>
        <v>7.52</v>
      </c>
      <c r="T52" s="1">
        <f t="shared" si="31"/>
        <v>30.6</v>
      </c>
      <c r="U52" s="133">
        <f t="shared" si="11"/>
        <v>14.745098039215685</v>
      </c>
      <c r="V52" s="132">
        <f>IF(Calculations!$B$17=3,2,IF((S52*R52/T52)&lt;((T52*(1-(T52/R52)))/(2*Lm*fsw)),1,2))</f>
        <v>2</v>
      </c>
      <c r="W52" s="1">
        <f t="shared" si="12"/>
        <v>0.49</v>
      </c>
      <c r="X52" s="133">
        <f t="shared" si="3"/>
        <v>0.51</v>
      </c>
      <c r="Y52" s="132">
        <f t="shared" si="4"/>
        <v>11.533846153846154</v>
      </c>
      <c r="Z52" s="1">
        <f t="shared" si="13"/>
        <v>20.512021116138762</v>
      </c>
      <c r="AA52" s="1">
        <f t="shared" si="14"/>
        <v>15.116339397413588</v>
      </c>
      <c r="AB52" s="1">
        <v>0</v>
      </c>
      <c r="AC52" s="1">
        <f t="shared" si="15"/>
        <v>0.46843261939448627</v>
      </c>
      <c r="AD52" s="133">
        <f t="shared" si="16"/>
        <v>0.46843261939448627</v>
      </c>
      <c r="AE52" s="132">
        <f t="shared" si="28"/>
        <v>7.2250980392156858</v>
      </c>
      <c r="AF52" s="1">
        <f t="shared" si="17"/>
        <v>10.581437578189512</v>
      </c>
      <c r="AG52" s="1">
        <f t="shared" si="5"/>
        <v>0.11196682122112113</v>
      </c>
      <c r="AH52" s="1">
        <f t="shared" si="18"/>
        <v>0.92207990540606577</v>
      </c>
      <c r="AI52" s="133">
        <f t="shared" si="19"/>
        <v>1.0340467266271869</v>
      </c>
      <c r="AJ52" s="132">
        <f t="shared" si="20"/>
        <v>7.52</v>
      </c>
      <c r="AK52" s="1">
        <f t="shared" si="21"/>
        <v>10.79522559081917</v>
      </c>
      <c r="AL52" s="1">
        <f t="shared" si="6"/>
        <v>0.11653689555667709</v>
      </c>
      <c r="AM52" s="1">
        <f t="shared" si="22"/>
        <v>0.26083200000000001</v>
      </c>
      <c r="AN52" s="136">
        <f t="shared" si="29"/>
        <v>0.17066001568627451</v>
      </c>
      <c r="AO52" s="133">
        <f t="shared" si="23"/>
        <v>0.54802891124295161</v>
      </c>
      <c r="AP52" s="132">
        <f t="shared" si="7"/>
        <v>0.45700743355559642</v>
      </c>
      <c r="AQ52" s="137">
        <f t="shared" si="8"/>
        <v>0.46843261939448627</v>
      </c>
      <c r="AR52" s="137">
        <f t="shared" si="9"/>
        <v>2.1168379320259341</v>
      </c>
      <c r="AS52" s="1">
        <f t="shared" si="10"/>
        <v>1.9759999999999996E-2</v>
      </c>
      <c r="AT52" s="133">
        <f t="shared" si="24"/>
        <v>0.12240000000000001</v>
      </c>
      <c r="AU52" s="132">
        <f t="shared" si="25"/>
        <v>5.2349462422406408</v>
      </c>
      <c r="AV52" s="1">
        <f t="shared" si="26"/>
        <v>451.2</v>
      </c>
      <c r="AW52" s="133">
        <f t="shared" si="27"/>
        <v>98.85307943983274</v>
      </c>
    </row>
    <row r="53" spans="17:49" x14ac:dyDescent="0.15">
      <c r="Q53">
        <v>46</v>
      </c>
      <c r="R53" s="132">
        <f t="shared" si="0"/>
        <v>60</v>
      </c>
      <c r="S53" s="1">
        <f t="shared" si="30"/>
        <v>7.52</v>
      </c>
      <c r="T53" s="1">
        <f t="shared" si="31"/>
        <v>30.880000000000003</v>
      </c>
      <c r="U53" s="133">
        <f t="shared" si="11"/>
        <v>14.611398963730569</v>
      </c>
      <c r="V53" s="132">
        <f>IF(Calculations!$B$17=3,2,IF((S53*R53/T53)&lt;((T53*(1-(T53/R53)))/(2*Lm*fsw)),1,2))</f>
        <v>2</v>
      </c>
      <c r="W53" s="1">
        <f t="shared" si="12"/>
        <v>0.48533333333333328</v>
      </c>
      <c r="X53" s="133">
        <f t="shared" si="3"/>
        <v>0.51466666666666672</v>
      </c>
      <c r="Y53" s="132">
        <f t="shared" si="4"/>
        <v>11.528533333333332</v>
      </c>
      <c r="Z53" s="1">
        <f t="shared" si="13"/>
        <v>20.375665630397236</v>
      </c>
      <c r="AA53" s="1">
        <f t="shared" si="14"/>
        <v>14.985612091117762</v>
      </c>
      <c r="AB53" s="1">
        <v>0</v>
      </c>
      <c r="AC53" s="1">
        <f t="shared" si="15"/>
        <v>0.4603655679781824</v>
      </c>
      <c r="AD53" s="133">
        <f t="shared" si="16"/>
        <v>0.4603655679781824</v>
      </c>
      <c r="AE53" s="132">
        <f t="shared" si="28"/>
        <v>7.0913989637305681</v>
      </c>
      <c r="AF53" s="1">
        <f t="shared" si="17"/>
        <v>10.439856920305987</v>
      </c>
      <c r="AG53" s="1">
        <f t="shared" si="5"/>
        <v>0.10899061251646081</v>
      </c>
      <c r="AH53" s="1">
        <f t="shared" si="18"/>
        <v>0.91371907724823875</v>
      </c>
      <c r="AI53" s="133">
        <f t="shared" si="19"/>
        <v>1.0227096897646994</v>
      </c>
      <c r="AJ53" s="132">
        <f t="shared" si="20"/>
        <v>7.5200000000000005</v>
      </c>
      <c r="AK53" s="1">
        <f t="shared" si="21"/>
        <v>10.750718916844313</v>
      </c>
      <c r="AL53" s="1">
        <f t="shared" si="6"/>
        <v>0.11557795722899417</v>
      </c>
      <c r="AM53" s="1">
        <f t="shared" si="22"/>
        <v>0.26083200000000001</v>
      </c>
      <c r="AN53" s="136">
        <f t="shared" si="29"/>
        <v>0.16952553804490503</v>
      </c>
      <c r="AO53" s="133">
        <f t="shared" si="23"/>
        <v>0.54593549527389917</v>
      </c>
      <c r="AP53" s="132">
        <f t="shared" si="7"/>
        <v>0.44913713949090972</v>
      </c>
      <c r="AQ53" s="137">
        <f t="shared" si="8"/>
        <v>0.4603655679781824</v>
      </c>
      <c r="AR53" s="137">
        <f t="shared" si="9"/>
        <v>2.1145920309221045</v>
      </c>
      <c r="AS53" s="1">
        <f t="shared" si="10"/>
        <v>1.9759999999999996E-2</v>
      </c>
      <c r="AT53" s="133">
        <f t="shared" si="24"/>
        <v>0.12352000000000002</v>
      </c>
      <c r="AU53" s="132">
        <f t="shared" si="25"/>
        <v>5.1963854914079768</v>
      </c>
      <c r="AV53" s="1">
        <f t="shared" si="26"/>
        <v>451.2</v>
      </c>
      <c r="AW53" s="133">
        <f t="shared" si="27"/>
        <v>98.861431497575751</v>
      </c>
    </row>
    <row r="54" spans="17:49" x14ac:dyDescent="0.15">
      <c r="Q54">
        <v>47</v>
      </c>
      <c r="R54" s="132">
        <f t="shared" si="0"/>
        <v>60</v>
      </c>
      <c r="S54" s="1">
        <f t="shared" si="30"/>
        <v>7.52</v>
      </c>
      <c r="T54" s="1">
        <f t="shared" si="31"/>
        <v>31.160000000000004</v>
      </c>
      <c r="U54" s="133">
        <f t="shared" si="11"/>
        <v>14.480102695763797</v>
      </c>
      <c r="V54" s="132">
        <f>IF(Calculations!$B$17=3,2,IF((S54*R54/T54)&lt;((T54*(1-(T54/R54)))/(2*Lm*fsw)),1,2))</f>
        <v>2</v>
      </c>
      <c r="W54" s="1">
        <f t="shared" si="12"/>
        <v>0.48066666666666658</v>
      </c>
      <c r="X54" s="133">
        <f t="shared" si="3"/>
        <v>0.51933333333333342</v>
      </c>
      <c r="Y54" s="132">
        <f t="shared" si="4"/>
        <v>11.521210256410255</v>
      </c>
      <c r="Z54" s="1">
        <f t="shared" si="13"/>
        <v>20.240707823968926</v>
      </c>
      <c r="AA54" s="1">
        <f t="shared" si="14"/>
        <v>14.857149723087323</v>
      </c>
      <c r="AB54" s="1">
        <v>0</v>
      </c>
      <c r="AC54" s="1">
        <f t="shared" si="15"/>
        <v>0.45250654068317903</v>
      </c>
      <c r="AD54" s="133">
        <f t="shared" si="16"/>
        <v>0.45250654068317903</v>
      </c>
      <c r="AE54" s="132">
        <f t="shared" si="28"/>
        <v>6.9601026957637968</v>
      </c>
      <c r="AF54" s="1">
        <f t="shared" si="17"/>
        <v>10.300480939637154</v>
      </c>
      <c r="AG54" s="1">
        <f t="shared" si="5"/>
        <v>0.10609990758782832</v>
      </c>
      <c r="AH54" s="1">
        <f t="shared" si="18"/>
        <v>0.90550850787630321</v>
      </c>
      <c r="AI54" s="133">
        <f t="shared" si="19"/>
        <v>1.0116084154641316</v>
      </c>
      <c r="AJ54" s="132">
        <f t="shared" si="20"/>
        <v>7.5200000000000005</v>
      </c>
      <c r="AK54" s="1">
        <f t="shared" si="21"/>
        <v>10.706773104274014</v>
      </c>
      <c r="AL54" s="1">
        <f t="shared" si="6"/>
        <v>0.11463499030640541</v>
      </c>
      <c r="AM54" s="1">
        <f t="shared" si="22"/>
        <v>0.26083200000000001</v>
      </c>
      <c r="AN54" s="136">
        <f t="shared" si="29"/>
        <v>0.16840268909542147</v>
      </c>
      <c r="AO54" s="133">
        <f t="shared" si="23"/>
        <v>0.54386967940182684</v>
      </c>
      <c r="AP54" s="132">
        <f t="shared" si="7"/>
        <v>0.44146979578846746</v>
      </c>
      <c r="AQ54" s="137">
        <f t="shared" si="8"/>
        <v>0.45250654068317903</v>
      </c>
      <c r="AR54" s="137">
        <f t="shared" si="9"/>
        <v>2.1114985409699205</v>
      </c>
      <c r="AS54" s="1">
        <f t="shared" si="10"/>
        <v>1.9759999999999996E-2</v>
      </c>
      <c r="AT54" s="133">
        <f t="shared" si="24"/>
        <v>0.12464000000000001</v>
      </c>
      <c r="AU54" s="132">
        <f t="shared" si="25"/>
        <v>5.1578595129907043</v>
      </c>
      <c r="AV54" s="1">
        <f t="shared" si="26"/>
        <v>451.2</v>
      </c>
      <c r="AW54" s="133">
        <f t="shared" si="27"/>
        <v>98.869777433329403</v>
      </c>
    </row>
    <row r="55" spans="17:49" x14ac:dyDescent="0.15">
      <c r="Q55">
        <v>48</v>
      </c>
      <c r="R55" s="132">
        <f t="shared" si="0"/>
        <v>60</v>
      </c>
      <c r="S55" s="1">
        <f t="shared" si="30"/>
        <v>7.52</v>
      </c>
      <c r="T55" s="1">
        <f t="shared" si="31"/>
        <v>31.44</v>
      </c>
      <c r="U55" s="133">
        <f t="shared" si="11"/>
        <v>14.351145038167939</v>
      </c>
      <c r="V55" s="132">
        <f>IF(Calculations!$B$17=3,2,IF((S55*R55/T55)&lt;((T55*(1-(T55/R55)))/(2*Lm*fsw)),1,2))</f>
        <v>2</v>
      </c>
      <c r="W55" s="1">
        <f t="shared" si="12"/>
        <v>0.47599999999999998</v>
      </c>
      <c r="X55" s="133">
        <f t="shared" si="3"/>
        <v>0.52400000000000002</v>
      </c>
      <c r="Y55" s="132">
        <f t="shared" si="4"/>
        <v>11.511876923076922</v>
      </c>
      <c r="Z55" s="1">
        <f t="shared" si="13"/>
        <v>20.107083499706398</v>
      </c>
      <c r="AA55" s="1">
        <f t="shared" si="14"/>
        <v>14.73088500727428</v>
      </c>
      <c r="AB55" s="1">
        <v>0</v>
      </c>
      <c r="AC55" s="1">
        <f t="shared" si="15"/>
        <v>0.44484789484995313</v>
      </c>
      <c r="AD55" s="133">
        <f t="shared" si="16"/>
        <v>0.44484789484995313</v>
      </c>
      <c r="AE55" s="132">
        <f t="shared" si="28"/>
        <v>6.8311450381679384</v>
      </c>
      <c r="AF55" s="1">
        <f t="shared" si="17"/>
        <v>10.163243143525994</v>
      </c>
      <c r="AG55" s="1">
        <f t="shared" si="5"/>
        <v>0.10329151119442814</v>
      </c>
      <c r="AH55" s="1">
        <f t="shared" si="18"/>
        <v>0.897444182742545</v>
      </c>
      <c r="AI55" s="133">
        <f t="shared" si="19"/>
        <v>1.0007356939369731</v>
      </c>
      <c r="AJ55" s="132">
        <f t="shared" si="20"/>
        <v>7.5200000000000005</v>
      </c>
      <c r="AK55" s="1">
        <f t="shared" si="21"/>
        <v>10.663370100634694</v>
      </c>
      <c r="AL55" s="1">
        <f t="shared" si="6"/>
        <v>0.11370746190310996</v>
      </c>
      <c r="AM55" s="1">
        <f t="shared" si="22"/>
        <v>0.26083200000000001</v>
      </c>
      <c r="AN55" s="136">
        <f t="shared" si="29"/>
        <v>0.16729093471755727</v>
      </c>
      <c r="AO55" s="133">
        <f t="shared" si="23"/>
        <v>0.54183039662066723</v>
      </c>
      <c r="AP55" s="132">
        <f t="shared" si="7"/>
        <v>0.43399794619507631</v>
      </c>
      <c r="AQ55" s="137">
        <f t="shared" si="8"/>
        <v>0.44484789484995313</v>
      </c>
      <c r="AR55" s="137">
        <f t="shared" si="9"/>
        <v>2.1075595724951106</v>
      </c>
      <c r="AS55" s="1">
        <f t="shared" si="10"/>
        <v>1.9759999999999996E-2</v>
      </c>
      <c r="AT55" s="133">
        <f t="shared" si="24"/>
        <v>0.12576000000000001</v>
      </c>
      <c r="AU55" s="132">
        <f t="shared" si="25"/>
        <v>5.1193393989477336</v>
      </c>
      <c r="AV55" s="1">
        <f t="shared" si="26"/>
        <v>451.2</v>
      </c>
      <c r="AW55" s="133">
        <f t="shared" si="27"/>
        <v>98.878123507609644</v>
      </c>
    </row>
    <row r="56" spans="17:49" x14ac:dyDescent="0.15">
      <c r="Q56">
        <v>49</v>
      </c>
      <c r="R56" s="132">
        <f t="shared" si="0"/>
        <v>60</v>
      </c>
      <c r="S56" s="1">
        <f t="shared" si="30"/>
        <v>7.52</v>
      </c>
      <c r="T56" s="1">
        <f t="shared" si="31"/>
        <v>31.72</v>
      </c>
      <c r="U56" s="133">
        <f t="shared" si="11"/>
        <v>14.224464060529634</v>
      </c>
      <c r="V56" s="132">
        <f>IF(Calculations!$B$17=3,2,IF((S56*R56/T56)&lt;((T56*(1-(T56/R56)))/(2*Lm*fsw)),1,2))</f>
        <v>2</v>
      </c>
      <c r="W56" s="1">
        <f t="shared" si="12"/>
        <v>0.47133333333333338</v>
      </c>
      <c r="X56" s="133">
        <f t="shared" si="3"/>
        <v>0.52866666666666662</v>
      </c>
      <c r="Y56" s="132">
        <f t="shared" si="4"/>
        <v>11.500533333333333</v>
      </c>
      <c r="Z56" s="1">
        <f t="shared" si="13"/>
        <v>19.974730727196302</v>
      </c>
      <c r="AA56" s="1">
        <f t="shared" si="14"/>
        <v>14.606753006351495</v>
      </c>
      <c r="AB56" s="1">
        <v>0</v>
      </c>
      <c r="AC56" s="1">
        <f t="shared" si="15"/>
        <v>0.43738232844654473</v>
      </c>
      <c r="AD56" s="133">
        <f t="shared" si="16"/>
        <v>0.43738232844654473</v>
      </c>
      <c r="AE56" s="132">
        <f t="shared" si="28"/>
        <v>6.7044640605296344</v>
      </c>
      <c r="AF56" s="1">
        <f t="shared" si="17"/>
        <v>10.028079377617994</v>
      </c>
      <c r="AG56" s="1">
        <f t="shared" si="5"/>
        <v>0.10056237600380728</v>
      </c>
      <c r="AH56" s="1">
        <f t="shared" si="18"/>
        <v>0.88952222904872669</v>
      </c>
      <c r="AI56" s="133">
        <f t="shared" si="19"/>
        <v>0.99008460505253393</v>
      </c>
      <c r="AJ56" s="132">
        <f t="shared" si="20"/>
        <v>7.52</v>
      </c>
      <c r="AK56" s="1">
        <f t="shared" si="21"/>
        <v>10.620492332502824</v>
      </c>
      <c r="AL56" s="1">
        <f t="shared" si="6"/>
        <v>0.11279485738475128</v>
      </c>
      <c r="AM56" s="1">
        <f t="shared" si="22"/>
        <v>0.26083200000000001</v>
      </c>
      <c r="AN56" s="136">
        <f t="shared" si="29"/>
        <v>0.16618975965027324</v>
      </c>
      <c r="AO56" s="133">
        <f t="shared" si="23"/>
        <v>0.53981661703502459</v>
      </c>
      <c r="AP56" s="132">
        <f t="shared" si="7"/>
        <v>0.42671446677711689</v>
      </c>
      <c r="AQ56" s="137">
        <f t="shared" si="8"/>
        <v>0.43738232844654473</v>
      </c>
      <c r="AR56" s="137">
        <f t="shared" si="9"/>
        <v>2.10277781414274</v>
      </c>
      <c r="AS56" s="1">
        <f t="shared" si="10"/>
        <v>1.9759999999999996E-2</v>
      </c>
      <c r="AT56" s="133">
        <f t="shared" si="24"/>
        <v>0.12687999999999999</v>
      </c>
      <c r="AU56" s="132">
        <f t="shared" si="25"/>
        <v>5.0807981599005041</v>
      </c>
      <c r="AV56" s="1">
        <f t="shared" si="26"/>
        <v>451.2</v>
      </c>
      <c r="AW56" s="133">
        <f t="shared" si="27"/>
        <v>98.886475569344483</v>
      </c>
    </row>
    <row r="57" spans="17:49" x14ac:dyDescent="0.15">
      <c r="Q57">
        <v>50</v>
      </c>
      <c r="R57" s="132">
        <f t="shared" si="0"/>
        <v>60</v>
      </c>
      <c r="S57" s="1">
        <f t="shared" si="30"/>
        <v>7.52</v>
      </c>
      <c r="T57" s="1">
        <f t="shared" si="31"/>
        <v>32</v>
      </c>
      <c r="U57" s="133">
        <f t="shared" si="11"/>
        <v>14.1</v>
      </c>
      <c r="V57" s="132">
        <f>IF(Calculations!$B$17=3,2,IF((S57*R57/T57)&lt;((T57*(1-(T57/R57)))/(2*Lm*fsw)),1,2))</f>
        <v>2</v>
      </c>
      <c r="W57" s="1">
        <f t="shared" si="12"/>
        <v>0.46666666666666667</v>
      </c>
      <c r="X57" s="133">
        <f t="shared" si="3"/>
        <v>0.53333333333333333</v>
      </c>
      <c r="Y57" s="132">
        <f t="shared" si="4"/>
        <v>11.487179487179487</v>
      </c>
      <c r="Z57" s="1">
        <f t="shared" si="13"/>
        <v>19.843589743589742</v>
      </c>
      <c r="AA57" s="1">
        <f t="shared" si="14"/>
        <v>14.484691035051101</v>
      </c>
      <c r="AB57" s="1">
        <v>0</v>
      </c>
      <c r="AC57" s="1">
        <f t="shared" si="15"/>
        <v>0.43010286248082391</v>
      </c>
      <c r="AD57" s="133">
        <f t="shared" si="16"/>
        <v>0.43010286248082391</v>
      </c>
      <c r="AE57" s="132">
        <f t="shared" si="28"/>
        <v>6.58</v>
      </c>
      <c r="AF57" s="1">
        <f t="shared" si="17"/>
        <v>9.8949277264203346</v>
      </c>
      <c r="AG57" s="1">
        <f t="shared" si="5"/>
        <v>9.790959471108189E-2</v>
      </c>
      <c r="AH57" s="1">
        <f t="shared" si="18"/>
        <v>0.88173890954455048</v>
      </c>
      <c r="AI57" s="133">
        <f t="shared" si="19"/>
        <v>0.97964850425563232</v>
      </c>
      <c r="AJ57" s="132">
        <f t="shared" si="20"/>
        <v>7.52</v>
      </c>
      <c r="AK57" s="1">
        <f t="shared" si="21"/>
        <v>10.578122691187122</v>
      </c>
      <c r="AL57" s="1">
        <f t="shared" si="6"/>
        <v>0.11189667966980789</v>
      </c>
      <c r="AM57" s="1">
        <f t="shared" si="22"/>
        <v>0.26083200000000001</v>
      </c>
      <c r="AN57" s="136">
        <f t="shared" si="29"/>
        <v>0.16509866666666667</v>
      </c>
      <c r="AO57" s="133">
        <f t="shared" si="23"/>
        <v>0.53782734633647455</v>
      </c>
      <c r="AP57" s="132">
        <f t="shared" si="7"/>
        <v>0.41961254876177945</v>
      </c>
      <c r="AQ57" s="137">
        <f t="shared" si="8"/>
        <v>0.43010286248082391</v>
      </c>
      <c r="AR57" s="137">
        <f t="shared" si="9"/>
        <v>2.0971565321621912</v>
      </c>
      <c r="AS57" s="1">
        <f t="shared" si="10"/>
        <v>1.9759999999999996E-2</v>
      </c>
      <c r="AT57" s="133">
        <f t="shared" si="24"/>
        <v>0.128</v>
      </c>
      <c r="AU57" s="132">
        <f t="shared" si="25"/>
        <v>5.0422106564777254</v>
      </c>
      <c r="AV57" s="1">
        <f t="shared" si="26"/>
        <v>451.2</v>
      </c>
      <c r="AW57" s="133">
        <f t="shared" si="27"/>
        <v>98.894839070408992</v>
      </c>
    </row>
    <row r="58" spans="17:49" x14ac:dyDescent="0.15">
      <c r="Q58">
        <v>51</v>
      </c>
      <c r="R58" s="132">
        <f t="shared" si="0"/>
        <v>60</v>
      </c>
      <c r="S58" s="1">
        <f t="shared" si="30"/>
        <v>7.52</v>
      </c>
      <c r="T58" s="1">
        <f t="shared" si="31"/>
        <v>32.28</v>
      </c>
      <c r="U58" s="133">
        <f t="shared" si="11"/>
        <v>13.977695167286244</v>
      </c>
      <c r="V58" s="132">
        <f>IF(Calculations!$B$17=3,2,IF((S58*R58/T58)&lt;((T58*(1-(T58/R58)))/(2*Lm*fsw)),1,2))</f>
        <v>2</v>
      </c>
      <c r="W58" s="1">
        <f t="shared" si="12"/>
        <v>0.46199999999999997</v>
      </c>
      <c r="X58" s="133">
        <f t="shared" si="3"/>
        <v>0.53800000000000003</v>
      </c>
      <c r="Y58" s="132">
        <f t="shared" si="4"/>
        <v>11.471815384615384</v>
      </c>
      <c r="Z58" s="1">
        <f t="shared" si="13"/>
        <v>19.713602859593937</v>
      </c>
      <c r="AA58" s="1">
        <f t="shared" si="14"/>
        <v>14.364638568644951</v>
      </c>
      <c r="AB58" s="1">
        <v>0</v>
      </c>
      <c r="AC58" s="1">
        <f t="shared" si="15"/>
        <v>0.42300282447599413</v>
      </c>
      <c r="AD58" s="133">
        <f t="shared" si="16"/>
        <v>0.42300282447599413</v>
      </c>
      <c r="AE58" s="132">
        <f t="shared" si="28"/>
        <v>6.4576951672862446</v>
      </c>
      <c r="AF58" s="1">
        <f t="shared" si="17"/>
        <v>9.7637284188984168</v>
      </c>
      <c r="AG58" s="1">
        <f t="shared" si="5"/>
        <v>9.533039263800458E-2</v>
      </c>
      <c r="AH58" s="1">
        <f t="shared" si="18"/>
        <v>0.87409061664887278</v>
      </c>
      <c r="AI58" s="133">
        <f t="shared" si="19"/>
        <v>0.96942100928687736</v>
      </c>
      <c r="AJ58" s="132">
        <f t="shared" si="20"/>
        <v>7.52</v>
      </c>
      <c r="AK58" s="1">
        <f t="shared" si="21"/>
        <v>10.536244519267647</v>
      </c>
      <c r="AL58" s="1">
        <f t="shared" si="6"/>
        <v>0.11101244856979754</v>
      </c>
      <c r="AM58" s="1">
        <f t="shared" si="22"/>
        <v>0.26083200000000001</v>
      </c>
      <c r="AN58" s="136">
        <f t="shared" si="29"/>
        <v>0.16401717579182157</v>
      </c>
      <c r="AO58" s="133">
        <f t="shared" si="23"/>
        <v>0.5358616243616191</v>
      </c>
      <c r="AP58" s="132">
        <f t="shared" si="7"/>
        <v>0.4126856824156041</v>
      </c>
      <c r="AQ58" s="137">
        <f t="shared" si="8"/>
        <v>0.42300282447599413</v>
      </c>
      <c r="AR58" s="137">
        <f t="shared" si="9"/>
        <v>2.0906995695368855</v>
      </c>
      <c r="AS58" s="1">
        <f t="shared" si="10"/>
        <v>1.9759999999999996E-2</v>
      </c>
      <c r="AT58" s="133">
        <f t="shared" si="24"/>
        <v>0.12912000000000001</v>
      </c>
      <c r="AU58" s="132">
        <f t="shared" si="25"/>
        <v>5.0035535345529745</v>
      </c>
      <c r="AV58" s="1">
        <f t="shared" si="26"/>
        <v>451.2</v>
      </c>
      <c r="AW58" s="133">
        <f t="shared" si="27"/>
        <v>98.903219079337134</v>
      </c>
    </row>
    <row r="59" spans="17:49" x14ac:dyDescent="0.15">
      <c r="Q59">
        <v>52</v>
      </c>
      <c r="R59" s="132">
        <f t="shared" si="0"/>
        <v>60</v>
      </c>
      <c r="S59" s="1">
        <f t="shared" si="30"/>
        <v>7.52</v>
      </c>
      <c r="T59" s="1">
        <f t="shared" si="31"/>
        <v>32.56</v>
      </c>
      <c r="U59" s="133">
        <f t="shared" si="11"/>
        <v>13.857493857493855</v>
      </c>
      <c r="V59" s="132">
        <f>IF(Calculations!$B$17=3,2,IF((S59*R59/T59)&lt;((T59*(1-(T59/R59)))/(2*Lm*fsw)),1,2))</f>
        <v>2</v>
      </c>
      <c r="W59" s="1">
        <f t="shared" si="12"/>
        <v>0.45733333333333326</v>
      </c>
      <c r="X59" s="133">
        <f t="shared" si="3"/>
        <v>0.54266666666666674</v>
      </c>
      <c r="Y59" s="132">
        <f t="shared" si="4"/>
        <v>11.454441025641025</v>
      </c>
      <c r="Z59" s="1">
        <f t="shared" si="13"/>
        <v>19.584714370314366</v>
      </c>
      <c r="AA59" s="1">
        <f t="shared" si="14"/>
        <v>14.246537156257913</v>
      </c>
      <c r="AB59" s="1">
        <v>0</v>
      </c>
      <c r="AC59" s="1">
        <f t="shared" si="15"/>
        <v>0.41607583293650646</v>
      </c>
      <c r="AD59" s="133">
        <f t="shared" si="16"/>
        <v>0.41607583293650646</v>
      </c>
      <c r="AE59" s="132">
        <f t="shared" si="28"/>
        <v>6.3374938574938557</v>
      </c>
      <c r="AF59" s="1">
        <f t="shared" si="17"/>
        <v>9.6344237387962526</v>
      </c>
      <c r="AG59" s="1">
        <f t="shared" si="5"/>
        <v>9.2822120778680753E-2</v>
      </c>
      <c r="AH59" s="1">
        <f t="shared" si="18"/>
        <v>0.86657386687425086</v>
      </c>
      <c r="AI59" s="133">
        <f t="shared" si="19"/>
        <v>0.95939598765293166</v>
      </c>
      <c r="AJ59" s="132">
        <f t="shared" si="20"/>
        <v>7.52</v>
      </c>
      <c r="AK59" s="1">
        <f t="shared" si="21"/>
        <v>10.494841597944989</v>
      </c>
      <c r="AL59" s="1">
        <f t="shared" si="6"/>
        <v>0.11014170016595652</v>
      </c>
      <c r="AM59" s="1">
        <f t="shared" si="22"/>
        <v>0.26083200000000001</v>
      </c>
      <c r="AN59" s="136">
        <f t="shared" si="29"/>
        <v>0.16294482356101556</v>
      </c>
      <c r="AO59" s="133">
        <f t="shared" si="23"/>
        <v>0.53391852372697213</v>
      </c>
      <c r="AP59" s="132">
        <f t="shared" si="7"/>
        <v>0.40592764188927466</v>
      </c>
      <c r="AQ59" s="137">
        <f t="shared" si="8"/>
        <v>0.41607583293650646</v>
      </c>
      <c r="AR59" s="137">
        <f t="shared" si="9"/>
        <v>2.0834113449579852</v>
      </c>
      <c r="AS59" s="1">
        <f t="shared" si="10"/>
        <v>1.9759999999999996E-2</v>
      </c>
      <c r="AT59" s="133">
        <f t="shared" si="24"/>
        <v>0.13024000000000002</v>
      </c>
      <c r="AU59" s="132">
        <f t="shared" si="25"/>
        <v>4.9648051641001771</v>
      </c>
      <c r="AV59" s="1">
        <f t="shared" si="26"/>
        <v>451.2</v>
      </c>
      <c r="AW59" s="133">
        <f t="shared" si="27"/>
        <v>98.911620294267507</v>
      </c>
    </row>
    <row r="60" spans="17:49" x14ac:dyDescent="0.15">
      <c r="Q60">
        <v>53</v>
      </c>
      <c r="R60" s="132">
        <f t="shared" si="0"/>
        <v>60</v>
      </c>
      <c r="S60" s="1">
        <f t="shared" si="30"/>
        <v>7.52</v>
      </c>
      <c r="T60" s="1">
        <f t="shared" si="31"/>
        <v>32.840000000000003</v>
      </c>
      <c r="U60" s="133">
        <f t="shared" si="11"/>
        <v>13.739342265529841</v>
      </c>
      <c r="V60" s="132">
        <f>IF(Calculations!$B$17=3,2,IF((S60*R60/T60)&lt;((T60*(1-(T60/R60)))/(2*Lm*fsw)),1,2))</f>
        <v>2</v>
      </c>
      <c r="W60" s="1">
        <f t="shared" si="12"/>
        <v>0.45266666666666666</v>
      </c>
      <c r="X60" s="133">
        <f t="shared" si="3"/>
        <v>0.54733333333333334</v>
      </c>
      <c r="Y60" s="132">
        <f t="shared" si="4"/>
        <v>11.435056410256411</v>
      </c>
      <c r="Z60" s="1">
        <f t="shared" si="13"/>
        <v>19.456870470658046</v>
      </c>
      <c r="AA60" s="1">
        <f t="shared" si="14"/>
        <v>14.13033033872599</v>
      </c>
      <c r="AB60" s="1">
        <v>0</v>
      </c>
      <c r="AC60" s="1">
        <f t="shared" si="15"/>
        <v>0.40931578273711627</v>
      </c>
      <c r="AD60" s="133">
        <f t="shared" si="16"/>
        <v>0.40931578273711627</v>
      </c>
      <c r="AE60" s="132">
        <f t="shared" si="28"/>
        <v>6.2193422655298409</v>
      </c>
      <c r="AF60" s="1">
        <f t="shared" si="17"/>
        <v>9.5069579393884691</v>
      </c>
      <c r="AG60" s="1">
        <f t="shared" si="5"/>
        <v>9.0382249261301451E-2</v>
      </c>
      <c r="AH60" s="1">
        <f t="shared" si="18"/>
        <v>0.85918529553671175</v>
      </c>
      <c r="AI60" s="133">
        <f t="shared" si="19"/>
        <v>0.9495675447980132</v>
      </c>
      <c r="AJ60" s="132">
        <f t="shared" si="20"/>
        <v>7.52</v>
      </c>
      <c r="AK60" s="1">
        <f t="shared" si="21"/>
        <v>10.453898135156027</v>
      </c>
      <c r="AL60" s="1">
        <f t="shared" si="6"/>
        <v>0.10928398622021866</v>
      </c>
      <c r="AM60" s="1">
        <f t="shared" si="22"/>
        <v>0.26083200000000001</v>
      </c>
      <c r="AN60" s="136">
        <f t="shared" si="29"/>
        <v>0.16188116231587496</v>
      </c>
      <c r="AO60" s="133">
        <f t="shared" si="23"/>
        <v>0.5319971485360937</v>
      </c>
      <c r="AP60" s="132">
        <f t="shared" si="7"/>
        <v>0.39933247096304031</v>
      </c>
      <c r="AQ60" s="137">
        <f t="shared" si="8"/>
        <v>0.40931578273711627</v>
      </c>
      <c r="AR60" s="137">
        <f t="shared" si="9"/>
        <v>2.075296851641184</v>
      </c>
      <c r="AS60" s="1">
        <f t="shared" si="10"/>
        <v>1.9759999999999996E-2</v>
      </c>
      <c r="AT60" s="133">
        <f t="shared" si="24"/>
        <v>0.13136</v>
      </c>
      <c r="AU60" s="132">
        <f t="shared" si="25"/>
        <v>4.925945581412563</v>
      </c>
      <c r="AV60" s="1">
        <f t="shared" si="26"/>
        <v>451.2</v>
      </c>
      <c r="AW60" s="133">
        <f t="shared" si="27"/>
        <v>98.920047055176042</v>
      </c>
    </row>
    <row r="61" spans="17:49" x14ac:dyDescent="0.15">
      <c r="Q61">
        <v>54</v>
      </c>
      <c r="R61" s="132">
        <f t="shared" si="0"/>
        <v>60</v>
      </c>
      <c r="S61" s="1">
        <f t="shared" si="30"/>
        <v>7.52</v>
      </c>
      <c r="T61" s="1">
        <f t="shared" si="31"/>
        <v>33.120000000000005</v>
      </c>
      <c r="U61" s="133">
        <f t="shared" si="11"/>
        <v>13.6231884057971</v>
      </c>
      <c r="V61" s="132">
        <f>IF(Calculations!$B$17=3,2,IF((S61*R61/T61)&lt;((T61*(1-(T61/R61)))/(2*Lm*fsw)),1,2))</f>
        <v>2</v>
      </c>
      <c r="W61" s="1">
        <f t="shared" si="12"/>
        <v>0.44799999999999995</v>
      </c>
      <c r="X61" s="133">
        <f t="shared" si="3"/>
        <v>0.55200000000000005</v>
      </c>
      <c r="Y61" s="132">
        <f t="shared" si="4"/>
        <v>11.41366153846154</v>
      </c>
      <c r="Z61" s="1">
        <f t="shared" si="13"/>
        <v>19.330019175027871</v>
      </c>
      <c r="AA61" s="1">
        <f t="shared" si="14"/>
        <v>14.015963570730966</v>
      </c>
      <c r="AB61" s="1">
        <v>0</v>
      </c>
      <c r="AC61" s="1">
        <f t="shared" si="15"/>
        <v>0.40271683137291786</v>
      </c>
      <c r="AD61" s="133">
        <f t="shared" si="16"/>
        <v>0.40271683137291786</v>
      </c>
      <c r="AE61" s="132">
        <f t="shared" si="28"/>
        <v>6.1031884057971002</v>
      </c>
      <c r="AF61" s="1">
        <f t="shared" si="17"/>
        <v>9.3812771623907256</v>
      </c>
      <c r="AG61" s="1">
        <f t="shared" si="5"/>
        <v>8.8008361197593782E-2</v>
      </c>
      <c r="AH61" s="1">
        <f t="shared" si="18"/>
        <v>0.85192165173386503</v>
      </c>
      <c r="AI61" s="133">
        <f t="shared" si="19"/>
        <v>0.93993001293145884</v>
      </c>
      <c r="AJ61" s="132">
        <f t="shared" si="20"/>
        <v>7.52</v>
      </c>
      <c r="AK61" s="1">
        <f t="shared" si="21"/>
        <v>10.413398754415573</v>
      </c>
      <c r="AL61" s="1">
        <f t="shared" si="6"/>
        <v>0.1084388736184638</v>
      </c>
      <c r="AM61" s="1">
        <f t="shared" si="22"/>
        <v>0.26083200000000001</v>
      </c>
      <c r="AN61" s="136">
        <f t="shared" si="29"/>
        <v>0.1608257595362319</v>
      </c>
      <c r="AO61" s="133">
        <f t="shared" si="23"/>
        <v>0.53009663315469568</v>
      </c>
      <c r="AP61" s="132">
        <f t="shared" si="7"/>
        <v>0.39289446963211505</v>
      </c>
      <c r="AQ61" s="137">
        <f t="shared" si="8"/>
        <v>0.40271683137291786</v>
      </c>
      <c r="AR61" s="137">
        <f t="shared" si="9"/>
        <v>2.0663616559855771</v>
      </c>
      <c r="AS61" s="1">
        <f t="shared" si="10"/>
        <v>1.9759999999999996E-2</v>
      </c>
      <c r="AT61" s="133">
        <f t="shared" si="24"/>
        <v>0.13248000000000001</v>
      </c>
      <c r="AU61" s="132">
        <f t="shared" si="25"/>
        <v>4.886956434449683</v>
      </c>
      <c r="AV61" s="1">
        <f t="shared" si="26"/>
        <v>451.2</v>
      </c>
      <c r="AW61" s="133">
        <f t="shared" si="27"/>
        <v>98.928503355444661</v>
      </c>
    </row>
    <row r="62" spans="17:49" x14ac:dyDescent="0.15">
      <c r="Q62">
        <v>55</v>
      </c>
      <c r="R62" s="132">
        <f t="shared" si="0"/>
        <v>60</v>
      </c>
      <c r="S62" s="1">
        <f t="shared" si="30"/>
        <v>7.52</v>
      </c>
      <c r="T62" s="1">
        <f t="shared" si="31"/>
        <v>33.400000000000006</v>
      </c>
      <c r="U62" s="133">
        <f t="shared" si="11"/>
        <v>13.508982035928142</v>
      </c>
      <c r="V62" s="132">
        <f>IF(Calculations!$B$17=3,2,IF((S62*R62/T62)&lt;((T62*(1-(T62/R62)))/(2*Lm*fsw)),1,2))</f>
        <v>2</v>
      </c>
      <c r="W62" s="1">
        <f t="shared" si="12"/>
        <v>0.44333333333333325</v>
      </c>
      <c r="X62" s="133">
        <f t="shared" si="3"/>
        <v>0.55666666666666675</v>
      </c>
      <c r="Y62" s="132">
        <f t="shared" si="4"/>
        <v>11.390256410256409</v>
      </c>
      <c r="Z62" s="1">
        <f t="shared" si="13"/>
        <v>19.204110241056348</v>
      </c>
      <c r="AA62" s="1">
        <f t="shared" si="14"/>
        <v>13.903384146961422</v>
      </c>
      <c r="AB62" s="1">
        <v>0</v>
      </c>
      <c r="AC62" s="1">
        <f t="shared" si="15"/>
        <v>0.39627338601285522</v>
      </c>
      <c r="AD62" s="133">
        <f t="shared" si="16"/>
        <v>0.39627338601285522</v>
      </c>
      <c r="AE62" s="132">
        <f t="shared" si="28"/>
        <v>5.9889820359281414</v>
      </c>
      <c r="AF62" s="1">
        <f t="shared" si="17"/>
        <v>9.2573293607733866</v>
      </c>
      <c r="AG62" s="1">
        <f t="shared" si="5"/>
        <v>8.5698146893837007E-2</v>
      </c>
      <c r="AH62" s="1">
        <f t="shared" si="18"/>
        <v>0.84477979357561706</v>
      </c>
      <c r="AI62" s="133">
        <f t="shared" si="19"/>
        <v>0.93047794046945409</v>
      </c>
      <c r="AJ62" s="132">
        <f t="shared" si="20"/>
        <v>7.5200000000000005</v>
      </c>
      <c r="AK62" s="1">
        <f t="shared" si="21"/>
        <v>10.373328484345864</v>
      </c>
      <c r="AL62" s="1">
        <f t="shared" si="6"/>
        <v>0.10760594384414125</v>
      </c>
      <c r="AM62" s="1">
        <f t="shared" si="22"/>
        <v>0.26083200000000001</v>
      </c>
      <c r="AN62" s="136">
        <f t="shared" si="29"/>
        <v>0.15977819720558883</v>
      </c>
      <c r="AO62" s="133">
        <f t="shared" si="23"/>
        <v>0.52821614104973014</v>
      </c>
      <c r="AP62" s="132">
        <f t="shared" si="7"/>
        <v>0.38660818147595638</v>
      </c>
      <c r="AQ62" s="137">
        <f t="shared" si="8"/>
        <v>0.39627338601285522</v>
      </c>
      <c r="AR62" s="137">
        <f t="shared" si="9"/>
        <v>2.0566118960734547</v>
      </c>
      <c r="AS62" s="1">
        <f t="shared" si="10"/>
        <v>1.9759999999999996E-2</v>
      </c>
      <c r="AT62" s="133">
        <f t="shared" si="24"/>
        <v>0.13360000000000002</v>
      </c>
      <c r="AU62" s="132">
        <f t="shared" si="25"/>
        <v>4.8478209310943061</v>
      </c>
      <c r="AV62" s="1">
        <f t="shared" si="26"/>
        <v>451.2</v>
      </c>
      <c r="AW62" s="133">
        <f t="shared" si="27"/>
        <v>98.936992852811642</v>
      </c>
    </row>
    <row r="63" spans="17:49" x14ac:dyDescent="0.15">
      <c r="Q63">
        <v>56</v>
      </c>
      <c r="R63" s="132">
        <f t="shared" si="0"/>
        <v>60</v>
      </c>
      <c r="S63" s="1">
        <f t="shared" si="30"/>
        <v>7.52</v>
      </c>
      <c r="T63" s="1">
        <f t="shared" si="31"/>
        <v>33.68</v>
      </c>
      <c r="U63" s="133">
        <f t="shared" si="11"/>
        <v>13.396674584323041</v>
      </c>
      <c r="V63" s="132">
        <f>IF(Calculations!$B$17=3,2,IF((S63*R63/T63)&lt;((T63*(1-(T63/R63)))/(2*Lm*fsw)),1,2))</f>
        <v>2</v>
      </c>
      <c r="W63" s="1">
        <f t="shared" si="12"/>
        <v>0.43866666666666665</v>
      </c>
      <c r="X63" s="133">
        <f t="shared" si="3"/>
        <v>0.56133333333333335</v>
      </c>
      <c r="Y63" s="132">
        <f t="shared" si="4"/>
        <v>11.364841025641025</v>
      </c>
      <c r="Z63" s="1">
        <f t="shared" si="13"/>
        <v>19.079095097143554</v>
      </c>
      <c r="AA63" s="1">
        <f t="shared" si="14"/>
        <v>13.792541132066805</v>
      </c>
      <c r="AB63" s="1">
        <v>0</v>
      </c>
      <c r="AC63" s="1">
        <f t="shared" si="15"/>
        <v>0.38998009130349703</v>
      </c>
      <c r="AD63" s="133">
        <f t="shared" si="16"/>
        <v>0.38998009130349703</v>
      </c>
      <c r="AE63" s="132">
        <f t="shared" si="28"/>
        <v>5.8766745843230401</v>
      </c>
      <c r="AF63" s="1">
        <f t="shared" si="17"/>
        <v>9.135064225239601</v>
      </c>
      <c r="AG63" s="1">
        <f t="shared" si="5"/>
        <v>8.3449398399252389E-2</v>
      </c>
      <c r="AH63" s="1">
        <f t="shared" si="18"/>
        <v>0.83775668365277944</v>
      </c>
      <c r="AI63" s="133">
        <f t="shared" si="19"/>
        <v>0.9212060820520318</v>
      </c>
      <c r="AJ63" s="132">
        <f t="shared" si="20"/>
        <v>7.5200000000000005</v>
      </c>
      <c r="AK63" s="1">
        <f t="shared" si="21"/>
        <v>10.333672748858573</v>
      </c>
      <c r="AL63" s="1">
        <f t="shared" si="6"/>
        <v>0.10678479248050231</v>
      </c>
      <c r="AM63" s="1">
        <f t="shared" si="22"/>
        <v>0.26083200000000001</v>
      </c>
      <c r="AN63" s="136">
        <f t="shared" si="29"/>
        <v>0.15873807120823438</v>
      </c>
      <c r="AO63" s="133">
        <f t="shared" si="23"/>
        <v>0.52635486368873674</v>
      </c>
      <c r="AP63" s="132">
        <f t="shared" si="7"/>
        <v>0.38046838175950931</v>
      </c>
      <c r="AQ63" s="137">
        <f t="shared" si="8"/>
        <v>0.38998009130349703</v>
      </c>
      <c r="AR63" s="137">
        <f t="shared" si="9"/>
        <v>2.0460542800096726</v>
      </c>
      <c r="AS63" s="1">
        <f t="shared" si="10"/>
        <v>1.9759999999999996E-2</v>
      </c>
      <c r="AT63" s="133">
        <f t="shared" si="24"/>
        <v>0.13472000000000001</v>
      </c>
      <c r="AU63" s="132">
        <f t="shared" si="25"/>
        <v>4.8085237901169453</v>
      </c>
      <c r="AV63" s="1">
        <f t="shared" si="26"/>
        <v>451.2</v>
      </c>
      <c r="AW63" s="133">
        <f t="shared" si="27"/>
        <v>98.945518879745734</v>
      </c>
    </row>
    <row r="64" spans="17:49" x14ac:dyDescent="0.15">
      <c r="Q64">
        <v>57</v>
      </c>
      <c r="R64" s="132">
        <f t="shared" si="0"/>
        <v>60</v>
      </c>
      <c r="S64" s="1">
        <f t="shared" si="30"/>
        <v>7.52</v>
      </c>
      <c r="T64" s="1">
        <f t="shared" si="31"/>
        <v>33.96</v>
      </c>
      <c r="U64" s="133">
        <f t="shared" si="11"/>
        <v>13.286219081272083</v>
      </c>
      <c r="V64" s="132">
        <f>IF(Calculations!$B$17=3,2,IF((S64*R64/T64)&lt;((T64*(1-(T64/R64)))/(2*Lm*fsw)),1,2))</f>
        <v>2</v>
      </c>
      <c r="W64" s="1">
        <f t="shared" si="12"/>
        <v>0.43399999999999994</v>
      </c>
      <c r="X64" s="133">
        <f t="shared" si="3"/>
        <v>0.56600000000000006</v>
      </c>
      <c r="Y64" s="132">
        <f t="shared" si="4"/>
        <v>11.337415384615383</v>
      </c>
      <c r="Z64" s="1">
        <f t="shared" si="13"/>
        <v>18.954926773579775</v>
      </c>
      <c r="AA64" s="1">
        <f t="shared" si="14"/>
        <v>13.683385294186811</v>
      </c>
      <c r="AB64" s="1">
        <v>0</v>
      </c>
      <c r="AC64" s="1">
        <f t="shared" si="15"/>
        <v>0.38383181787379411</v>
      </c>
      <c r="AD64" s="133">
        <f t="shared" si="16"/>
        <v>0.38383181787379411</v>
      </c>
      <c r="AE64" s="132">
        <f t="shared" si="28"/>
        <v>5.7662190812720837</v>
      </c>
      <c r="AF64" s="1">
        <f t="shared" si="17"/>
        <v>9.0144331141441629</v>
      </c>
      <c r="AG64" s="1">
        <f t="shared" si="5"/>
        <v>8.126000436937883E-2</v>
      </c>
      <c r="AH64" s="1">
        <f t="shared" si="18"/>
        <v>0.83084938472984715</v>
      </c>
      <c r="AI64" s="133">
        <f t="shared" si="19"/>
        <v>0.91210938909922601</v>
      </c>
      <c r="AJ64" s="132">
        <f t="shared" si="20"/>
        <v>7.52</v>
      </c>
      <c r="AK64" s="1">
        <f t="shared" si="21"/>
        <v>10.294417357956156</v>
      </c>
      <c r="AL64" s="1">
        <f t="shared" si="6"/>
        <v>0.10597502873978901</v>
      </c>
      <c r="AM64" s="1">
        <f t="shared" si="22"/>
        <v>0.26083200000000001</v>
      </c>
      <c r="AN64" s="136">
        <f t="shared" si="29"/>
        <v>0.15770499075618374</v>
      </c>
      <c r="AO64" s="133">
        <f t="shared" si="23"/>
        <v>0.5245120194959727</v>
      </c>
      <c r="AP64" s="132">
        <f t="shared" si="7"/>
        <v>0.37447006621833578</v>
      </c>
      <c r="AQ64" s="137">
        <f t="shared" si="8"/>
        <v>0.38383181787379411</v>
      </c>
      <c r="AR64" s="137">
        <f t="shared" si="9"/>
        <v>2.0346960840991772</v>
      </c>
      <c r="AS64" s="1">
        <f t="shared" si="10"/>
        <v>1.9759999999999996E-2</v>
      </c>
      <c r="AT64" s="133">
        <f t="shared" si="24"/>
        <v>0.13584000000000002</v>
      </c>
      <c r="AU64" s="132">
        <f t="shared" si="25"/>
        <v>4.7690511946602996</v>
      </c>
      <c r="AV64" s="1">
        <f t="shared" si="26"/>
        <v>451.2</v>
      </c>
      <c r="AW64" s="133">
        <f t="shared" si="27"/>
        <v>98.954084453283585</v>
      </c>
    </row>
    <row r="65" spans="17:49" x14ac:dyDescent="0.15">
      <c r="Q65">
        <v>58</v>
      </c>
      <c r="R65" s="132">
        <f t="shared" si="0"/>
        <v>60</v>
      </c>
      <c r="S65" s="1">
        <f t="shared" si="30"/>
        <v>7.52</v>
      </c>
      <c r="T65" s="1">
        <f t="shared" si="31"/>
        <v>34.24</v>
      </c>
      <c r="U65" s="133">
        <f t="shared" si="11"/>
        <v>13.177570093457943</v>
      </c>
      <c r="V65" s="132">
        <f>IF(Calculations!$B$17=3,2,IF((S65*R65/T65)&lt;((T65*(1-(T65/R65)))/(2*Lm*fsw)),1,2))</f>
        <v>2</v>
      </c>
      <c r="W65" s="1">
        <f t="shared" si="12"/>
        <v>0.42933333333333334</v>
      </c>
      <c r="X65" s="133">
        <f t="shared" si="3"/>
        <v>0.57066666666666666</v>
      </c>
      <c r="Y65" s="132">
        <f t="shared" si="4"/>
        <v>11.307979487179487</v>
      </c>
      <c r="Z65" s="1">
        <f t="shared" si="13"/>
        <v>18.831559837047685</v>
      </c>
      <c r="AA65" s="1">
        <f t="shared" si="14"/>
        <v>13.575869041852773</v>
      </c>
      <c r="AB65" s="1">
        <v>0</v>
      </c>
      <c r="AC65" s="1">
        <f t="shared" si="15"/>
        <v>0.37782365149514979</v>
      </c>
      <c r="AD65" s="133">
        <f t="shared" si="16"/>
        <v>0.37782365149514979</v>
      </c>
      <c r="AE65" s="132">
        <f t="shared" si="28"/>
        <v>5.6575700934579434</v>
      </c>
      <c r="AF65" s="1">
        <f t="shared" si="17"/>
        <v>8.8953889866435674</v>
      </c>
      <c r="AG65" s="1">
        <f t="shared" si="5"/>
        <v>7.9127945223699675E-2</v>
      </c>
      <c r="AH65" s="1">
        <f t="shared" si="18"/>
        <v>0.82405505564911252</v>
      </c>
      <c r="AI65" s="133">
        <f t="shared" si="19"/>
        <v>0.90318300087281222</v>
      </c>
      <c r="AJ65" s="132">
        <f t="shared" si="20"/>
        <v>7.52</v>
      </c>
      <c r="AK65" s="1">
        <f t="shared" si="21"/>
        <v>10.255548499121673</v>
      </c>
      <c r="AL65" s="1">
        <f t="shared" si="6"/>
        <v>0.1051762750178368</v>
      </c>
      <c r="AM65" s="1">
        <f t="shared" si="22"/>
        <v>0.26083200000000001</v>
      </c>
      <c r="AN65" s="136">
        <f t="shared" si="29"/>
        <v>0.15667857784423675</v>
      </c>
      <c r="AO65" s="133">
        <f t="shared" si="23"/>
        <v>0.52268685286207361</v>
      </c>
      <c r="AP65" s="132">
        <f t="shared" si="7"/>
        <v>0.36860844048307301</v>
      </c>
      <c r="AQ65" s="137">
        <f t="shared" si="8"/>
        <v>0.37782365149514979</v>
      </c>
      <c r="AR65" s="137">
        <f t="shared" si="9"/>
        <v>2.0225451508610526</v>
      </c>
      <c r="AS65" s="1">
        <f t="shared" si="10"/>
        <v>1.9759999999999996E-2</v>
      </c>
      <c r="AT65" s="133">
        <f t="shared" si="24"/>
        <v>0.13696</v>
      </c>
      <c r="AU65" s="132">
        <f t="shared" si="25"/>
        <v>4.72939074806931</v>
      </c>
      <c r="AV65" s="1">
        <f t="shared" si="26"/>
        <v>451.2</v>
      </c>
      <c r="AW65" s="133">
        <f t="shared" si="27"/>
        <v>98.962692284366767</v>
      </c>
    </row>
    <row r="66" spans="17:49" x14ac:dyDescent="0.15">
      <c r="Q66">
        <v>59</v>
      </c>
      <c r="R66" s="132">
        <f t="shared" si="0"/>
        <v>60</v>
      </c>
      <c r="S66" s="1">
        <f t="shared" si="30"/>
        <v>7.52</v>
      </c>
      <c r="T66" s="1">
        <f t="shared" si="31"/>
        <v>34.520000000000003</v>
      </c>
      <c r="U66" s="133">
        <f t="shared" si="11"/>
        <v>13.070683661645422</v>
      </c>
      <c r="V66" s="132">
        <f>IF(Calculations!$B$17=3,2,IF((S66*R66/T66)&lt;((T66*(1-(T66/R66)))/(2*Lm*fsw)),1,2))</f>
        <v>2</v>
      </c>
      <c r="W66" s="1">
        <f t="shared" si="12"/>
        <v>0.42466666666666664</v>
      </c>
      <c r="X66" s="133">
        <f t="shared" si="3"/>
        <v>0.57533333333333336</v>
      </c>
      <c r="Y66" s="132">
        <f t="shared" si="4"/>
        <v>11.276533333333333</v>
      </c>
      <c r="Z66" s="1">
        <f t="shared" si="13"/>
        <v>18.708950328312088</v>
      </c>
      <c r="AA66" s="1">
        <f t="shared" si="14"/>
        <v>13.469946364071118</v>
      </c>
      <c r="AB66" s="1">
        <v>0</v>
      </c>
      <c r="AC66" s="1">
        <f t="shared" si="15"/>
        <v>0.3719508828544531</v>
      </c>
      <c r="AD66" s="133">
        <f t="shared" si="16"/>
        <v>0.3719508828544531</v>
      </c>
      <c r="AE66" s="132">
        <f t="shared" si="28"/>
        <v>5.5506836616454223</v>
      </c>
      <c r="AF66" s="1">
        <f t="shared" si="17"/>
        <v>8.7778863388804815</v>
      </c>
      <c r="AG66" s="1">
        <f t="shared" si="5"/>
        <v>7.705128857830458E-2</v>
      </c>
      <c r="AH66" s="1">
        <f t="shared" si="18"/>
        <v>0.81737094743411387</v>
      </c>
      <c r="AI66" s="133">
        <f t="shared" si="19"/>
        <v>0.89442223601241844</v>
      </c>
      <c r="AJ66" s="132">
        <f t="shared" si="20"/>
        <v>7.52</v>
      </c>
      <c r="AK66" s="1">
        <f t="shared" si="21"/>
        <v>10.217052729268266</v>
      </c>
      <c r="AL66" s="1">
        <f t="shared" si="6"/>
        <v>0.10438816647264812</v>
      </c>
      <c r="AM66" s="1">
        <f t="shared" si="22"/>
        <v>0.26083200000000001</v>
      </c>
      <c r="AN66" s="136">
        <f t="shared" si="29"/>
        <v>0.15565846673155659</v>
      </c>
      <c r="AO66" s="133">
        <f t="shared" si="23"/>
        <v>0.52087863320420469</v>
      </c>
      <c r="AP66" s="132">
        <f t="shared" si="7"/>
        <v>0.36287891010190548</v>
      </c>
      <c r="AQ66" s="137">
        <f t="shared" si="8"/>
        <v>0.3719508828544531</v>
      </c>
      <c r="AR66" s="137">
        <f t="shared" si="9"/>
        <v>2.0096098868773358</v>
      </c>
      <c r="AS66" s="1">
        <f t="shared" si="10"/>
        <v>1.9759999999999996E-2</v>
      </c>
      <c r="AT66" s="133">
        <f t="shared" si="24"/>
        <v>0.13808000000000001</v>
      </c>
      <c r="AU66" s="132">
        <f t="shared" si="25"/>
        <v>4.6895314319047703</v>
      </c>
      <c r="AV66" s="1">
        <f t="shared" si="26"/>
        <v>451.2</v>
      </c>
      <c r="AW66" s="133">
        <f t="shared" si="27"/>
        <v>98.97134478671282</v>
      </c>
    </row>
    <row r="67" spans="17:49" x14ac:dyDescent="0.15">
      <c r="Q67">
        <v>60</v>
      </c>
      <c r="R67" s="132">
        <f t="shared" si="0"/>
        <v>60</v>
      </c>
      <c r="S67" s="1">
        <f t="shared" si="30"/>
        <v>7.52</v>
      </c>
      <c r="T67" s="1">
        <f t="shared" si="31"/>
        <v>34.799999999999997</v>
      </c>
      <c r="U67" s="133">
        <f t="shared" si="11"/>
        <v>12.965517241379311</v>
      </c>
      <c r="V67" s="132">
        <f>IF(Calculations!$B$17=3,2,IF((S67*R67/T67)&lt;((T67*(1-(T67/R67)))/(2*Lm*fsw)),1,2))</f>
        <v>2</v>
      </c>
      <c r="W67" s="1">
        <f t="shared" si="12"/>
        <v>0.42000000000000004</v>
      </c>
      <c r="X67" s="133">
        <f t="shared" si="3"/>
        <v>0.57999999999999996</v>
      </c>
      <c r="Y67" s="132">
        <f t="shared" si="4"/>
        <v>11.243076923076922</v>
      </c>
      <c r="Z67" s="1">
        <f t="shared" si="13"/>
        <v>18.587055702917773</v>
      </c>
      <c r="AA67" s="1">
        <f t="shared" si="14"/>
        <v>13.365572773411406</v>
      </c>
      <c r="AB67" s="1">
        <v>0</v>
      </c>
      <c r="AC67" s="1">
        <f t="shared" si="15"/>
        <v>0.36620899790078032</v>
      </c>
      <c r="AD67" s="133">
        <f t="shared" si="16"/>
        <v>0.36620899790078032</v>
      </c>
      <c r="AE67" s="132">
        <f t="shared" si="28"/>
        <v>5.4455172413793109</v>
      </c>
      <c r="AF67" s="1">
        <f t="shared" si="17"/>
        <v>8.6618811430179328</v>
      </c>
      <c r="AG67" s="1">
        <f t="shared" si="5"/>
        <v>7.502818493576964E-2</v>
      </c>
      <c r="AH67" s="1">
        <f t="shared" si="18"/>
        <v>0.81079439958119581</v>
      </c>
      <c r="AI67" s="133">
        <f t="shared" si="19"/>
        <v>0.88582258451696549</v>
      </c>
      <c r="AJ67" s="132">
        <f t="shared" si="20"/>
        <v>7.5200000000000005</v>
      </c>
      <c r="AK67" s="1">
        <f t="shared" si="21"/>
        <v>10.178916967221348</v>
      </c>
      <c r="AL67" s="1">
        <f t="shared" si="6"/>
        <v>0.10361035062558664</v>
      </c>
      <c r="AM67" s="1">
        <f t="shared" si="22"/>
        <v>0.26083200000000001</v>
      </c>
      <c r="AN67" s="136">
        <f t="shared" si="29"/>
        <v>0.1546443034482759</v>
      </c>
      <c r="AO67" s="133">
        <f t="shared" si="23"/>
        <v>0.51908665407386256</v>
      </c>
      <c r="AP67" s="132">
        <f t="shared" si="7"/>
        <v>0.35727707112271251</v>
      </c>
      <c r="AQ67" s="137">
        <f t="shared" si="8"/>
        <v>0.36620899790078032</v>
      </c>
      <c r="AR67" s="137">
        <f t="shared" si="9"/>
        <v>1.995899260474624</v>
      </c>
      <c r="AS67" s="1">
        <f t="shared" si="10"/>
        <v>1.9759999999999996E-2</v>
      </c>
      <c r="AT67" s="133">
        <f t="shared" si="24"/>
        <v>0.13919999999999999</v>
      </c>
      <c r="AU67" s="132">
        <f t="shared" si="25"/>
        <v>4.6494635659897243</v>
      </c>
      <c r="AV67" s="1">
        <f t="shared" si="26"/>
        <v>451.2</v>
      </c>
      <c r="AW67" s="133">
        <f t="shared" si="27"/>
        <v>98.980044085251691</v>
      </c>
    </row>
    <row r="68" spans="17:49" x14ac:dyDescent="0.15">
      <c r="Q68">
        <v>61</v>
      </c>
      <c r="R68" s="132">
        <f t="shared" si="0"/>
        <v>60</v>
      </c>
      <c r="S68" s="1">
        <f t="shared" si="30"/>
        <v>7.52</v>
      </c>
      <c r="T68" s="1">
        <f t="shared" si="31"/>
        <v>35.08</v>
      </c>
      <c r="U68" s="133">
        <f t="shared" si="11"/>
        <v>12.862029646522235</v>
      </c>
      <c r="V68" s="132">
        <f>IF(Calculations!$B$17=3,2,IF((S68*R68/T68)&lt;((T68*(1-(T68/R68)))/(2*Lm*fsw)),1,2))</f>
        <v>2</v>
      </c>
      <c r="W68" s="1">
        <f t="shared" si="12"/>
        <v>0.41533333333333333</v>
      </c>
      <c r="X68" s="133">
        <f t="shared" si="3"/>
        <v>0.58466666666666667</v>
      </c>
      <c r="Y68" s="132">
        <f t="shared" si="4"/>
        <v>11.207610256410256</v>
      </c>
      <c r="Z68" s="1">
        <f t="shared" si="13"/>
        <v>18.465834774727362</v>
      </c>
      <c r="AA68" s="1">
        <f t="shared" si="14"/>
        <v>13.262705251932939</v>
      </c>
      <c r="AB68" s="1">
        <v>0</v>
      </c>
      <c r="AC68" s="1">
        <f t="shared" si="15"/>
        <v>0.36059366872928156</v>
      </c>
      <c r="AD68" s="133">
        <f t="shared" si="16"/>
        <v>0.36059366872928156</v>
      </c>
      <c r="AE68" s="132">
        <f t="shared" si="28"/>
        <v>5.342029646522235</v>
      </c>
      <c r="AF68" s="1">
        <f t="shared" si="17"/>
        <v>8.547330788949326</v>
      </c>
      <c r="AG68" s="1">
        <f t="shared" si="5"/>
        <v>7.3056863615721113E-2</v>
      </c>
      <c r="AH68" s="1">
        <f t="shared" si="18"/>
        <v>0.80432283652866632</v>
      </c>
      <c r="AI68" s="133">
        <f t="shared" si="19"/>
        <v>0.87737970014438749</v>
      </c>
      <c r="AJ68" s="132">
        <f t="shared" si="20"/>
        <v>7.52</v>
      </c>
      <c r="AK68" s="1">
        <f t="shared" si="21"/>
        <v>10.141128486708391</v>
      </c>
      <c r="AL68" s="1">
        <f t="shared" si="6"/>
        <v>0.10284248698392842</v>
      </c>
      <c r="AM68" s="1">
        <f t="shared" si="22"/>
        <v>0.26083200000000001</v>
      </c>
      <c r="AN68" s="136">
        <f t="shared" si="29"/>
        <v>0.15363574532573168</v>
      </c>
      <c r="AO68" s="133">
        <f t="shared" si="23"/>
        <v>0.51731023230966011</v>
      </c>
      <c r="AP68" s="132">
        <f t="shared" si="7"/>
        <v>0.35179870119929912</v>
      </c>
      <c r="AQ68" s="137">
        <f t="shared" si="8"/>
        <v>0.36059366872928156</v>
      </c>
      <c r="AR68" s="137">
        <f t="shared" si="9"/>
        <v>1.9814227992364488</v>
      </c>
      <c r="AS68" s="1">
        <f t="shared" si="10"/>
        <v>1.9759999999999996E-2</v>
      </c>
      <c r="AT68" s="133">
        <f t="shared" si="24"/>
        <v>0.14032</v>
      </c>
      <c r="AU68" s="132">
        <f t="shared" si="25"/>
        <v>4.6091787703483584</v>
      </c>
      <c r="AV68" s="1">
        <f t="shared" si="26"/>
        <v>451.2</v>
      </c>
      <c r="AW68" s="133">
        <f t="shared" si="27"/>
        <v>98.988792024157419</v>
      </c>
    </row>
    <row r="69" spans="17:49" x14ac:dyDescent="0.15">
      <c r="Q69">
        <v>62</v>
      </c>
      <c r="R69" s="132">
        <f t="shared" si="0"/>
        <v>60</v>
      </c>
      <c r="S69" s="1">
        <f t="shared" si="30"/>
        <v>7.52</v>
      </c>
      <c r="T69" s="1">
        <f t="shared" si="31"/>
        <v>35.36</v>
      </c>
      <c r="U69" s="133">
        <f t="shared" si="11"/>
        <v>12.760180995475112</v>
      </c>
      <c r="V69" s="132">
        <f>IF(Calculations!$B$17=3,2,IF((S69*R69/T69)&lt;((T69*(1-(T69/R69)))/(2*Lm*fsw)),1,2))</f>
        <v>2</v>
      </c>
      <c r="W69" s="1">
        <f t="shared" si="12"/>
        <v>0.41066666666666662</v>
      </c>
      <c r="X69" s="133">
        <f t="shared" si="3"/>
        <v>0.58933333333333338</v>
      </c>
      <c r="Y69" s="132">
        <f t="shared" si="4"/>
        <v>11.170133333333332</v>
      </c>
      <c r="Z69" s="1">
        <f t="shared" si="13"/>
        <v>18.34524766214178</v>
      </c>
      <c r="AA69" s="1">
        <f t="shared" si="14"/>
        <v>13.161302199794717</v>
      </c>
      <c r="AB69" s="1">
        <v>0</v>
      </c>
      <c r="AC69" s="1">
        <f t="shared" si="15"/>
        <v>0.35510074496835853</v>
      </c>
      <c r="AD69" s="133">
        <f t="shared" si="16"/>
        <v>0.35510074496835853</v>
      </c>
      <c r="AE69" s="132">
        <f t="shared" si="28"/>
        <v>5.2401809954751126</v>
      </c>
      <c r="AF69" s="1">
        <f t="shared" si="17"/>
        <v>8.4341940285207215</v>
      </c>
      <c r="AG69" s="1">
        <f t="shared" si="5"/>
        <v>7.1135628910734591E-2</v>
      </c>
      <c r="AH69" s="1">
        <f t="shared" si="18"/>
        <v>0.79795376429371079</v>
      </c>
      <c r="AI69" s="133">
        <f t="shared" si="19"/>
        <v>0.86908939320444534</v>
      </c>
      <c r="AJ69" s="132">
        <f t="shared" si="20"/>
        <v>7.52</v>
      </c>
      <c r="AK69" s="1">
        <f t="shared" si="21"/>
        <v>10.103674909832892</v>
      </c>
      <c r="AL69" s="1">
        <f t="shared" si="6"/>
        <v>0.10208424668358669</v>
      </c>
      <c r="AM69" s="1">
        <f t="shared" si="22"/>
        <v>0.26083200000000001</v>
      </c>
      <c r="AN69" s="136">
        <f t="shared" si="29"/>
        <v>0.15263246054901963</v>
      </c>
      <c r="AO69" s="133">
        <f t="shared" si="23"/>
        <v>0.51554870723260637</v>
      </c>
      <c r="AP69" s="132">
        <f t="shared" si="7"/>
        <v>0.34643975118864251</v>
      </c>
      <c r="AQ69" s="137">
        <f t="shared" si="8"/>
        <v>0.35510074496835853</v>
      </c>
      <c r="AR69" s="137">
        <f t="shared" si="9"/>
        <v>1.9661905873440571</v>
      </c>
      <c r="AS69" s="1">
        <f t="shared" si="10"/>
        <v>1.9759999999999996E-2</v>
      </c>
      <c r="AT69" s="133">
        <f t="shared" si="24"/>
        <v>0.14144000000000001</v>
      </c>
      <c r="AU69" s="132">
        <f t="shared" si="25"/>
        <v>4.5686699289064681</v>
      </c>
      <c r="AV69" s="1">
        <f t="shared" si="26"/>
        <v>451.2</v>
      </c>
      <c r="AW69" s="133">
        <f t="shared" si="27"/>
        <v>98.997590174502534</v>
      </c>
    </row>
    <row r="70" spans="17:49" x14ac:dyDescent="0.15">
      <c r="Q70">
        <v>63</v>
      </c>
      <c r="R70" s="132">
        <f t="shared" si="0"/>
        <v>60</v>
      </c>
      <c r="S70" s="1">
        <f t="shared" si="30"/>
        <v>7.52</v>
      </c>
      <c r="T70" s="1">
        <f t="shared" si="31"/>
        <v>35.64</v>
      </c>
      <c r="U70" s="133">
        <f t="shared" si="11"/>
        <v>12.659932659932659</v>
      </c>
      <c r="V70" s="132">
        <f>IF(Calculations!$B$17=3,2,IF((S70*R70/T70)&lt;((T70*(1-(T70/R70)))/(2*Lm*fsw)),1,2))</f>
        <v>2</v>
      </c>
      <c r="W70" s="1">
        <f t="shared" si="12"/>
        <v>0.40600000000000003</v>
      </c>
      <c r="X70" s="133">
        <f t="shared" si="3"/>
        <v>0.59399999999999997</v>
      </c>
      <c r="Y70" s="132">
        <f t="shared" si="4"/>
        <v>11.130646153846154</v>
      </c>
      <c r="Z70" s="1">
        <f t="shared" si="13"/>
        <v>18.225255736855736</v>
      </c>
      <c r="AA70" s="1">
        <f t="shared" si="14"/>
        <v>13.061323386403352</v>
      </c>
      <c r="AB70" s="1">
        <v>0</v>
      </c>
      <c r="AC70" s="1">
        <f t="shared" si="15"/>
        <v>0.34972624563862459</v>
      </c>
      <c r="AD70" s="133">
        <f t="shared" si="16"/>
        <v>0.34972624563862459</v>
      </c>
      <c r="AE70" s="132">
        <f t="shared" si="28"/>
        <v>5.1399326599326596</v>
      </c>
      <c r="AF70" s="1">
        <f t="shared" si="17"/>
        <v>8.3224309221109252</v>
      </c>
      <c r="AG70" s="1">
        <f t="shared" si="5"/>
        <v>6.9262856453308111E-2</v>
      </c>
      <c r="AH70" s="1">
        <f t="shared" si="18"/>
        <v>0.79168476726783432</v>
      </c>
      <c r="AI70" s="133">
        <f t="shared" si="19"/>
        <v>0.86094762372114242</v>
      </c>
      <c r="AJ70" s="132">
        <f t="shared" si="20"/>
        <v>7.52</v>
      </c>
      <c r="AK70" s="1">
        <f t="shared" si="21"/>
        <v>10.066544201010545</v>
      </c>
      <c r="AL70" s="1">
        <f t="shared" si="6"/>
        <v>0.10133531215089904</v>
      </c>
      <c r="AM70" s="1">
        <f t="shared" si="22"/>
        <v>0.26083200000000001</v>
      </c>
      <c r="AN70" s="136">
        <f t="shared" si="29"/>
        <v>0.15163412773063975</v>
      </c>
      <c r="AO70" s="133">
        <f t="shared" si="23"/>
        <v>0.51380143988153881</v>
      </c>
      <c r="AP70" s="132">
        <f t="shared" si="7"/>
        <v>0.34119633720841425</v>
      </c>
      <c r="AQ70" s="137">
        <f t="shared" si="8"/>
        <v>0.34972624563862459</v>
      </c>
      <c r="AR70" s="137">
        <f t="shared" si="9"/>
        <v>1.9502132627432043</v>
      </c>
      <c r="AS70" s="1">
        <f t="shared" si="10"/>
        <v>1.9759999999999996E-2</v>
      </c>
      <c r="AT70" s="133">
        <f t="shared" si="24"/>
        <v>0.14255999999999999</v>
      </c>
      <c r="AU70" s="132">
        <f t="shared" si="25"/>
        <v>4.5279311548315491</v>
      </c>
      <c r="AV70" s="1">
        <f t="shared" si="26"/>
        <v>451.2</v>
      </c>
      <c r="AW70" s="133">
        <f t="shared" si="27"/>
        <v>99.00643984156126</v>
      </c>
    </row>
    <row r="71" spans="17:49" x14ac:dyDescent="0.15">
      <c r="Q71">
        <v>64</v>
      </c>
      <c r="R71" s="132">
        <f t="shared" ref="R71:R134" si="32">VOUT</f>
        <v>60</v>
      </c>
      <c r="S71" s="1">
        <f t="shared" ref="S71:S102" si="33">IOUT</f>
        <v>7.52</v>
      </c>
      <c r="T71" s="1">
        <f t="shared" ref="T71:T102" si="34">VIN_MIN+($O$12)*(Q71)</f>
        <v>35.92</v>
      </c>
      <c r="U71" s="133">
        <f t="shared" si="11"/>
        <v>12.561247216035634</v>
      </c>
      <c r="V71" s="132">
        <f>IF(Calculations!$B$17=3,2,IF((S71*R71/T71)&lt;((T71*(1-(T71/R71)))/(2*Lm*fsw)),1,2))</f>
        <v>2</v>
      </c>
      <c r="W71" s="1">
        <f t="shared" si="12"/>
        <v>0.40133333333333332</v>
      </c>
      <c r="X71" s="133">
        <f t="shared" ref="X71:X134" si="35">CHOOSE(V71,(Lm*Z71*fsw)/(R71-T71),1-W71)</f>
        <v>0.59866666666666668</v>
      </c>
      <c r="Y71" s="132">
        <f t="shared" ref="Y71:Y134" si="36">(T71*W71)/(Lm*fsw)</f>
        <v>11.089148717948717</v>
      </c>
      <c r="Z71" s="1">
        <f t="shared" si="13"/>
        <v>18.10582157500999</v>
      </c>
      <c r="AA71" s="1">
        <f t="shared" si="14"/>
        <v>12.962729903962936</v>
      </c>
      <c r="AB71" s="1">
        <v>0</v>
      </c>
      <c r="AC71" s="1">
        <f t="shared" si="15"/>
        <v>0.34446635145434457</v>
      </c>
      <c r="AD71" s="133">
        <f t="shared" si="16"/>
        <v>0.34446635145434457</v>
      </c>
      <c r="AE71" s="132">
        <f t="shared" si="28"/>
        <v>5.0412472160356341</v>
      </c>
      <c r="AF71" s="1">
        <f t="shared" si="17"/>
        <v>8.2120027874237493</v>
      </c>
      <c r="AG71" s="1">
        <f t="shared" ref="AG71:AG134" si="37">(AF71^2)*RDS_on</f>
        <v>6.7436989780655418E-2</v>
      </c>
      <c r="AH71" s="1">
        <f t="shared" si="18"/>
        <v>0.78551350516218299</v>
      </c>
      <c r="AI71" s="133">
        <f t="shared" si="19"/>
        <v>0.85295049494283837</v>
      </c>
      <c r="AJ71" s="132">
        <f t="shared" si="20"/>
        <v>7.52</v>
      </c>
      <c r="AK71" s="1">
        <f t="shared" si="21"/>
        <v>10.029724661347364</v>
      </c>
      <c r="AL71" s="1">
        <f t="shared" ref="AL71:AL134" si="38">(AK71^2)*RDS_on_HS</f>
        <v>0.1005953767824395</v>
      </c>
      <c r="AM71" s="1">
        <f t="shared" si="22"/>
        <v>0.26083200000000001</v>
      </c>
      <c r="AN71" s="136">
        <f t="shared" si="29"/>
        <v>0.15064043550408313</v>
      </c>
      <c r="AO71" s="133">
        <f t="shared" si="23"/>
        <v>0.51206781228652265</v>
      </c>
      <c r="AP71" s="132">
        <f t="shared" ref="AP71:AP134" si="39">(AA71^2)*Rcs</f>
        <v>0.3360647331261899</v>
      </c>
      <c r="AQ71" s="137">
        <f t="shared" ref="AQ71:AQ134" si="40">Rdcr*AA71^2</f>
        <v>0.34446635145434457</v>
      </c>
      <c r="AR71" s="137">
        <f t="shared" ref="AR71:AR134" si="41">ABS(7.759*10^-3*fsw^0.9458*(0.00787*Y71)^2.304)</f>
        <v>1.9335020141342816</v>
      </c>
      <c r="AS71" s="1">
        <f t="shared" ref="AS71:AS134" si="42">(Qg_tot+Qg_tot_HS)*VCC*fsw</f>
        <v>1.9759999999999996E-2</v>
      </c>
      <c r="AT71" s="133">
        <f t="shared" si="24"/>
        <v>0.14368</v>
      </c>
      <c r="AU71" s="132">
        <f t="shared" si="25"/>
        <v>4.4869577573985211</v>
      </c>
      <c r="AV71" s="1">
        <f t="shared" si="26"/>
        <v>451.2</v>
      </c>
      <c r="AW71" s="133">
        <f t="shared" si="27"/>
        <v>99.015342071785312</v>
      </c>
    </row>
    <row r="72" spans="17:49" x14ac:dyDescent="0.15">
      <c r="Q72">
        <v>65</v>
      </c>
      <c r="R72" s="132">
        <f t="shared" si="32"/>
        <v>60</v>
      </c>
      <c r="S72" s="1">
        <f t="shared" si="33"/>
        <v>7.52</v>
      </c>
      <c r="T72" s="1">
        <f t="shared" si="34"/>
        <v>36.200000000000003</v>
      </c>
      <c r="U72" s="133">
        <f t="shared" ref="U72:U135" si="43">(R72*S72)/(T72*EFF_est)</f>
        <v>12.464088397790054</v>
      </c>
      <c r="V72" s="132">
        <f>IF(Calculations!$B$17=3,2,IF((S72*R72/T72)&lt;((T72*(1-(T72/R72)))/(2*Lm*fsw)),1,2))</f>
        <v>2</v>
      </c>
      <c r="W72" s="1">
        <f t="shared" ref="W72:W135" si="44">CHOOSE(V72,SQRT((2*S72*Lm*fsw*(R72-T72))/((T72)^2)),1-(T72/R72))</f>
        <v>0.39666666666666661</v>
      </c>
      <c r="X72" s="133">
        <f t="shared" si="35"/>
        <v>0.60333333333333339</v>
      </c>
      <c r="Y72" s="132">
        <f t="shared" si="36"/>
        <v>11.045641025641023</v>
      </c>
      <c r="Z72" s="1">
        <f t="shared" ref="Z72:Z135" si="45">CHOOSE(V72,Y72,U72+(0.5*Y72))</f>
        <v>17.986908910610566</v>
      </c>
      <c r="AA72" s="1">
        <f t="shared" ref="AA72:AA135" si="46">CHOOSE(V72,Z72*SQRT((W72+X72)/3),SQRT((U72^2)+((Y72^2)/12)))</f>
        <v>12.865484123299376</v>
      </c>
      <c r="AB72" s="1">
        <v>0</v>
      </c>
      <c r="AC72" s="1">
        <f t="shared" ref="AC72:AC135" si="47">(AA72^2)*Rdcr</f>
        <v>0.33931739754008006</v>
      </c>
      <c r="AD72" s="133">
        <f t="shared" ref="AD72:AD135" si="48">AB72+AC72</f>
        <v>0.33931739754008006</v>
      </c>
      <c r="AE72" s="132">
        <f t="shared" si="28"/>
        <v>4.944088397790054</v>
      </c>
      <c r="AF72" s="1">
        <f t="shared" ref="AF72:AF135" si="49">CHOOSE(V72,Z72*SQRT(W72/3),SQRT(W72*((Z72^2)+((Y72^2)/3)-(Z72*Y72))))</f>
        <v>8.102872150354532</v>
      </c>
      <c r="AG72" s="1">
        <f t="shared" si="37"/>
        <v>6.5656537084991071E-2</v>
      </c>
      <c r="AH72" s="1">
        <f t="shared" ref="AH72:AH135" si="50">((R72*U72)/2)*fsw*(tr_sw+tf_sw)</f>
        <v>0.77943771009463014</v>
      </c>
      <c r="AI72" s="133">
        <f t="shared" ref="AI72:AI135" si="51">AG72+AH72</f>
        <v>0.84509424717962123</v>
      </c>
      <c r="AJ72" s="132">
        <f t="shared" ref="AJ72:AJ135" si="52">X72*U72</f>
        <v>7.52</v>
      </c>
      <c r="AK72" s="1">
        <f t="shared" ref="AK72:AK135" si="53">CHOOSE(V72,Z72*SQRT(X72/3),SQRT(X72*((Z72^2)+((Y72^2)/3)-(Y72*Z72))))</f>
        <v>9.9932049234405884</v>
      </c>
      <c r="AL72" s="1">
        <f t="shared" si="38"/>
        <v>9.986414464187722E-2</v>
      </c>
      <c r="AM72" s="1">
        <f t="shared" ref="AM72:AM135" si="54">CHOOSE(V72,(R72+Vd_rect)*Qrr*fsw,(R72+Vd_rect)*Qrr*fsw)</f>
        <v>0.26083200000000001</v>
      </c>
      <c r="AN72" s="136">
        <f t="shared" si="29"/>
        <v>0.14965108213627992</v>
      </c>
      <c r="AO72" s="133">
        <f t="shared" ref="AO72:AO135" si="55">AL72+AM72+AN72</f>
        <v>0.51034722677815714</v>
      </c>
      <c r="AP72" s="132">
        <f t="shared" si="39"/>
        <v>0.33104136345373669</v>
      </c>
      <c r="AQ72" s="137">
        <f t="shared" si="40"/>
        <v>0.33931739754008006</v>
      </c>
      <c r="AR72" s="137">
        <f t="shared" si="41"/>
        <v>1.9160685777829447</v>
      </c>
      <c r="AS72" s="1">
        <f t="shared" si="42"/>
        <v>1.9759999999999996E-2</v>
      </c>
      <c r="AT72" s="133">
        <f t="shared" ref="AT72:AT135" si="56">IQ*T72</f>
        <v>0.14480000000000001</v>
      </c>
      <c r="AU72" s="132">
        <f t="shared" ref="AU72:AU135" si="57">AP72+AO72+AI72+AD72+AS72+AT72+AQ72+AR72</f>
        <v>4.4457462102746206</v>
      </c>
      <c r="AV72" s="1">
        <f t="shared" ref="AV72:AV135" si="58">R72*S72</f>
        <v>451.2</v>
      </c>
      <c r="AW72" s="133">
        <f t="shared" ref="AW72:AW135" si="59">(AV72/(AV72+AU72))*100</f>
        <v>99.024297659475351</v>
      </c>
    </row>
    <row r="73" spans="17:49" x14ac:dyDescent="0.15">
      <c r="Q73">
        <v>66</v>
      </c>
      <c r="R73" s="132">
        <f t="shared" si="32"/>
        <v>60</v>
      </c>
      <c r="S73" s="1">
        <f t="shared" si="33"/>
        <v>7.52</v>
      </c>
      <c r="T73" s="1">
        <f t="shared" si="34"/>
        <v>36.480000000000004</v>
      </c>
      <c r="U73" s="133">
        <f t="shared" si="43"/>
        <v>12.368421052631577</v>
      </c>
      <c r="V73" s="132">
        <f>IF(Calculations!$B$17=3,2,IF((S73*R73/T73)&lt;((T73*(1-(T73/R73)))/(2*Lm*fsw)),1,2))</f>
        <v>2</v>
      </c>
      <c r="W73" s="1">
        <f t="shared" si="44"/>
        <v>0.3919999999999999</v>
      </c>
      <c r="X73" s="133">
        <f t="shared" si="35"/>
        <v>0.6080000000000001</v>
      </c>
      <c r="Y73" s="132">
        <f t="shared" si="36"/>
        <v>11.000123076923074</v>
      </c>
      <c r="Z73" s="1">
        <f t="shared" si="45"/>
        <v>17.868482591093112</v>
      </c>
      <c r="AA73" s="1">
        <f t="shared" si="46"/>
        <v>12.769549651839773</v>
      </c>
      <c r="AB73" s="1">
        <v>0</v>
      </c>
      <c r="AC73" s="1">
        <f t="shared" si="47"/>
        <v>0.33427586653714253</v>
      </c>
      <c r="AD73" s="133">
        <f t="shared" si="48"/>
        <v>0.33427586653714253</v>
      </c>
      <c r="AE73" s="132">
        <f t="shared" ref="AE73:AE136" si="60">U73*W73</f>
        <v>4.8484210526315774</v>
      </c>
      <c r="AF73" s="1">
        <f t="shared" si="49"/>
        <v>7.9950026978003006</v>
      </c>
      <c r="AG73" s="1">
        <f t="shared" si="37"/>
        <v>6.3920068137834088E-2</v>
      </c>
      <c r="AH73" s="1">
        <f t="shared" si="50"/>
        <v>0.77345518381100897</v>
      </c>
      <c r="AI73" s="133">
        <f t="shared" si="51"/>
        <v>0.8373752519488431</v>
      </c>
      <c r="AJ73" s="132">
        <f t="shared" si="52"/>
        <v>7.52</v>
      </c>
      <c r="AK73" s="1">
        <f t="shared" si="53"/>
        <v>9.9569739465847356</v>
      </c>
      <c r="AL73" s="1">
        <f t="shared" si="38"/>
        <v>9.914133017296721E-2</v>
      </c>
      <c r="AM73" s="1">
        <f t="shared" si="54"/>
        <v>0.26083200000000001</v>
      </c>
      <c r="AN73" s="136">
        <f t="shared" ref="AN73:AN136" si="61">Vd_rect*t_dead*fsw*Z73</f>
        <v>0.14866577515789473</v>
      </c>
      <c r="AO73" s="133">
        <f t="shared" si="55"/>
        <v>0.50863910533086198</v>
      </c>
      <c r="AP73" s="132">
        <f t="shared" si="39"/>
        <v>0.32612279662160248</v>
      </c>
      <c r="AQ73" s="137">
        <f t="shared" si="40"/>
        <v>0.33427586653714253</v>
      </c>
      <c r="AR73" s="137">
        <f t="shared" si="41"/>
        <v>1.897925234148204</v>
      </c>
      <c r="AS73" s="1">
        <f t="shared" si="42"/>
        <v>1.9759999999999996E-2</v>
      </c>
      <c r="AT73" s="133">
        <f t="shared" si="56"/>
        <v>0.14592000000000002</v>
      </c>
      <c r="AU73" s="132">
        <f t="shared" si="57"/>
        <v>4.4042941211237956</v>
      </c>
      <c r="AV73" s="1">
        <f t="shared" si="58"/>
        <v>451.2</v>
      </c>
      <c r="AW73" s="133">
        <f t="shared" si="59"/>
        <v>99.033307153169005</v>
      </c>
    </row>
    <row r="74" spans="17:49" x14ac:dyDescent="0.15">
      <c r="Q74">
        <v>67</v>
      </c>
      <c r="R74" s="132">
        <f t="shared" si="32"/>
        <v>60</v>
      </c>
      <c r="S74" s="1">
        <f t="shared" si="33"/>
        <v>7.52</v>
      </c>
      <c r="T74" s="1">
        <f t="shared" si="34"/>
        <v>36.760000000000005</v>
      </c>
      <c r="U74" s="133">
        <f t="shared" si="43"/>
        <v>12.274211099020672</v>
      </c>
      <c r="V74" s="132">
        <f>IF(Calculations!$B$17=3,2,IF((S74*R74/T74)&lt;((T74*(1-(T74/R74)))/(2*Lm*fsw)),1,2))</f>
        <v>2</v>
      </c>
      <c r="W74" s="1">
        <f t="shared" si="44"/>
        <v>0.3873333333333332</v>
      </c>
      <c r="X74" s="133">
        <f t="shared" si="35"/>
        <v>0.6126666666666668</v>
      </c>
      <c r="Y74" s="132">
        <f t="shared" si="36"/>
        <v>10.952594871794869</v>
      </c>
      <c r="Z74" s="1">
        <f t="shared" si="45"/>
        <v>17.750508534918104</v>
      </c>
      <c r="AA74" s="1">
        <f t="shared" si="46"/>
        <v>12.674891293634877</v>
      </c>
      <c r="AB74" s="1">
        <v>0</v>
      </c>
      <c r="AC74" s="1">
        <f t="shared" si="47"/>
        <v>0.32933838207619542</v>
      </c>
      <c r="AD74" s="133">
        <f t="shared" si="48"/>
        <v>0.32933838207619542</v>
      </c>
      <c r="AE74" s="132">
        <f t="shared" si="60"/>
        <v>4.7542110990206723</v>
      </c>
      <c r="AF74" s="1">
        <f t="shared" si="49"/>
        <v>7.8883592322896021</v>
      </c>
      <c r="AG74" s="1">
        <f t="shared" si="37"/>
        <v>6.2226211377648603E-2</v>
      </c>
      <c r="AH74" s="1">
        <f t="shared" si="50"/>
        <v>0.76756379503334082</v>
      </c>
      <c r="AI74" s="133">
        <f t="shared" si="51"/>
        <v>0.82979000641098943</v>
      </c>
      <c r="AJ74" s="132">
        <f t="shared" si="52"/>
        <v>7.52</v>
      </c>
      <c r="AK74" s="1">
        <f t="shared" si="53"/>
        <v>9.9210210123662463</v>
      </c>
      <c r="AL74" s="1">
        <f t="shared" si="38"/>
        <v>9.8426657927812591E-2</v>
      </c>
      <c r="AM74" s="1">
        <f t="shared" si="54"/>
        <v>0.26083200000000001</v>
      </c>
      <c r="AN74" s="136">
        <f t="shared" si="61"/>
        <v>0.14768423101051864</v>
      </c>
      <c r="AO74" s="133">
        <f t="shared" si="55"/>
        <v>0.50694288893833117</v>
      </c>
      <c r="AP74" s="132">
        <f t="shared" si="39"/>
        <v>0.32130573861092238</v>
      </c>
      <c r="AQ74" s="137">
        <f t="shared" si="40"/>
        <v>0.32933838207619542</v>
      </c>
      <c r="AR74" s="137">
        <f t="shared" si="41"/>
        <v>1.8790848043246955</v>
      </c>
      <c r="AS74" s="1">
        <f t="shared" si="42"/>
        <v>1.9759999999999996E-2</v>
      </c>
      <c r="AT74" s="133">
        <f t="shared" si="56"/>
        <v>0.14704000000000003</v>
      </c>
      <c r="AU74" s="132">
        <f t="shared" si="57"/>
        <v>4.3626002024373296</v>
      </c>
      <c r="AV74" s="1">
        <f t="shared" si="58"/>
        <v>451.2</v>
      </c>
      <c r="AW74" s="133">
        <f t="shared" si="59"/>
        <v>99.042370861765491</v>
      </c>
    </row>
    <row r="75" spans="17:49" x14ac:dyDescent="0.15">
      <c r="Q75">
        <v>68</v>
      </c>
      <c r="R75" s="132">
        <f t="shared" si="32"/>
        <v>60</v>
      </c>
      <c r="S75" s="1">
        <f t="shared" si="33"/>
        <v>7.52</v>
      </c>
      <c r="T75" s="1">
        <f t="shared" si="34"/>
        <v>37.040000000000006</v>
      </c>
      <c r="U75" s="133">
        <f t="shared" si="43"/>
        <v>12.181425485961121</v>
      </c>
      <c r="V75" s="132">
        <f>IF(Calculations!$B$17=3,2,IF((S75*R75/T75)&lt;((T75*(1-(T75/R75)))/(2*Lm*fsw)),1,2))</f>
        <v>2</v>
      </c>
      <c r="W75" s="1">
        <f t="shared" si="44"/>
        <v>0.3826666666666666</v>
      </c>
      <c r="X75" s="133">
        <f t="shared" si="35"/>
        <v>0.6173333333333334</v>
      </c>
      <c r="Y75" s="132">
        <f t="shared" si="36"/>
        <v>10.90305641025641</v>
      </c>
      <c r="Z75" s="1">
        <f t="shared" si="45"/>
        <v>17.632953691089327</v>
      </c>
      <c r="AA75" s="1">
        <f t="shared" si="46"/>
        <v>12.581475011319588</v>
      </c>
      <c r="AB75" s="1">
        <v>0</v>
      </c>
      <c r="AC75" s="1">
        <f t="shared" si="47"/>
        <v>0.32450170259394134</v>
      </c>
      <c r="AD75" s="133">
        <f t="shared" si="48"/>
        <v>0.32450170259394134</v>
      </c>
      <c r="AE75" s="132">
        <f t="shared" si="60"/>
        <v>4.6614254859611215</v>
      </c>
      <c r="AF75" s="1">
        <f t="shared" si="49"/>
        <v>7.782907628314053</v>
      </c>
      <c r="AG75" s="1">
        <f t="shared" si="37"/>
        <v>6.0573651150869073E-2</v>
      </c>
      <c r="AH75" s="1">
        <f t="shared" si="50"/>
        <v>0.76176147692833729</v>
      </c>
      <c r="AI75" s="133">
        <f t="shared" si="51"/>
        <v>0.82233512807920639</v>
      </c>
      <c r="AJ75" s="132">
        <f t="shared" si="52"/>
        <v>7.52</v>
      </c>
      <c r="AK75" s="1">
        <f t="shared" si="53"/>
        <v>9.8853357206313532</v>
      </c>
      <c r="AL75" s="1">
        <f t="shared" si="38"/>
        <v>9.7719862309590205E-2</v>
      </c>
      <c r="AM75" s="1">
        <f t="shared" si="54"/>
        <v>0.26083200000000001</v>
      </c>
      <c r="AN75" s="136">
        <f t="shared" si="61"/>
        <v>0.14670617470986322</v>
      </c>
      <c r="AO75" s="133">
        <f t="shared" si="55"/>
        <v>0.50525803701945349</v>
      </c>
      <c r="AP75" s="132">
        <f t="shared" si="39"/>
        <v>0.31658702692091845</v>
      </c>
      <c r="AQ75" s="137">
        <f t="shared" si="40"/>
        <v>0.32450170259394134</v>
      </c>
      <c r="AR75" s="137">
        <f t="shared" si="41"/>
        <v>1.859560646295682</v>
      </c>
      <c r="AS75" s="1">
        <f t="shared" si="42"/>
        <v>1.9759999999999996E-2</v>
      </c>
      <c r="AT75" s="133">
        <f t="shared" si="56"/>
        <v>0.14816000000000004</v>
      </c>
      <c r="AU75" s="132">
        <f t="shared" si="57"/>
        <v>4.3206642435031437</v>
      </c>
      <c r="AV75" s="1">
        <f t="shared" si="58"/>
        <v>451.2</v>
      </c>
      <c r="AW75" s="133">
        <f t="shared" si="59"/>
        <v>99.051488860405797</v>
      </c>
    </row>
    <row r="76" spans="17:49" x14ac:dyDescent="0.15">
      <c r="Q76">
        <v>69</v>
      </c>
      <c r="R76" s="132">
        <f t="shared" si="32"/>
        <v>60</v>
      </c>
      <c r="S76" s="1">
        <f t="shared" si="33"/>
        <v>7.52</v>
      </c>
      <c r="T76" s="1">
        <f t="shared" si="34"/>
        <v>37.32</v>
      </c>
      <c r="U76" s="133">
        <f t="shared" si="43"/>
        <v>12.090032154340836</v>
      </c>
      <c r="V76" s="132">
        <f>IF(Calculations!$B$17=3,2,IF((S76*R76/T76)&lt;((T76*(1-(T76/R76)))/(2*Lm*fsw)),1,2))</f>
        <v>2</v>
      </c>
      <c r="W76" s="1">
        <f t="shared" si="44"/>
        <v>0.378</v>
      </c>
      <c r="X76" s="133">
        <f t="shared" si="35"/>
        <v>0.622</v>
      </c>
      <c r="Y76" s="132">
        <f t="shared" si="36"/>
        <v>10.851507692307692</v>
      </c>
      <c r="Z76" s="1">
        <f t="shared" si="45"/>
        <v>17.515786000494682</v>
      </c>
      <c r="AA76" s="1">
        <f t="shared" si="46"/>
        <v>12.489267889913044</v>
      </c>
      <c r="AB76" s="1">
        <v>0</v>
      </c>
      <c r="AC76" s="1">
        <f t="shared" si="47"/>
        <v>0.31976271547332663</v>
      </c>
      <c r="AD76" s="133">
        <f t="shared" si="48"/>
        <v>0.31976271547332663</v>
      </c>
      <c r="AE76" s="132">
        <f t="shared" si="60"/>
        <v>4.5700321543408364</v>
      </c>
      <c r="AF76" s="1">
        <f t="shared" si="49"/>
        <v>7.6786147902491475</v>
      </c>
      <c r="AG76" s="1">
        <f t="shared" si="37"/>
        <v>5.8961125097032961E-2</v>
      </c>
      <c r="AH76" s="1">
        <f t="shared" si="50"/>
        <v>0.75604622468986105</v>
      </c>
      <c r="AI76" s="133">
        <f t="shared" si="51"/>
        <v>0.81500734978689404</v>
      </c>
      <c r="AJ76" s="132">
        <f t="shared" si="52"/>
        <v>7.52</v>
      </c>
      <c r="AK76" s="1">
        <f t="shared" si="53"/>
        <v>9.8499079858128713</v>
      </c>
      <c r="AL76" s="1">
        <f t="shared" si="38"/>
        <v>9.7020687328980171E-2</v>
      </c>
      <c r="AM76" s="1">
        <f t="shared" si="54"/>
        <v>0.26083200000000001</v>
      </c>
      <c r="AN76" s="136">
        <f t="shared" si="61"/>
        <v>0.14573133952411577</v>
      </c>
      <c r="AO76" s="133">
        <f t="shared" si="55"/>
        <v>0.503584026853096</v>
      </c>
      <c r="AP76" s="132">
        <f t="shared" si="39"/>
        <v>0.31196362485202606</v>
      </c>
      <c r="AQ76" s="137">
        <f t="shared" si="40"/>
        <v>0.31976271547332663</v>
      </c>
      <c r="AR76" s="137">
        <f t="shared" si="41"/>
        <v>1.8393666509929891</v>
      </c>
      <c r="AS76" s="1">
        <f t="shared" si="42"/>
        <v>1.9759999999999996E-2</v>
      </c>
      <c r="AT76" s="133">
        <f t="shared" si="56"/>
        <v>0.14928</v>
      </c>
      <c r="AU76" s="132">
        <f t="shared" si="57"/>
        <v>4.2784870834316582</v>
      </c>
      <c r="AV76" s="1">
        <f t="shared" si="58"/>
        <v>451.2</v>
      </c>
      <c r="AW76" s="133">
        <f t="shared" si="59"/>
        <v>99.060660996125605</v>
      </c>
    </row>
    <row r="77" spans="17:49" x14ac:dyDescent="0.15">
      <c r="Q77">
        <v>70</v>
      </c>
      <c r="R77" s="132">
        <f t="shared" si="32"/>
        <v>60</v>
      </c>
      <c r="S77" s="1">
        <f t="shared" si="33"/>
        <v>7.52</v>
      </c>
      <c r="T77" s="1">
        <f t="shared" si="34"/>
        <v>37.6</v>
      </c>
      <c r="U77" s="133">
        <f t="shared" si="43"/>
        <v>12</v>
      </c>
      <c r="V77" s="132">
        <f>IF(Calculations!$B$17=3,2,IF((S77*R77/T77)&lt;((T77*(1-(T77/R77)))/(2*Lm*fsw)),1,2))</f>
        <v>2</v>
      </c>
      <c r="W77" s="1">
        <f t="shared" si="44"/>
        <v>0.37333333333333329</v>
      </c>
      <c r="X77" s="133">
        <f t="shared" si="35"/>
        <v>0.62666666666666671</v>
      </c>
      <c r="Y77" s="132">
        <f t="shared" si="36"/>
        <v>10.797948717948717</v>
      </c>
      <c r="Z77" s="1">
        <f t="shared" si="45"/>
        <v>17.398974358974357</v>
      </c>
      <c r="AA77" s="1">
        <f t="shared" si="46"/>
        <v>12.398238102365763</v>
      </c>
      <c r="AB77" s="1">
        <v>0</v>
      </c>
      <c r="AC77" s="1">
        <f t="shared" si="47"/>
        <v>0.31511843148805607</v>
      </c>
      <c r="AD77" s="133">
        <f t="shared" si="48"/>
        <v>0.31511843148805607</v>
      </c>
      <c r="AE77" s="132">
        <f t="shared" si="60"/>
        <v>4.4799999999999995</v>
      </c>
      <c r="AF77" s="1">
        <f t="shared" si="49"/>
        <v>7.5754486117569</v>
      </c>
      <c r="AG77" s="1">
        <f t="shared" si="37"/>
        <v>5.7387421669369547E-2</v>
      </c>
      <c r="AH77" s="1">
        <f t="shared" si="50"/>
        <v>0.75041609322940461</v>
      </c>
      <c r="AI77" s="133">
        <f t="shared" si="51"/>
        <v>0.80780351489877411</v>
      </c>
      <c r="AJ77" s="132">
        <f t="shared" si="52"/>
        <v>7.5200000000000005</v>
      </c>
      <c r="AK77" s="1">
        <f t="shared" si="53"/>
        <v>9.8147280336025915</v>
      </c>
      <c r="AL77" s="1">
        <f t="shared" si="38"/>
        <v>9.6328886373584596E-2</v>
      </c>
      <c r="AM77" s="1">
        <f t="shared" si="54"/>
        <v>0.26083200000000001</v>
      </c>
      <c r="AN77" s="136">
        <f t="shared" si="61"/>
        <v>0.14475946666666667</v>
      </c>
      <c r="AO77" s="133">
        <f t="shared" si="55"/>
        <v>0.50192035304025129</v>
      </c>
      <c r="AP77" s="132">
        <f t="shared" si="39"/>
        <v>0.30743261608590844</v>
      </c>
      <c r="AQ77" s="137">
        <f t="shared" si="40"/>
        <v>0.31511843148805607</v>
      </c>
      <c r="AR77" s="137">
        <f t="shared" si="41"/>
        <v>1.8185172381600225</v>
      </c>
      <c r="AS77" s="1">
        <f t="shared" si="42"/>
        <v>1.9759999999999996E-2</v>
      </c>
      <c r="AT77" s="133">
        <f t="shared" si="56"/>
        <v>0.15040000000000001</v>
      </c>
      <c r="AU77" s="132">
        <f t="shared" si="57"/>
        <v>4.2360705851610687</v>
      </c>
      <c r="AV77" s="1">
        <f t="shared" si="58"/>
        <v>451.2</v>
      </c>
      <c r="AW77" s="133">
        <f t="shared" si="59"/>
        <v>99.069886893298019</v>
      </c>
    </row>
    <row r="78" spans="17:49" x14ac:dyDescent="0.15">
      <c r="Q78">
        <v>71</v>
      </c>
      <c r="R78" s="132">
        <f t="shared" si="32"/>
        <v>60</v>
      </c>
      <c r="S78" s="1">
        <f t="shared" si="33"/>
        <v>7.52</v>
      </c>
      <c r="T78" s="1">
        <f t="shared" si="34"/>
        <v>37.880000000000003</v>
      </c>
      <c r="U78" s="133">
        <f t="shared" si="43"/>
        <v>11.911298838437169</v>
      </c>
      <c r="V78" s="132">
        <f>IF(Calculations!$B$17=3,2,IF((S78*R78/T78)&lt;((T78*(1-(T78/R78)))/(2*Lm*fsw)),1,2))</f>
        <v>2</v>
      </c>
      <c r="W78" s="1">
        <f t="shared" si="44"/>
        <v>0.36866666666666659</v>
      </c>
      <c r="X78" s="133">
        <f t="shared" si="35"/>
        <v>0.63133333333333341</v>
      </c>
      <c r="Y78" s="132">
        <f t="shared" si="36"/>
        <v>10.742379487179486</v>
      </c>
      <c r="Z78" s="1">
        <f t="shared" si="45"/>
        <v>17.282488582026911</v>
      </c>
      <c r="AA78" s="1">
        <f t="shared" si="46"/>
        <v>12.308354876767076</v>
      </c>
      <c r="AB78" s="1">
        <v>0</v>
      </c>
      <c r="AC78" s="1">
        <f t="shared" si="47"/>
        <v>0.31056597953349346</v>
      </c>
      <c r="AD78" s="133">
        <f t="shared" si="48"/>
        <v>0.31056597953349346</v>
      </c>
      <c r="AE78" s="132">
        <f t="shared" si="60"/>
        <v>4.3912988384371685</v>
      </c>
      <c r="AF78" s="1">
        <f t="shared" si="49"/>
        <v>7.4733779365673287</v>
      </c>
      <c r="AG78" s="1">
        <f t="shared" si="37"/>
        <v>5.5851377782771348E-2</v>
      </c>
      <c r="AH78" s="1">
        <f t="shared" si="50"/>
        <v>0.74486919496899717</v>
      </c>
      <c r="AI78" s="133">
        <f t="shared" si="51"/>
        <v>0.80072057275176856</v>
      </c>
      <c r="AJ78" s="132">
        <f t="shared" si="52"/>
        <v>7.5200000000000005</v>
      </c>
      <c r="AK78" s="1">
        <f t="shared" si="53"/>
        <v>9.7797863979569879</v>
      </c>
      <c r="AL78" s="1">
        <f t="shared" si="38"/>
        <v>9.5644221989664518E-2</v>
      </c>
      <c r="AM78" s="1">
        <f t="shared" si="54"/>
        <v>0.26083200000000001</v>
      </c>
      <c r="AN78" s="136">
        <f t="shared" si="61"/>
        <v>0.14379030500246393</v>
      </c>
      <c r="AO78" s="133">
        <f t="shared" si="55"/>
        <v>0.50026652699212848</v>
      </c>
      <c r="AP78" s="132">
        <f t="shared" si="39"/>
        <v>0.30299119954487175</v>
      </c>
      <c r="AQ78" s="137">
        <f t="shared" si="40"/>
        <v>0.31056597953349346</v>
      </c>
      <c r="AR78" s="137">
        <f t="shared" si="41"/>
        <v>1.7970273520134934</v>
      </c>
      <c r="AS78" s="1">
        <f t="shared" si="42"/>
        <v>1.9759999999999996E-2</v>
      </c>
      <c r="AT78" s="133">
        <f t="shared" si="56"/>
        <v>0.15152000000000002</v>
      </c>
      <c r="AU78" s="132">
        <f t="shared" si="57"/>
        <v>4.1934176103692486</v>
      </c>
      <c r="AV78" s="1">
        <f t="shared" si="58"/>
        <v>451.2</v>
      </c>
      <c r="AW78" s="133">
        <f t="shared" si="59"/>
        <v>99.079165958881504</v>
      </c>
    </row>
    <row r="79" spans="17:49" x14ac:dyDescent="0.15">
      <c r="Q79">
        <v>72</v>
      </c>
      <c r="R79" s="132">
        <f t="shared" si="32"/>
        <v>60</v>
      </c>
      <c r="S79" s="1">
        <f t="shared" si="33"/>
        <v>7.52</v>
      </c>
      <c r="T79" s="1">
        <f t="shared" si="34"/>
        <v>38.160000000000004</v>
      </c>
      <c r="U79" s="133">
        <f t="shared" si="43"/>
        <v>11.823899371069182</v>
      </c>
      <c r="V79" s="132">
        <f>IF(Calculations!$B$17=3,2,IF((S79*R79/T79)&lt;((T79*(1-(T79/R79)))/(2*Lm*fsw)),1,2))</f>
        <v>2</v>
      </c>
      <c r="W79" s="1">
        <f t="shared" si="44"/>
        <v>0.36399999999999999</v>
      </c>
      <c r="X79" s="133">
        <f t="shared" si="35"/>
        <v>0.63600000000000001</v>
      </c>
      <c r="Y79" s="132">
        <f t="shared" si="36"/>
        <v>10.684799999999999</v>
      </c>
      <c r="Z79" s="1">
        <f t="shared" si="45"/>
        <v>17.166299371069179</v>
      </c>
      <c r="AA79" s="1">
        <f t="shared" si="46"/>
        <v>12.219588465131311</v>
      </c>
      <c r="AB79" s="1">
        <v>0</v>
      </c>
      <c r="AC79" s="1">
        <f t="shared" si="47"/>
        <v>0.30610260162719888</v>
      </c>
      <c r="AD79" s="133">
        <f t="shared" si="48"/>
        <v>0.30610260162719888</v>
      </c>
      <c r="AE79" s="132">
        <f t="shared" si="60"/>
        <v>4.303899371069182</v>
      </c>
      <c r="AF79" s="1">
        <f t="shared" si="49"/>
        <v>7.3723725205397717</v>
      </c>
      <c r="AG79" s="1">
        <f t="shared" si="37"/>
        <v>5.4351876581609941E-2</v>
      </c>
      <c r="AH79" s="1">
        <f t="shared" si="50"/>
        <v>0.73940369773127912</v>
      </c>
      <c r="AI79" s="133">
        <f t="shared" si="51"/>
        <v>0.79375557431288901</v>
      </c>
      <c r="AJ79" s="132">
        <f t="shared" si="52"/>
        <v>7.52</v>
      </c>
      <c r="AK79" s="1">
        <f t="shared" si="53"/>
        <v>9.7450739184246427</v>
      </c>
      <c r="AL79" s="1">
        <f t="shared" si="38"/>
        <v>9.4966465675560219E-2</v>
      </c>
      <c r="AM79" s="1">
        <f t="shared" si="54"/>
        <v>0.26083200000000001</v>
      </c>
      <c r="AN79" s="136">
        <f t="shared" si="61"/>
        <v>0.14282361076729558</v>
      </c>
      <c r="AO79" s="133">
        <f t="shared" si="55"/>
        <v>0.49862207644285583</v>
      </c>
      <c r="AP79" s="132">
        <f t="shared" si="39"/>
        <v>0.29863668451434039</v>
      </c>
      <c r="AQ79" s="137">
        <f t="shared" si="40"/>
        <v>0.30610260162719888</v>
      </c>
      <c r="AR79" s="137">
        <f t="shared" si="41"/>
        <v>1.7749124566994674</v>
      </c>
      <c r="AS79" s="1">
        <f t="shared" si="42"/>
        <v>1.9759999999999996E-2</v>
      </c>
      <c r="AT79" s="133">
        <f t="shared" si="56"/>
        <v>0.15264000000000003</v>
      </c>
      <c r="AU79" s="132">
        <f t="shared" si="57"/>
        <v>4.1505319952239503</v>
      </c>
      <c r="AV79" s="1">
        <f t="shared" si="58"/>
        <v>451.2</v>
      </c>
      <c r="AW79" s="133">
        <f t="shared" si="59"/>
        <v>99.088497387487948</v>
      </c>
    </row>
    <row r="80" spans="17:49" x14ac:dyDescent="0.15">
      <c r="Q80">
        <v>73</v>
      </c>
      <c r="R80" s="132">
        <f t="shared" si="32"/>
        <v>60</v>
      </c>
      <c r="S80" s="1">
        <f t="shared" si="33"/>
        <v>7.52</v>
      </c>
      <c r="T80" s="1">
        <f t="shared" si="34"/>
        <v>38.44</v>
      </c>
      <c r="U80" s="133">
        <f t="shared" si="43"/>
        <v>11.73777315296566</v>
      </c>
      <c r="V80" s="132">
        <f>IF(Calculations!$B$17=3,2,IF((S80*R80/T80)&lt;((T80*(1-(T80/R80)))/(2*Lm*fsw)),1,2))</f>
        <v>2</v>
      </c>
      <c r="W80" s="1">
        <f t="shared" si="44"/>
        <v>0.35933333333333339</v>
      </c>
      <c r="X80" s="133">
        <f t="shared" si="35"/>
        <v>0.64066666666666661</v>
      </c>
      <c r="Y80" s="132">
        <f t="shared" si="36"/>
        <v>10.625210256410258</v>
      </c>
      <c r="Z80" s="1">
        <f t="shared" si="45"/>
        <v>17.05037828117079</v>
      </c>
      <c r="AA80" s="1">
        <f t="shared" si="46"/>
        <v>12.131910113686079</v>
      </c>
      <c r="AB80" s="1">
        <v>0</v>
      </c>
      <c r="AC80" s="1">
        <f t="shared" si="47"/>
        <v>0.30172564816344505</v>
      </c>
      <c r="AD80" s="133">
        <f t="shared" si="48"/>
        <v>0.30172564816344505</v>
      </c>
      <c r="AE80" s="132">
        <f t="shared" si="60"/>
        <v>4.2177731529656617</v>
      </c>
      <c r="AF80" s="1">
        <f t="shared" si="49"/>
        <v>7.2724029949086795</v>
      </c>
      <c r="AG80" s="1">
        <f t="shared" si="37"/>
        <v>5.288784532035673E-2</v>
      </c>
      <c r="AH80" s="1">
        <f t="shared" si="50"/>
        <v>0.73401782272179006</v>
      </c>
      <c r="AI80" s="133">
        <f t="shared" si="51"/>
        <v>0.78690566804214679</v>
      </c>
      <c r="AJ80" s="132">
        <f t="shared" si="52"/>
        <v>7.5199999999999987</v>
      </c>
      <c r="AK80" s="1">
        <f t="shared" si="53"/>
        <v>9.7105817377849135</v>
      </c>
      <c r="AL80" s="1">
        <f t="shared" si="38"/>
        <v>9.4295397686201862E-2</v>
      </c>
      <c r="AM80" s="1">
        <f t="shared" si="54"/>
        <v>0.26083200000000001</v>
      </c>
      <c r="AN80" s="136">
        <f t="shared" si="61"/>
        <v>0.14185914729934099</v>
      </c>
      <c r="AO80" s="133">
        <f t="shared" si="55"/>
        <v>0.49698654498554284</v>
      </c>
      <c r="AP80" s="132">
        <f t="shared" si="39"/>
        <v>0.29436648601311716</v>
      </c>
      <c r="AQ80" s="137">
        <f t="shared" si="40"/>
        <v>0.30172564816344505</v>
      </c>
      <c r="AR80" s="137">
        <f t="shared" si="41"/>
        <v>1.752188531538845</v>
      </c>
      <c r="AS80" s="1">
        <f t="shared" si="42"/>
        <v>1.9759999999999996E-2</v>
      </c>
      <c r="AT80" s="133">
        <f t="shared" si="56"/>
        <v>0.15376000000000001</v>
      </c>
      <c r="AU80" s="132">
        <f t="shared" si="57"/>
        <v>4.1074185269065415</v>
      </c>
      <c r="AV80" s="1">
        <f t="shared" si="58"/>
        <v>451.2</v>
      </c>
      <c r="AW80" s="133">
        <f t="shared" si="59"/>
        <v>99.097880166285108</v>
      </c>
    </row>
    <row r="81" spans="17:49" x14ac:dyDescent="0.15">
      <c r="Q81">
        <v>74</v>
      </c>
      <c r="R81" s="132">
        <f t="shared" si="32"/>
        <v>60</v>
      </c>
      <c r="S81" s="1">
        <f t="shared" si="33"/>
        <v>7.52</v>
      </c>
      <c r="T81" s="1">
        <f t="shared" si="34"/>
        <v>38.72</v>
      </c>
      <c r="U81" s="133">
        <f t="shared" si="43"/>
        <v>11.652892561983471</v>
      </c>
      <c r="V81" s="132">
        <f>IF(Calculations!$B$17=3,2,IF((S81*R81/T81)&lt;((T81*(1-(T81/R81)))/(2*Lm*fsw)),1,2))</f>
        <v>2</v>
      </c>
      <c r="W81" s="1">
        <f t="shared" si="44"/>
        <v>0.35466666666666669</v>
      </c>
      <c r="X81" s="133">
        <f t="shared" si="35"/>
        <v>0.64533333333333331</v>
      </c>
      <c r="Y81" s="132">
        <f t="shared" si="36"/>
        <v>10.563610256410255</v>
      </c>
      <c r="Z81" s="1">
        <f t="shared" si="45"/>
        <v>16.934697690188599</v>
      </c>
      <c r="AA81" s="1">
        <f t="shared" si="46"/>
        <v>12.045292034590709</v>
      </c>
      <c r="AB81" s="1">
        <v>0</v>
      </c>
      <c r="AC81" s="1">
        <f t="shared" si="47"/>
        <v>0.29743257340707741</v>
      </c>
      <c r="AD81" s="133">
        <f t="shared" si="48"/>
        <v>0.29743257340707741</v>
      </c>
      <c r="AE81" s="132">
        <f t="shared" si="60"/>
        <v>4.1328925619834713</v>
      </c>
      <c r="AF81" s="1">
        <f t="shared" si="49"/>
        <v>7.1734408306215016</v>
      </c>
      <c r="AG81" s="1">
        <f t="shared" si="37"/>
        <v>5.1458253350427696E-2</v>
      </c>
      <c r="AH81" s="1">
        <f t="shared" si="50"/>
        <v>0.72870984259880212</v>
      </c>
      <c r="AI81" s="133">
        <f t="shared" si="51"/>
        <v>0.78016809594922987</v>
      </c>
      <c r="AJ81" s="132">
        <f t="shared" si="52"/>
        <v>7.52</v>
      </c>
      <c r="AK81" s="1">
        <f t="shared" si="53"/>
        <v>9.6763012999878555</v>
      </c>
      <c r="AL81" s="1">
        <f t="shared" si="38"/>
        <v>9.3630806848146661E-2</v>
      </c>
      <c r="AM81" s="1">
        <f t="shared" si="54"/>
        <v>0.26083200000000001</v>
      </c>
      <c r="AN81" s="136">
        <f t="shared" si="61"/>
        <v>0.14089668478236916</v>
      </c>
      <c r="AO81" s="133">
        <f t="shared" si="55"/>
        <v>0.49535949163051585</v>
      </c>
      <c r="AP81" s="132">
        <f t="shared" si="39"/>
        <v>0.29017812039714874</v>
      </c>
      <c r="AQ81" s="137">
        <f t="shared" si="40"/>
        <v>0.29743257340707741</v>
      </c>
      <c r="AR81" s="137">
        <f t="shared" si="41"/>
        <v>1.7288720660572157</v>
      </c>
      <c r="AS81" s="1">
        <f t="shared" si="42"/>
        <v>1.9759999999999996E-2</v>
      </c>
      <c r="AT81" s="133">
        <f t="shared" si="56"/>
        <v>0.15487999999999999</v>
      </c>
      <c r="AU81" s="132">
        <f t="shared" si="57"/>
        <v>4.0640829208482652</v>
      </c>
      <c r="AV81" s="1">
        <f t="shared" si="58"/>
        <v>451.2</v>
      </c>
      <c r="AW81" s="133">
        <f t="shared" si="59"/>
        <v>99.107313079746106</v>
      </c>
    </row>
    <row r="82" spans="17:49" x14ac:dyDescent="0.15">
      <c r="Q82">
        <v>75</v>
      </c>
      <c r="R82" s="132">
        <f t="shared" si="32"/>
        <v>60</v>
      </c>
      <c r="S82" s="1">
        <f t="shared" si="33"/>
        <v>7.52</v>
      </c>
      <c r="T82" s="1">
        <f t="shared" si="34"/>
        <v>39</v>
      </c>
      <c r="U82" s="133">
        <f t="shared" si="43"/>
        <v>11.569230769230769</v>
      </c>
      <c r="V82" s="132">
        <f>IF(Calculations!$B$17=3,2,IF((S82*R82/T82)&lt;((T82*(1-(T82/R82)))/(2*Lm*fsw)),1,2))</f>
        <v>2</v>
      </c>
      <c r="W82" s="1">
        <f t="shared" si="44"/>
        <v>0.35</v>
      </c>
      <c r="X82" s="133">
        <f t="shared" si="35"/>
        <v>0.65</v>
      </c>
      <c r="Y82" s="132">
        <f t="shared" si="36"/>
        <v>10.499999999999998</v>
      </c>
      <c r="Z82" s="1">
        <f t="shared" si="45"/>
        <v>16.819230769230767</v>
      </c>
      <c r="AA82" s="1">
        <f t="shared" si="46"/>
        <v>11.959707379017095</v>
      </c>
      <c r="AB82" s="1">
        <v>0</v>
      </c>
      <c r="AC82" s="1">
        <f t="shared" si="47"/>
        <v>0.29322093121301768</v>
      </c>
      <c r="AD82" s="133">
        <f t="shared" si="48"/>
        <v>0.29322093121301768</v>
      </c>
      <c r="AE82" s="132">
        <f t="shared" si="60"/>
        <v>4.0492307692307685</v>
      </c>
      <c r="AF82" s="1">
        <f t="shared" si="49"/>
        <v>7.0754583036790333</v>
      </c>
      <c r="AG82" s="1">
        <f t="shared" si="37"/>
        <v>5.006211020710058E-2</v>
      </c>
      <c r="AH82" s="1">
        <f t="shared" si="50"/>
        <v>0.72347807962629784</v>
      </c>
      <c r="AI82" s="133">
        <f t="shared" si="51"/>
        <v>0.77354018983339845</v>
      </c>
      <c r="AJ82" s="132">
        <f t="shared" si="52"/>
        <v>7.5200000000000005</v>
      </c>
      <c r="AK82" s="1">
        <f t="shared" si="53"/>
        <v>9.6422243483863905</v>
      </c>
      <c r="AL82" s="1">
        <f t="shared" si="38"/>
        <v>9.2972490384615358E-2</v>
      </c>
      <c r="AM82" s="1">
        <f t="shared" si="54"/>
        <v>0.26083200000000001</v>
      </c>
      <c r="AN82" s="136">
        <f t="shared" si="61"/>
        <v>0.139936</v>
      </c>
      <c r="AO82" s="133">
        <f t="shared" si="55"/>
        <v>0.49374049038461537</v>
      </c>
      <c r="AP82" s="132">
        <f t="shared" si="39"/>
        <v>0.28606920118343193</v>
      </c>
      <c r="AQ82" s="137">
        <f t="shared" si="40"/>
        <v>0.29322093121301768</v>
      </c>
      <c r="AR82" s="137">
        <f t="shared" si="41"/>
        <v>1.7049800547936427</v>
      </c>
      <c r="AS82" s="1">
        <f t="shared" si="42"/>
        <v>1.9759999999999996E-2</v>
      </c>
      <c r="AT82" s="133">
        <f t="shared" si="56"/>
        <v>0.156</v>
      </c>
      <c r="AU82" s="132">
        <f t="shared" si="57"/>
        <v>4.020531798621124</v>
      </c>
      <c r="AV82" s="1">
        <f t="shared" si="58"/>
        <v>451.2</v>
      </c>
      <c r="AW82" s="133">
        <f t="shared" si="59"/>
        <v>99.116794714259569</v>
      </c>
    </row>
    <row r="83" spans="17:49" x14ac:dyDescent="0.15">
      <c r="Q83">
        <v>76</v>
      </c>
      <c r="R83" s="132">
        <f t="shared" si="32"/>
        <v>60</v>
      </c>
      <c r="S83" s="1">
        <f t="shared" si="33"/>
        <v>7.52</v>
      </c>
      <c r="T83" s="1">
        <f t="shared" si="34"/>
        <v>39.28</v>
      </c>
      <c r="U83" s="133">
        <f t="shared" si="43"/>
        <v>11.486761710794296</v>
      </c>
      <c r="V83" s="132">
        <f>IF(Calculations!$B$17=3,2,IF((S83*R83/T83)&lt;((T83*(1-(T83/R83)))/(2*Lm*fsw)),1,2))</f>
        <v>2</v>
      </c>
      <c r="W83" s="1">
        <f t="shared" si="44"/>
        <v>0.34533333333333327</v>
      </c>
      <c r="X83" s="133">
        <f t="shared" si="35"/>
        <v>0.65466666666666673</v>
      </c>
      <c r="Y83" s="132">
        <f t="shared" si="36"/>
        <v>10.434379487179484</v>
      </c>
      <c r="Z83" s="1">
        <f t="shared" si="45"/>
        <v>16.70395145438404</v>
      </c>
      <c r="AA83" s="1">
        <f t="shared" si="46"/>
        <v>11.875130211529299</v>
      </c>
      <c r="AB83" s="1">
        <v>0</v>
      </c>
      <c r="AC83" s="1">
        <f t="shared" si="47"/>
        <v>0.28908837095859052</v>
      </c>
      <c r="AD83" s="133">
        <f t="shared" si="48"/>
        <v>0.28908837095859052</v>
      </c>
      <c r="AE83" s="132">
        <f t="shared" si="60"/>
        <v>3.9667617107942963</v>
      </c>
      <c r="AF83" s="1">
        <f t="shared" si="49"/>
        <v>6.9784284613907142</v>
      </c>
      <c r="AG83" s="1">
        <f t="shared" si="37"/>
        <v>4.8698463790747971E-2</v>
      </c>
      <c r="AH83" s="1">
        <f t="shared" si="50"/>
        <v>0.71832090390594727</v>
      </c>
      <c r="AI83" s="133">
        <f t="shared" si="51"/>
        <v>0.76701936769669521</v>
      </c>
      <c r="AJ83" s="132">
        <f t="shared" si="52"/>
        <v>7.52</v>
      </c>
      <c r="AK83" s="1">
        <f t="shared" si="53"/>
        <v>9.608342924252236</v>
      </c>
      <c r="AL83" s="1">
        <f t="shared" si="38"/>
        <v>9.2320253750028017E-2</v>
      </c>
      <c r="AM83" s="1">
        <f t="shared" si="54"/>
        <v>0.26083200000000001</v>
      </c>
      <c r="AN83" s="136">
        <f t="shared" si="61"/>
        <v>0.13897687610047524</v>
      </c>
      <c r="AO83" s="133">
        <f t="shared" si="55"/>
        <v>0.49212912985050328</v>
      </c>
      <c r="AP83" s="132">
        <f t="shared" si="39"/>
        <v>0.28203743508155182</v>
      </c>
      <c r="AQ83" s="137">
        <f t="shared" si="40"/>
        <v>0.28908837095859052</v>
      </c>
      <c r="AR83" s="137">
        <f t="shared" si="41"/>
        <v>1.6805299918825636</v>
      </c>
      <c r="AS83" s="1">
        <f t="shared" si="42"/>
        <v>1.9759999999999996E-2</v>
      </c>
      <c r="AT83" s="133">
        <f t="shared" si="56"/>
        <v>0.15712000000000001</v>
      </c>
      <c r="AU83" s="132">
        <f t="shared" si="57"/>
        <v>3.976772666428495</v>
      </c>
      <c r="AV83" s="1">
        <f t="shared" si="58"/>
        <v>451.2</v>
      </c>
      <c r="AW83" s="133">
        <f t="shared" si="59"/>
        <v>99.126323462611566</v>
      </c>
    </row>
    <row r="84" spans="17:49" x14ac:dyDescent="0.15">
      <c r="Q84">
        <v>77</v>
      </c>
      <c r="R84" s="132">
        <f t="shared" si="32"/>
        <v>60</v>
      </c>
      <c r="S84" s="1">
        <f t="shared" si="33"/>
        <v>7.52</v>
      </c>
      <c r="T84" s="1">
        <f t="shared" si="34"/>
        <v>39.56</v>
      </c>
      <c r="U84" s="133">
        <f t="shared" si="43"/>
        <v>11.405460060667339</v>
      </c>
      <c r="V84" s="132">
        <f>IF(Calculations!$B$17=3,2,IF((S84*R84/T84)&lt;((T84*(1-(T84/R84)))/(2*Lm*fsw)),1,2))</f>
        <v>2</v>
      </c>
      <c r="W84" s="1">
        <f t="shared" si="44"/>
        <v>0.34066666666666667</v>
      </c>
      <c r="X84" s="133">
        <f t="shared" si="35"/>
        <v>0.65933333333333333</v>
      </c>
      <c r="Y84" s="132">
        <f t="shared" si="36"/>
        <v>10.366748717948719</v>
      </c>
      <c r="Z84" s="1">
        <f t="shared" si="45"/>
        <v>16.588834419641699</v>
      </c>
      <c r="AA84" s="1">
        <f t="shared" si="46"/>
        <v>11.791535485701969</v>
      </c>
      <c r="AB84" s="1">
        <v>0</v>
      </c>
      <c r="AC84" s="1">
        <f t="shared" si="47"/>
        <v>0.28503263367666593</v>
      </c>
      <c r="AD84" s="133">
        <f t="shared" si="48"/>
        <v>0.28503263367666593</v>
      </c>
      <c r="AE84" s="132">
        <f t="shared" si="60"/>
        <v>3.8854600606673402</v>
      </c>
      <c r="AF84" s="1">
        <f t="shared" si="49"/>
        <v>6.8823250894592611</v>
      </c>
      <c r="AG84" s="1">
        <f t="shared" si="37"/>
        <v>4.7366398637000429E-2</v>
      </c>
      <c r="AH84" s="1">
        <f t="shared" si="50"/>
        <v>0.71323673168416613</v>
      </c>
      <c r="AI84" s="133">
        <f t="shared" si="51"/>
        <v>0.76060313032116655</v>
      </c>
      <c r="AJ84" s="132">
        <f t="shared" si="52"/>
        <v>7.5199999999999987</v>
      </c>
      <c r="AK84" s="1">
        <f t="shared" si="53"/>
        <v>9.574649365567824</v>
      </c>
      <c r="AL84" s="1">
        <f t="shared" si="38"/>
        <v>9.1673910473568349E-2</v>
      </c>
      <c r="AM84" s="1">
        <f t="shared" si="54"/>
        <v>0.26083200000000001</v>
      </c>
      <c r="AN84" s="136">
        <f t="shared" si="61"/>
        <v>0.13801910237141896</v>
      </c>
      <c r="AO84" s="133">
        <f t="shared" si="55"/>
        <v>0.49052501284498734</v>
      </c>
      <c r="AP84" s="132">
        <f t="shared" si="39"/>
        <v>0.2780806182211375</v>
      </c>
      <c r="AQ84" s="137">
        <f t="shared" si="40"/>
        <v>0.28503263367666593</v>
      </c>
      <c r="AR84" s="137">
        <f t="shared" si="41"/>
        <v>1.6555398654026814</v>
      </c>
      <c r="AS84" s="1">
        <f t="shared" si="42"/>
        <v>1.9759999999999996E-2</v>
      </c>
      <c r="AT84" s="133">
        <f t="shared" si="56"/>
        <v>0.15824000000000002</v>
      </c>
      <c r="AU84" s="132">
        <f t="shared" si="57"/>
        <v>3.9328138941433046</v>
      </c>
      <c r="AV84" s="1">
        <f t="shared" si="58"/>
        <v>451.2</v>
      </c>
      <c r="AW84" s="133">
        <f t="shared" si="59"/>
        <v>99.135897528351364</v>
      </c>
    </row>
    <row r="85" spans="17:49" x14ac:dyDescent="0.15">
      <c r="Q85">
        <v>78</v>
      </c>
      <c r="R85" s="132">
        <f t="shared" si="32"/>
        <v>60</v>
      </c>
      <c r="S85" s="1">
        <f t="shared" si="33"/>
        <v>7.52</v>
      </c>
      <c r="T85" s="1">
        <f t="shared" si="34"/>
        <v>39.840000000000003</v>
      </c>
      <c r="U85" s="133">
        <f t="shared" si="43"/>
        <v>11.325301204819276</v>
      </c>
      <c r="V85" s="132">
        <f>IF(Calculations!$B$17=3,2,IF((S85*R85/T85)&lt;((T85*(1-(T85/R85)))/(2*Lm*fsw)),1,2))</f>
        <v>2</v>
      </c>
      <c r="W85" s="1">
        <f t="shared" si="44"/>
        <v>0.33599999999999997</v>
      </c>
      <c r="X85" s="133">
        <f t="shared" si="35"/>
        <v>0.66400000000000003</v>
      </c>
      <c r="Y85" s="132">
        <f t="shared" si="36"/>
        <v>10.297107692307691</v>
      </c>
      <c r="Z85" s="1">
        <f t="shared" si="45"/>
        <v>16.473855050973121</v>
      </c>
      <c r="AA85" s="1">
        <f t="shared" si="46"/>
        <v>11.7088990209212</v>
      </c>
      <c r="AB85" s="1">
        <v>0</v>
      </c>
      <c r="AC85" s="1">
        <f t="shared" si="47"/>
        <v>0.28105154837836527</v>
      </c>
      <c r="AD85" s="133">
        <f t="shared" si="48"/>
        <v>0.28105154837836527</v>
      </c>
      <c r="AE85" s="132">
        <f t="shared" si="60"/>
        <v>3.8053012048192763</v>
      </c>
      <c r="AF85" s="1">
        <f t="shared" si="49"/>
        <v>6.7871226798103113</v>
      </c>
      <c r="AG85" s="1">
        <f t="shared" si="37"/>
        <v>4.6065034270795502E-2</v>
      </c>
      <c r="AH85" s="1">
        <f t="shared" si="50"/>
        <v>0.70822402373056259</v>
      </c>
      <c r="AI85" s="133">
        <f t="shared" si="51"/>
        <v>0.75428905800135815</v>
      </c>
      <c r="AJ85" s="132">
        <f t="shared" si="52"/>
        <v>7.52</v>
      </c>
      <c r="AK85" s="1">
        <f t="shared" si="53"/>
        <v>9.5411363060871306</v>
      </c>
      <c r="AL85" s="1">
        <f t="shared" si="38"/>
        <v>9.1033282011333982E-2</v>
      </c>
      <c r="AM85" s="1">
        <f t="shared" si="54"/>
        <v>0.26083200000000001</v>
      </c>
      <c r="AN85" s="136">
        <f t="shared" si="61"/>
        <v>0.13706247402409638</v>
      </c>
      <c r="AO85" s="133">
        <f t="shared" si="55"/>
        <v>0.48892775603543037</v>
      </c>
      <c r="AP85" s="132">
        <f t="shared" si="39"/>
        <v>0.27419663256425886</v>
      </c>
      <c r="AQ85" s="137">
        <f t="shared" si="40"/>
        <v>0.28105154837836527</v>
      </c>
      <c r="AR85" s="137">
        <f t="shared" si="41"/>
        <v>1.6300281514862955</v>
      </c>
      <c r="AS85" s="1">
        <f t="shared" si="42"/>
        <v>1.9759999999999996E-2</v>
      </c>
      <c r="AT85" s="133">
        <f t="shared" si="56"/>
        <v>0.15936000000000003</v>
      </c>
      <c r="AU85" s="132">
        <f t="shared" si="57"/>
        <v>3.8886646948440733</v>
      </c>
      <c r="AV85" s="1">
        <f t="shared" si="58"/>
        <v>451.2</v>
      </c>
      <c r="AW85" s="133">
        <f t="shared" si="59"/>
        <v>99.145514930051803</v>
      </c>
    </row>
    <row r="86" spans="17:49" x14ac:dyDescent="0.15">
      <c r="Q86">
        <v>79</v>
      </c>
      <c r="R86" s="132">
        <f t="shared" si="32"/>
        <v>60</v>
      </c>
      <c r="S86" s="1">
        <f t="shared" si="33"/>
        <v>7.52</v>
      </c>
      <c r="T86" s="1">
        <f t="shared" si="34"/>
        <v>40.120000000000005</v>
      </c>
      <c r="U86" s="133">
        <f t="shared" si="43"/>
        <v>11.246261216350945</v>
      </c>
      <c r="V86" s="132">
        <f>IF(Calculations!$B$17=3,2,IF((S86*R86/T86)&lt;((T86*(1-(T86/R86)))/(2*Lm*fsw)),1,2))</f>
        <v>2</v>
      </c>
      <c r="W86" s="1">
        <f t="shared" si="44"/>
        <v>0.33133333333333326</v>
      </c>
      <c r="X86" s="133">
        <f t="shared" si="35"/>
        <v>0.66866666666666674</v>
      </c>
      <c r="Y86" s="132">
        <f t="shared" si="36"/>
        <v>10.225456410256408</v>
      </c>
      <c r="Z86" s="1">
        <f t="shared" si="45"/>
        <v>16.358989421479148</v>
      </c>
      <c r="AA86" s="1">
        <f t="shared" si="46"/>
        <v>11.627197480314733</v>
      </c>
      <c r="AB86" s="1">
        <v>0</v>
      </c>
      <c r="AC86" s="1">
        <f t="shared" si="47"/>
        <v>0.2771430285547864</v>
      </c>
      <c r="AD86" s="133">
        <f t="shared" si="48"/>
        <v>0.2771430285547864</v>
      </c>
      <c r="AE86" s="132">
        <f t="shared" si="60"/>
        <v>3.7262612163509456</v>
      </c>
      <c r="AF86" s="1">
        <f t="shared" si="49"/>
        <v>6.6927963990836137</v>
      </c>
      <c r="AG86" s="1">
        <f t="shared" si="37"/>
        <v>4.4793523639586587E-2</v>
      </c>
      <c r="AH86" s="1">
        <f t="shared" si="50"/>
        <v>0.70328128378428734</v>
      </c>
      <c r="AI86" s="133">
        <f t="shared" si="51"/>
        <v>0.74807480742387389</v>
      </c>
      <c r="AJ86" s="132">
        <f t="shared" si="52"/>
        <v>7.52</v>
      </c>
      <c r="AK86" s="1">
        <f t="shared" si="53"/>
        <v>9.5077966746586782</v>
      </c>
      <c r="AL86" s="1">
        <f t="shared" si="38"/>
        <v>9.0398197606650618E-2</v>
      </c>
      <c r="AM86" s="1">
        <f t="shared" si="54"/>
        <v>0.26083200000000001</v>
      </c>
      <c r="AN86" s="136">
        <f t="shared" si="61"/>
        <v>0.13610679198670653</v>
      </c>
      <c r="AO86" s="133">
        <f t="shared" si="55"/>
        <v>0.48733698959335714</v>
      </c>
      <c r="AP86" s="132">
        <f t="shared" si="39"/>
        <v>0.27038344249247459</v>
      </c>
      <c r="AQ86" s="137">
        <f t="shared" si="40"/>
        <v>0.2771430285547864</v>
      </c>
      <c r="AR86" s="137">
        <f t="shared" si="41"/>
        <v>1.604013808182106</v>
      </c>
      <c r="AS86" s="1">
        <f t="shared" si="42"/>
        <v>1.9759999999999996E-2</v>
      </c>
      <c r="AT86" s="133">
        <f t="shared" si="56"/>
        <v>0.16048000000000001</v>
      </c>
      <c r="AU86" s="132">
        <f t="shared" si="57"/>
        <v>3.8443351048013845</v>
      </c>
      <c r="AV86" s="1">
        <f t="shared" si="58"/>
        <v>451.2</v>
      </c>
      <c r="AW86" s="133">
        <f t="shared" si="59"/>
        <v>99.155173505474806</v>
      </c>
    </row>
    <row r="87" spans="17:49" x14ac:dyDescent="0.15">
      <c r="Q87">
        <v>80</v>
      </c>
      <c r="R87" s="132">
        <f t="shared" si="32"/>
        <v>60</v>
      </c>
      <c r="S87" s="1">
        <f t="shared" si="33"/>
        <v>7.52</v>
      </c>
      <c r="T87" s="1">
        <f t="shared" si="34"/>
        <v>40.400000000000006</v>
      </c>
      <c r="U87" s="133">
        <f t="shared" si="43"/>
        <v>11.168316831683166</v>
      </c>
      <c r="V87" s="132">
        <f>IF(Calculations!$B$17=3,2,IF((S87*R87/T87)&lt;((T87*(1-(T87/R87)))/(2*Lm*fsw)),1,2))</f>
        <v>2</v>
      </c>
      <c r="W87" s="1">
        <f t="shared" si="44"/>
        <v>0.32666666666666655</v>
      </c>
      <c r="X87" s="133">
        <f t="shared" si="35"/>
        <v>0.67333333333333345</v>
      </c>
      <c r="Y87" s="132">
        <f t="shared" si="36"/>
        <v>10.15179487179487</v>
      </c>
      <c r="Z87" s="1">
        <f t="shared" si="45"/>
        <v>16.244214267580602</v>
      </c>
      <c r="AA87" s="1">
        <f t="shared" si="46"/>
        <v>11.546408349761448</v>
      </c>
      <c r="AB87" s="1">
        <v>0</v>
      </c>
      <c r="AC87" s="1">
        <f t="shared" si="47"/>
        <v>0.27330506884785377</v>
      </c>
      <c r="AD87" s="133">
        <f t="shared" si="48"/>
        <v>0.27330506884785377</v>
      </c>
      <c r="AE87" s="132">
        <f t="shared" si="60"/>
        <v>3.6483168316831662</v>
      </c>
      <c r="AF87" s="1">
        <f t="shared" si="49"/>
        <v>6.5993220577028993</v>
      </c>
      <c r="AG87" s="1">
        <f t="shared" si="37"/>
        <v>4.3551051621284032E-2</v>
      </c>
      <c r="AH87" s="1">
        <f t="shared" si="50"/>
        <v>0.69840705706499029</v>
      </c>
      <c r="AI87" s="133">
        <f t="shared" si="51"/>
        <v>0.74195810868627432</v>
      </c>
      <c r="AJ87" s="132">
        <f t="shared" si="52"/>
        <v>7.52</v>
      </c>
      <c r="AK87" s="1">
        <f t="shared" si="53"/>
        <v>9.4746236948048193</v>
      </c>
      <c r="AL87" s="1">
        <f t="shared" si="38"/>
        <v>8.9768494158156922E-2</v>
      </c>
      <c r="AM87" s="1">
        <f t="shared" si="54"/>
        <v>0.26083200000000001</v>
      </c>
      <c r="AN87" s="136">
        <f t="shared" si="61"/>
        <v>0.13515186270627064</v>
      </c>
      <c r="AO87" s="133">
        <f t="shared" si="55"/>
        <v>0.48575235686442753</v>
      </c>
      <c r="AP87" s="132">
        <f t="shared" si="39"/>
        <v>0.26663909155888177</v>
      </c>
      <c r="AQ87" s="137">
        <f t="shared" si="40"/>
        <v>0.27330506884785377</v>
      </c>
      <c r="AR87" s="137">
        <f t="shared" si="41"/>
        <v>1.577516269064055</v>
      </c>
      <c r="AS87" s="1">
        <f t="shared" si="42"/>
        <v>1.9759999999999996E-2</v>
      </c>
      <c r="AT87" s="133">
        <f t="shared" si="56"/>
        <v>0.16160000000000002</v>
      </c>
      <c r="AU87" s="132">
        <f t="shared" si="57"/>
        <v>3.799835963869346</v>
      </c>
      <c r="AV87" s="1">
        <f t="shared" si="58"/>
        <v>451.2</v>
      </c>
      <c r="AW87" s="133">
        <f t="shared" si="59"/>
        <v>99.164870915652131</v>
      </c>
    </row>
    <row r="88" spans="17:49" x14ac:dyDescent="0.15">
      <c r="Q88">
        <v>81</v>
      </c>
      <c r="R88" s="132">
        <f t="shared" si="32"/>
        <v>60</v>
      </c>
      <c r="S88" s="1">
        <f t="shared" si="33"/>
        <v>7.52</v>
      </c>
      <c r="T88" s="1">
        <f t="shared" si="34"/>
        <v>40.680000000000007</v>
      </c>
      <c r="U88" s="133">
        <f t="shared" si="43"/>
        <v>11.091445427728612</v>
      </c>
      <c r="V88" s="132">
        <f>IF(Calculations!$B$17=3,2,IF((S88*R88/T88)&lt;((T88*(1-(T88/R88)))/(2*Lm*fsw)),1,2))</f>
        <v>2</v>
      </c>
      <c r="W88" s="1">
        <f t="shared" si="44"/>
        <v>0.32199999999999984</v>
      </c>
      <c r="X88" s="133">
        <f t="shared" si="35"/>
        <v>0.67800000000000016</v>
      </c>
      <c r="Y88" s="132">
        <f t="shared" si="36"/>
        <v>10.076123076923073</v>
      </c>
      <c r="Z88" s="1">
        <f t="shared" si="45"/>
        <v>16.129506966190149</v>
      </c>
      <c r="AA88" s="1">
        <f t="shared" si="46"/>
        <v>11.466509917933054</v>
      </c>
      <c r="AB88" s="1">
        <v>0</v>
      </c>
      <c r="AC88" s="1">
        <f t="shared" si="47"/>
        <v>0.26953574188101703</v>
      </c>
      <c r="AD88" s="133">
        <f t="shared" si="48"/>
        <v>0.26953574188101703</v>
      </c>
      <c r="AE88" s="132">
        <f t="shared" si="60"/>
        <v>3.5714454277286114</v>
      </c>
      <c r="AF88" s="1">
        <f t="shared" si="49"/>
        <v>6.5066760794413581</v>
      </c>
      <c r="AG88" s="1">
        <f t="shared" si="37"/>
        <v>4.2336833602774362E-2</v>
      </c>
      <c r="AH88" s="1">
        <f t="shared" si="50"/>
        <v>0.69359992884527066</v>
      </c>
      <c r="AI88" s="133">
        <f t="shared" si="51"/>
        <v>0.73593676244804507</v>
      </c>
      <c r="AJ88" s="132">
        <f t="shared" si="52"/>
        <v>7.5200000000000005</v>
      </c>
      <c r="AK88" s="1">
        <f t="shared" si="53"/>
        <v>9.4416108845515723</v>
      </c>
      <c r="AL88" s="1">
        <f t="shared" si="38"/>
        <v>8.9144016095282719E-2</v>
      </c>
      <c r="AM88" s="1">
        <f t="shared" si="54"/>
        <v>0.26083200000000001</v>
      </c>
      <c r="AN88" s="136">
        <f t="shared" si="61"/>
        <v>0.13419749795870206</v>
      </c>
      <c r="AO88" s="133">
        <f t="shared" si="55"/>
        <v>0.48417351405398479</v>
      </c>
      <c r="AP88" s="132">
        <f t="shared" si="39"/>
        <v>0.26296169939611425</v>
      </c>
      <c r="AQ88" s="137">
        <f t="shared" si="40"/>
        <v>0.26953574188101703</v>
      </c>
      <c r="AR88" s="137">
        <f t="shared" si="41"/>
        <v>1.5505554365783554</v>
      </c>
      <c r="AS88" s="1">
        <f t="shared" si="42"/>
        <v>1.9759999999999996E-2</v>
      </c>
      <c r="AT88" s="133">
        <f t="shared" si="56"/>
        <v>0.16272000000000003</v>
      </c>
      <c r="AU88" s="132">
        <f t="shared" si="57"/>
        <v>3.7551788962385335</v>
      </c>
      <c r="AV88" s="1">
        <f t="shared" si="58"/>
        <v>451.2</v>
      </c>
      <c r="AW88" s="133">
        <f t="shared" si="59"/>
        <v>99.174604648891147</v>
      </c>
    </row>
    <row r="89" spans="17:49" x14ac:dyDescent="0.15">
      <c r="Q89">
        <v>82</v>
      </c>
      <c r="R89" s="132">
        <f t="shared" si="32"/>
        <v>60</v>
      </c>
      <c r="S89" s="1">
        <f t="shared" si="33"/>
        <v>7.52</v>
      </c>
      <c r="T89" s="1">
        <f t="shared" si="34"/>
        <v>40.96</v>
      </c>
      <c r="U89" s="133">
        <f t="shared" si="43"/>
        <v>11.015625</v>
      </c>
      <c r="V89" s="132">
        <f>IF(Calculations!$B$17=3,2,IF((S89*R89/T89)&lt;((T89*(1-(T89/R89)))/(2*Lm*fsw)),1,2))</f>
        <v>2</v>
      </c>
      <c r="W89" s="1">
        <f t="shared" si="44"/>
        <v>0.31733333333333336</v>
      </c>
      <c r="X89" s="133">
        <f t="shared" si="35"/>
        <v>0.68266666666666664</v>
      </c>
      <c r="Y89" s="132">
        <f t="shared" si="36"/>
        <v>9.9984410256410268</v>
      </c>
      <c r="Z89" s="1">
        <f t="shared" si="45"/>
        <v>16.014845512820514</v>
      </c>
      <c r="AA89" s="1">
        <f t="shared" si="46"/>
        <v>11.387481257323477</v>
      </c>
      <c r="AB89" s="1">
        <v>0</v>
      </c>
      <c r="AC89" s="1">
        <f t="shared" si="47"/>
        <v>0.26583319524108157</v>
      </c>
      <c r="AD89" s="133">
        <f t="shared" si="48"/>
        <v>0.26583319524108157</v>
      </c>
      <c r="AE89" s="132">
        <f t="shared" si="60"/>
        <v>3.4956250000000004</v>
      </c>
      <c r="AF89" s="1">
        <f t="shared" si="49"/>
        <v>6.4148354713993667</v>
      </c>
      <c r="AG89" s="1">
        <f t="shared" si="37"/>
        <v>4.1150114125123538E-2</v>
      </c>
      <c r="AH89" s="1">
        <f t="shared" si="50"/>
        <v>0.68885852308168005</v>
      </c>
      <c r="AI89" s="133">
        <f t="shared" si="51"/>
        <v>0.73000863720680353</v>
      </c>
      <c r="AJ89" s="132">
        <f t="shared" si="52"/>
        <v>7.52</v>
      </c>
      <c r="AK89" s="1">
        <f t="shared" si="53"/>
        <v>9.4087520565040919</v>
      </c>
      <c r="AL89" s="1">
        <f t="shared" si="38"/>
        <v>8.8524615260769976E-2</v>
      </c>
      <c r="AM89" s="1">
        <f t="shared" si="54"/>
        <v>0.26083200000000001</v>
      </c>
      <c r="AN89" s="136">
        <f t="shared" si="61"/>
        <v>0.1332435146666667</v>
      </c>
      <c r="AO89" s="133">
        <f t="shared" si="55"/>
        <v>0.48260012992743673</v>
      </c>
      <c r="AP89" s="132">
        <f t="shared" si="39"/>
        <v>0.25934945877178694</v>
      </c>
      <c r="AQ89" s="137">
        <f t="shared" si="40"/>
        <v>0.26583319524108157</v>
      </c>
      <c r="AR89" s="137">
        <f t="shared" si="41"/>
        <v>1.5231516751202661</v>
      </c>
      <c r="AS89" s="1">
        <f t="shared" si="42"/>
        <v>1.9759999999999996E-2</v>
      </c>
      <c r="AT89" s="133">
        <f t="shared" si="56"/>
        <v>0.16384000000000001</v>
      </c>
      <c r="AU89" s="132">
        <f t="shared" si="57"/>
        <v>3.7103762915084566</v>
      </c>
      <c r="AV89" s="1">
        <f t="shared" si="58"/>
        <v>451.2</v>
      </c>
      <c r="AW89" s="133">
        <f t="shared" si="59"/>
        <v>99.184372024714861</v>
      </c>
    </row>
    <row r="90" spans="17:49" x14ac:dyDescent="0.15">
      <c r="Q90">
        <v>83</v>
      </c>
      <c r="R90" s="132">
        <f t="shared" si="32"/>
        <v>60</v>
      </c>
      <c r="S90" s="1">
        <f t="shared" si="33"/>
        <v>7.52</v>
      </c>
      <c r="T90" s="1">
        <f t="shared" si="34"/>
        <v>41.24</v>
      </c>
      <c r="U90" s="133">
        <f t="shared" si="43"/>
        <v>10.940834141610086</v>
      </c>
      <c r="V90" s="132">
        <f>IF(Calculations!$B$17=3,2,IF((S90*R90/T90)&lt;((T90*(1-(T90/R90)))/(2*Lm*fsw)),1,2))</f>
        <v>2</v>
      </c>
      <c r="W90" s="1">
        <f t="shared" si="44"/>
        <v>0.31266666666666665</v>
      </c>
      <c r="X90" s="133">
        <f t="shared" si="35"/>
        <v>0.68733333333333335</v>
      </c>
      <c r="Y90" s="132">
        <f t="shared" si="36"/>
        <v>9.9187487179487164</v>
      </c>
      <c r="Z90" s="1">
        <f t="shared" si="45"/>
        <v>15.900208500584444</v>
      </c>
      <c r="AA90" s="1">
        <f t="shared" si="46"/>
        <v>11.309302206224087</v>
      </c>
      <c r="AB90" s="1">
        <v>0</v>
      </c>
      <c r="AC90" s="1">
        <f t="shared" si="47"/>
        <v>0.26219564860299521</v>
      </c>
      <c r="AD90" s="133">
        <f t="shared" si="48"/>
        <v>0.26219564860299521</v>
      </c>
      <c r="AE90" s="132">
        <f t="shared" si="60"/>
        <v>3.4208341416100869</v>
      </c>
      <c r="AF90" s="1">
        <f t="shared" si="49"/>
        <v>6.3237777943098559</v>
      </c>
      <c r="AG90" s="1">
        <f t="shared" si="37"/>
        <v>3.9990165591806424E-2</v>
      </c>
      <c r="AH90" s="1">
        <f t="shared" si="50"/>
        <v>0.68418150110149401</v>
      </c>
      <c r="AI90" s="133">
        <f t="shared" si="51"/>
        <v>0.72417166669330046</v>
      </c>
      <c r="AJ90" s="132">
        <f t="shared" si="52"/>
        <v>7.52</v>
      </c>
      <c r="AK90" s="1">
        <f t="shared" si="53"/>
        <v>9.3760413181629367</v>
      </c>
      <c r="AL90" s="1">
        <f t="shared" si="38"/>
        <v>8.791015079989857E-2</v>
      </c>
      <c r="AM90" s="1">
        <f t="shared" si="54"/>
        <v>0.26083200000000001</v>
      </c>
      <c r="AN90" s="136">
        <f t="shared" si="61"/>
        <v>0.13228973472486258</v>
      </c>
      <c r="AO90" s="133">
        <f t="shared" si="55"/>
        <v>0.48103188552476117</v>
      </c>
      <c r="AP90" s="132">
        <f t="shared" si="39"/>
        <v>0.25580063278341003</v>
      </c>
      <c r="AQ90" s="137">
        <f t="shared" si="40"/>
        <v>0.26219564860299521</v>
      </c>
      <c r="AR90" s="137">
        <f t="shared" si="41"/>
        <v>1.4953258038316739</v>
      </c>
      <c r="AS90" s="1">
        <f t="shared" si="42"/>
        <v>1.9759999999999996E-2</v>
      </c>
      <c r="AT90" s="133">
        <f t="shared" si="56"/>
        <v>0.16496000000000002</v>
      </c>
      <c r="AU90" s="132">
        <f t="shared" si="57"/>
        <v>3.6654412860391359</v>
      </c>
      <c r="AV90" s="1">
        <f t="shared" si="58"/>
        <v>451.2</v>
      </c>
      <c r="AW90" s="133">
        <f t="shared" si="59"/>
        <v>99.194170197745549</v>
      </c>
    </row>
    <row r="91" spans="17:49" x14ac:dyDescent="0.15">
      <c r="Q91">
        <v>84</v>
      </c>
      <c r="R91" s="132">
        <f t="shared" si="32"/>
        <v>60</v>
      </c>
      <c r="S91" s="1">
        <f t="shared" si="33"/>
        <v>7.52</v>
      </c>
      <c r="T91" s="1">
        <f t="shared" si="34"/>
        <v>41.52</v>
      </c>
      <c r="U91" s="133">
        <f t="shared" si="43"/>
        <v>10.867052023121387</v>
      </c>
      <c r="V91" s="132">
        <f>IF(Calculations!$B$17=3,2,IF((S91*R91/T91)&lt;((T91*(1-(T91/R91)))/(2*Lm*fsw)),1,2))</f>
        <v>2</v>
      </c>
      <c r="W91" s="1">
        <f t="shared" si="44"/>
        <v>0.30799999999999994</v>
      </c>
      <c r="X91" s="133">
        <f t="shared" si="35"/>
        <v>0.69200000000000006</v>
      </c>
      <c r="Y91" s="132">
        <f t="shared" si="36"/>
        <v>9.8370461538461527</v>
      </c>
      <c r="Z91" s="1">
        <f t="shared" si="45"/>
        <v>15.785575100044463</v>
      </c>
      <c r="AA91" s="1">
        <f t="shared" si="46"/>
        <v>11.231953351605183</v>
      </c>
      <c r="AB91" s="1">
        <v>0</v>
      </c>
      <c r="AC91" s="1">
        <f t="shared" si="47"/>
        <v>0.2586213909899015</v>
      </c>
      <c r="AD91" s="133">
        <f t="shared" si="48"/>
        <v>0.2586213909899015</v>
      </c>
      <c r="AE91" s="132">
        <f t="shared" si="60"/>
        <v>3.3470520231213863</v>
      </c>
      <c r="AF91" s="1">
        <f t="shared" si="49"/>
        <v>6.2334811330853928</v>
      </c>
      <c r="AG91" s="1">
        <f t="shared" si="37"/>
        <v>3.8856287036531559E-2</v>
      </c>
      <c r="AH91" s="1">
        <f t="shared" si="50"/>
        <v>0.67956756034262078</v>
      </c>
      <c r="AI91" s="133">
        <f t="shared" si="51"/>
        <v>0.71842384737915232</v>
      </c>
      <c r="AJ91" s="132">
        <f t="shared" si="52"/>
        <v>7.5200000000000005</v>
      </c>
      <c r="AK91" s="1">
        <f t="shared" si="53"/>
        <v>9.3434730724770318</v>
      </c>
      <c r="AL91" s="1">
        <f t="shared" si="38"/>
        <v>8.7300489056103395E-2</v>
      </c>
      <c r="AM91" s="1">
        <f t="shared" si="54"/>
        <v>0.26083200000000001</v>
      </c>
      <c r="AN91" s="136">
        <f t="shared" si="61"/>
        <v>0.13133598483236994</v>
      </c>
      <c r="AO91" s="133">
        <f t="shared" si="55"/>
        <v>0.47946847388847336</v>
      </c>
      <c r="AP91" s="132">
        <f t="shared" si="39"/>
        <v>0.2523135521852698</v>
      </c>
      <c r="AQ91" s="137">
        <f t="shared" si="40"/>
        <v>0.2586213909899015</v>
      </c>
      <c r="AR91" s="137">
        <f t="shared" si="41"/>
        <v>1.4670990891099609</v>
      </c>
      <c r="AS91" s="1">
        <f t="shared" si="42"/>
        <v>1.9759999999999996E-2</v>
      </c>
      <c r="AT91" s="133">
        <f t="shared" si="56"/>
        <v>0.16608000000000001</v>
      </c>
      <c r="AU91" s="132">
        <f t="shared" si="57"/>
        <v>3.6203877445426591</v>
      </c>
      <c r="AV91" s="1">
        <f t="shared" si="58"/>
        <v>451.2</v>
      </c>
      <c r="AW91" s="133">
        <f t="shared" si="59"/>
        <v>99.203996161540559</v>
      </c>
    </row>
    <row r="92" spans="17:49" x14ac:dyDescent="0.15">
      <c r="Q92">
        <v>85</v>
      </c>
      <c r="R92" s="132">
        <f t="shared" si="32"/>
        <v>60</v>
      </c>
      <c r="S92" s="1">
        <f t="shared" si="33"/>
        <v>7.52</v>
      </c>
      <c r="T92" s="1">
        <f t="shared" si="34"/>
        <v>41.8</v>
      </c>
      <c r="U92" s="133">
        <f t="shared" si="43"/>
        <v>10.794258373205743</v>
      </c>
      <c r="V92" s="132">
        <f>IF(Calculations!$B$17=3,2,IF((S92*R92/T92)&lt;((T92*(1-(T92/R92)))/(2*Lm*fsw)),1,2))</f>
        <v>2</v>
      </c>
      <c r="W92" s="1">
        <f t="shared" si="44"/>
        <v>0.30333333333333334</v>
      </c>
      <c r="X92" s="133">
        <f t="shared" si="35"/>
        <v>0.69666666666666666</v>
      </c>
      <c r="Y92" s="132">
        <f t="shared" si="36"/>
        <v>9.7533333333333321</v>
      </c>
      <c r="Z92" s="1">
        <f t="shared" si="45"/>
        <v>15.670925039872408</v>
      </c>
      <c r="AA92" s="1">
        <f t="shared" si="46"/>
        <v>11.155416012866345</v>
      </c>
      <c r="AB92" s="1">
        <v>0</v>
      </c>
      <c r="AC92" s="1">
        <f t="shared" si="47"/>
        <v>0.25510877816123545</v>
      </c>
      <c r="AD92" s="133">
        <f t="shared" si="48"/>
        <v>0.25510877816123545</v>
      </c>
      <c r="AE92" s="132">
        <f t="shared" si="60"/>
        <v>3.274258373205742</v>
      </c>
      <c r="AF92" s="1">
        <f t="shared" si="49"/>
        <v>6.1439240675186442</v>
      </c>
      <c r="AG92" s="1">
        <f t="shared" si="37"/>
        <v>3.7747802947434843E-2</v>
      </c>
      <c r="AH92" s="1">
        <f t="shared" si="50"/>
        <v>0.67501543314415358</v>
      </c>
      <c r="AI92" s="133">
        <f t="shared" si="51"/>
        <v>0.71276323609158843</v>
      </c>
      <c r="AJ92" s="132">
        <f t="shared" si="52"/>
        <v>7.5200000000000005</v>
      </c>
      <c r="AK92" s="1">
        <f t="shared" si="53"/>
        <v>9.3110420186292799</v>
      </c>
      <c r="AL92" s="1">
        <f t="shared" si="38"/>
        <v>8.6695503472680013E-2</v>
      </c>
      <c r="AM92" s="1">
        <f t="shared" si="54"/>
        <v>0.26083200000000001</v>
      </c>
      <c r="AN92" s="136">
        <f t="shared" si="61"/>
        <v>0.13038209633173845</v>
      </c>
      <c r="AO92" s="133">
        <f t="shared" si="55"/>
        <v>0.47790959980441849</v>
      </c>
      <c r="AP92" s="132">
        <f t="shared" si="39"/>
        <v>0.24888661284022973</v>
      </c>
      <c r="AQ92" s="137">
        <f t="shared" si="40"/>
        <v>0.25510877816123545</v>
      </c>
      <c r="AR92" s="137">
        <f t="shared" si="41"/>
        <v>1.4384932368179382</v>
      </c>
      <c r="AS92" s="1">
        <f t="shared" si="42"/>
        <v>1.9759999999999996E-2</v>
      </c>
      <c r="AT92" s="133">
        <f t="shared" si="56"/>
        <v>0.16719999999999999</v>
      </c>
      <c r="AU92" s="132">
        <f t="shared" si="57"/>
        <v>3.5752302418766453</v>
      </c>
      <c r="AV92" s="1">
        <f t="shared" si="58"/>
        <v>451.2</v>
      </c>
      <c r="AW92" s="133">
        <f t="shared" si="59"/>
        <v>99.213846752389074</v>
      </c>
    </row>
    <row r="93" spans="17:49" x14ac:dyDescent="0.15">
      <c r="Q93">
        <v>86</v>
      </c>
      <c r="R93" s="132">
        <f t="shared" si="32"/>
        <v>60</v>
      </c>
      <c r="S93" s="1">
        <f t="shared" si="33"/>
        <v>7.52</v>
      </c>
      <c r="T93" s="1">
        <f t="shared" si="34"/>
        <v>42.08</v>
      </c>
      <c r="U93" s="133">
        <f t="shared" si="43"/>
        <v>10.722433460076045</v>
      </c>
      <c r="V93" s="132">
        <f>IF(Calculations!$B$17=3,2,IF((S93*R93/T93)&lt;((T93*(1-(T93/R93)))/(2*Lm*fsw)),1,2))</f>
        <v>2</v>
      </c>
      <c r="W93" s="1">
        <f t="shared" si="44"/>
        <v>0.29866666666666675</v>
      </c>
      <c r="X93" s="133">
        <f t="shared" si="35"/>
        <v>0.70133333333333325</v>
      </c>
      <c r="Y93" s="132">
        <f t="shared" si="36"/>
        <v>9.6676102564102582</v>
      </c>
      <c r="Z93" s="1">
        <f t="shared" si="45"/>
        <v>15.556238588281175</v>
      </c>
      <c r="AA93" s="1">
        <f t="shared" si="46"/>
        <v>11.079672226420438</v>
      </c>
      <c r="AB93" s="1">
        <v>0</v>
      </c>
      <c r="AC93" s="1">
        <f t="shared" si="47"/>
        <v>0.25165623012207045</v>
      </c>
      <c r="AD93" s="133">
        <f t="shared" si="48"/>
        <v>0.25165623012207045</v>
      </c>
      <c r="AE93" s="132">
        <f t="shared" si="60"/>
        <v>3.2024334600760462</v>
      </c>
      <c r="AF93" s="1">
        <f t="shared" si="49"/>
        <v>6.055085643045345</v>
      </c>
      <c r="AG93" s="1">
        <f t="shared" si="37"/>
        <v>3.666406214461386E-2</v>
      </c>
      <c r="AH93" s="1">
        <f t="shared" si="50"/>
        <v>0.67052388558520937</v>
      </c>
      <c r="AI93" s="133">
        <f t="shared" si="51"/>
        <v>0.70718794772982319</v>
      </c>
      <c r="AJ93" s="132">
        <f t="shared" si="52"/>
        <v>7.5199999999999987</v>
      </c>
      <c r="AK93" s="1">
        <f t="shared" si="53"/>
        <v>9.2787431530514191</v>
      </c>
      <c r="AL93" s="1">
        <f t="shared" si="38"/>
        <v>8.6095074500298602E-2</v>
      </c>
      <c r="AM93" s="1">
        <f t="shared" si="54"/>
        <v>0.26083200000000001</v>
      </c>
      <c r="AN93" s="136">
        <f t="shared" si="61"/>
        <v>0.12942790505449939</v>
      </c>
      <c r="AO93" s="133">
        <f t="shared" si="55"/>
        <v>0.476354979554798</v>
      </c>
      <c r="AP93" s="132">
        <f t="shared" si="39"/>
        <v>0.24551827328982487</v>
      </c>
      <c r="AQ93" s="137">
        <f t="shared" si="40"/>
        <v>0.25165623012207045</v>
      </c>
      <c r="AR93" s="137">
        <f t="shared" si="41"/>
        <v>1.4095303841840254</v>
      </c>
      <c r="AS93" s="1">
        <f t="shared" si="42"/>
        <v>1.9759999999999996E-2</v>
      </c>
      <c r="AT93" s="133">
        <f t="shared" si="56"/>
        <v>0.16832</v>
      </c>
      <c r="AU93" s="132">
        <f t="shared" si="57"/>
        <v>3.5299840450026121</v>
      </c>
      <c r="AV93" s="1">
        <f t="shared" si="58"/>
        <v>451.2</v>
      </c>
      <c r="AW93" s="133">
        <f t="shared" si="59"/>
        <v>99.223718653078024</v>
      </c>
    </row>
    <row r="94" spans="17:49" x14ac:dyDescent="0.15">
      <c r="Q94">
        <v>87</v>
      </c>
      <c r="R94" s="132">
        <f t="shared" si="32"/>
        <v>60</v>
      </c>
      <c r="S94" s="1">
        <f t="shared" si="33"/>
        <v>7.52</v>
      </c>
      <c r="T94" s="1">
        <f t="shared" si="34"/>
        <v>42.36</v>
      </c>
      <c r="U94" s="133">
        <f t="shared" si="43"/>
        <v>10.651558073654391</v>
      </c>
      <c r="V94" s="132">
        <f>IF(Calculations!$B$17=3,2,IF((S94*R94/T94)&lt;((T94*(1-(T94/R94)))/(2*Lm*fsw)),1,2))</f>
        <v>2</v>
      </c>
      <c r="W94" s="1">
        <f t="shared" si="44"/>
        <v>0.29400000000000004</v>
      </c>
      <c r="X94" s="133">
        <f t="shared" si="35"/>
        <v>0.70599999999999996</v>
      </c>
      <c r="Y94" s="132">
        <f t="shared" si="36"/>
        <v>9.5798769230769238</v>
      </c>
      <c r="Z94" s="1">
        <f t="shared" si="45"/>
        <v>15.441496535192853</v>
      </c>
      <c r="AA94" s="1">
        <f t="shared" si="46"/>
        <v>11.004704731077849</v>
      </c>
      <c r="AB94" s="1">
        <v>0</v>
      </c>
      <c r="AC94" s="1">
        <f t="shared" si="47"/>
        <v>0.2482622287473247</v>
      </c>
      <c r="AD94" s="133">
        <f t="shared" si="48"/>
        <v>0.2482622287473247</v>
      </c>
      <c r="AE94" s="132">
        <f t="shared" si="60"/>
        <v>3.1315580736543911</v>
      </c>
      <c r="AF94" s="1">
        <f t="shared" si="49"/>
        <v>5.9669453414752267</v>
      </c>
      <c r="AG94" s="1">
        <f t="shared" si="37"/>
        <v>3.5604436708152908E-2</v>
      </c>
      <c r="AH94" s="1">
        <f t="shared" si="50"/>
        <v>0.6660917163698209</v>
      </c>
      <c r="AI94" s="133">
        <f t="shared" si="51"/>
        <v>0.70169615307797384</v>
      </c>
      <c r="AJ94" s="132">
        <f t="shared" si="52"/>
        <v>7.52</v>
      </c>
      <c r="AK94" s="1">
        <f t="shared" si="53"/>
        <v>9.2465717706647492</v>
      </c>
      <c r="AL94" s="1">
        <f t="shared" si="38"/>
        <v>8.5499089510054235E-2</v>
      </c>
      <c r="AM94" s="1">
        <f t="shared" si="54"/>
        <v>0.26083200000000001</v>
      </c>
      <c r="AN94" s="136">
        <f t="shared" si="61"/>
        <v>0.12847325117280456</v>
      </c>
      <c r="AO94" s="133">
        <f t="shared" si="55"/>
        <v>0.47480434068285882</v>
      </c>
      <c r="AP94" s="132">
        <f t="shared" si="39"/>
        <v>0.24220705243641438</v>
      </c>
      <c r="AQ94" s="137">
        <f t="shared" si="40"/>
        <v>0.2482622287473247</v>
      </c>
      <c r="AR94" s="137">
        <f t="shared" si="41"/>
        <v>1.3802330913810754</v>
      </c>
      <c r="AS94" s="1">
        <f t="shared" si="42"/>
        <v>1.9759999999999996E-2</v>
      </c>
      <c r="AT94" s="133">
        <f t="shared" si="56"/>
        <v>0.16944000000000001</v>
      </c>
      <c r="AU94" s="132">
        <f t="shared" si="57"/>
        <v>3.4846650950729714</v>
      </c>
      <c r="AV94" s="1">
        <f t="shared" si="58"/>
        <v>451.2</v>
      </c>
      <c r="AW94" s="133">
        <f t="shared" si="59"/>
        <v>99.233608396635873</v>
      </c>
    </row>
    <row r="95" spans="17:49" x14ac:dyDescent="0.15">
      <c r="Q95">
        <v>88</v>
      </c>
      <c r="R95" s="132">
        <f t="shared" si="32"/>
        <v>60</v>
      </c>
      <c r="S95" s="1">
        <f t="shared" si="33"/>
        <v>7.52</v>
      </c>
      <c r="T95" s="1">
        <f t="shared" si="34"/>
        <v>42.64</v>
      </c>
      <c r="U95" s="133">
        <f t="shared" si="43"/>
        <v>10.581613508442777</v>
      </c>
      <c r="V95" s="132">
        <f>IF(Calculations!$B$17=3,2,IF((S95*R95/T95)&lt;((T95*(1-(T95/R95)))/(2*Lm*fsw)),1,2))</f>
        <v>2</v>
      </c>
      <c r="W95" s="1">
        <f t="shared" si="44"/>
        <v>0.28933333333333333</v>
      </c>
      <c r="X95" s="133">
        <f t="shared" si="35"/>
        <v>0.71066666666666667</v>
      </c>
      <c r="Y95" s="132">
        <f t="shared" si="36"/>
        <v>9.4901333333333344</v>
      </c>
      <c r="Z95" s="1">
        <f t="shared" si="45"/>
        <v>15.326680175109445</v>
      </c>
      <c r="AA95" s="1">
        <f t="shared" si="46"/>
        <v>10.9304969541994</v>
      </c>
      <c r="AB95" s="1">
        <v>0</v>
      </c>
      <c r="AC95" s="1">
        <f t="shared" si="47"/>
        <v>0.24492531551481281</v>
      </c>
      <c r="AD95" s="133">
        <f t="shared" si="48"/>
        <v>0.24492531551481281</v>
      </c>
      <c r="AE95" s="132">
        <f t="shared" si="60"/>
        <v>3.0616135084427767</v>
      </c>
      <c r="AF95" s="1">
        <f t="shared" si="49"/>
        <v>5.8794830515922554</v>
      </c>
      <c r="AG95" s="1">
        <f t="shared" si="37"/>
        <v>3.4568320953960584E-2</v>
      </c>
      <c r="AH95" s="1">
        <f t="shared" si="50"/>
        <v>0.6617177557557602</v>
      </c>
      <c r="AI95" s="133">
        <f t="shared" si="51"/>
        <v>0.69628607670972076</v>
      </c>
      <c r="AJ95" s="132">
        <f t="shared" si="52"/>
        <v>7.52</v>
      </c>
      <c r="AK95" s="1">
        <f t="shared" si="53"/>
        <v>9.2145234663438664</v>
      </c>
      <c r="AL95" s="1">
        <f t="shared" si="38"/>
        <v>8.4907442711801784E-2</v>
      </c>
      <c r="AM95" s="1">
        <f t="shared" si="54"/>
        <v>0.26083200000000001</v>
      </c>
      <c r="AN95" s="136">
        <f t="shared" si="61"/>
        <v>0.12751797905691059</v>
      </c>
      <c r="AO95" s="133">
        <f t="shared" si="55"/>
        <v>0.47325742176871238</v>
      </c>
      <c r="AP95" s="132">
        <f t="shared" si="39"/>
        <v>0.23895152733152472</v>
      </c>
      <c r="AQ95" s="137">
        <f t="shared" si="40"/>
        <v>0.24492531551481281</v>
      </c>
      <c r="AR95" s="137">
        <f t="shared" si="41"/>
        <v>1.3506243327714424</v>
      </c>
      <c r="AS95" s="1">
        <f t="shared" si="42"/>
        <v>1.9759999999999996E-2</v>
      </c>
      <c r="AT95" s="133">
        <f t="shared" si="56"/>
        <v>0.17056000000000002</v>
      </c>
      <c r="AU95" s="132">
        <f t="shared" si="57"/>
        <v>3.4392899896110265</v>
      </c>
      <c r="AV95" s="1">
        <f t="shared" si="58"/>
        <v>451.2</v>
      </c>
      <c r="AW95" s="133">
        <f t="shared" si="59"/>
        <v>99.243512370061623</v>
      </c>
    </row>
    <row r="96" spans="17:49" x14ac:dyDescent="0.15">
      <c r="Q96">
        <v>89</v>
      </c>
      <c r="R96" s="132">
        <f t="shared" si="32"/>
        <v>60</v>
      </c>
      <c r="S96" s="1">
        <f t="shared" si="33"/>
        <v>7.52</v>
      </c>
      <c r="T96" s="1">
        <f t="shared" si="34"/>
        <v>42.92</v>
      </c>
      <c r="U96" s="133">
        <f t="shared" si="43"/>
        <v>10.512581547064306</v>
      </c>
      <c r="V96" s="132">
        <f>IF(Calculations!$B$17=3,2,IF((S96*R96/T96)&lt;((T96*(1-(T96/R96)))/(2*Lm*fsw)),1,2))</f>
        <v>2</v>
      </c>
      <c r="W96" s="1">
        <f t="shared" si="44"/>
        <v>0.28466666666666662</v>
      </c>
      <c r="X96" s="133">
        <f t="shared" si="35"/>
        <v>0.71533333333333338</v>
      </c>
      <c r="Y96" s="132">
        <f t="shared" si="36"/>
        <v>9.3983794871794863</v>
      </c>
      <c r="Z96" s="1">
        <f t="shared" si="45"/>
        <v>15.211771290654049</v>
      </c>
      <c r="AA96" s="1">
        <f t="shared" si="46"/>
        <v>10.857032998588057</v>
      </c>
      <c r="AB96" s="1">
        <v>0</v>
      </c>
      <c r="AC96" s="1">
        <f t="shared" si="47"/>
        <v>0.24164408934148141</v>
      </c>
      <c r="AD96" s="133">
        <f t="shared" si="48"/>
        <v>0.24164408934148141</v>
      </c>
      <c r="AE96" s="132">
        <f t="shared" si="60"/>
        <v>2.9925815470643053</v>
      </c>
      <c r="AF96" s="1">
        <f t="shared" si="49"/>
        <v>5.7926790395203485</v>
      </c>
      <c r="AG96" s="1">
        <f t="shared" si="37"/>
        <v>3.3555130454898392E-2</v>
      </c>
      <c r="AH96" s="1">
        <f t="shared" si="50"/>
        <v>0.65740086452529389</v>
      </c>
      <c r="AI96" s="133">
        <f t="shared" si="51"/>
        <v>0.69095599498019233</v>
      </c>
      <c r="AJ96" s="132">
        <f t="shared" si="52"/>
        <v>7.5200000000000005</v>
      </c>
      <c r="AK96" s="1">
        <f t="shared" si="53"/>
        <v>9.1825941366005903</v>
      </c>
      <c r="AL96" s="1">
        <f t="shared" si="38"/>
        <v>8.4320035077531538E-2</v>
      </c>
      <c r="AM96" s="1">
        <f t="shared" si="54"/>
        <v>0.26083200000000001</v>
      </c>
      <c r="AN96" s="136">
        <f t="shared" si="61"/>
        <v>0.12656193713824171</v>
      </c>
      <c r="AO96" s="133">
        <f t="shared" si="55"/>
        <v>0.47171397221577327</v>
      </c>
      <c r="AP96" s="132">
        <f t="shared" si="39"/>
        <v>0.23575033106485996</v>
      </c>
      <c r="AQ96" s="137">
        <f t="shared" si="40"/>
        <v>0.24164408934148141</v>
      </c>
      <c r="AR96" s="137">
        <f t="shared" si="41"/>
        <v>1.3207274878050663</v>
      </c>
      <c r="AS96" s="1">
        <f t="shared" si="42"/>
        <v>1.9759999999999996E-2</v>
      </c>
      <c r="AT96" s="133">
        <f t="shared" si="56"/>
        <v>0.17168</v>
      </c>
      <c r="AU96" s="132">
        <f t="shared" si="57"/>
        <v>3.3938759647488546</v>
      </c>
      <c r="AV96" s="1">
        <f t="shared" si="58"/>
        <v>451.2</v>
      </c>
      <c r="AW96" s="133">
        <f t="shared" si="59"/>
        <v>99.253426818048013</v>
      </c>
    </row>
    <row r="97" spans="17:49" x14ac:dyDescent="0.15">
      <c r="Q97">
        <v>90</v>
      </c>
      <c r="R97" s="132">
        <f t="shared" si="32"/>
        <v>60</v>
      </c>
      <c r="S97" s="1">
        <f t="shared" si="33"/>
        <v>7.52</v>
      </c>
      <c r="T97" s="1">
        <f t="shared" si="34"/>
        <v>43.2</v>
      </c>
      <c r="U97" s="133">
        <f t="shared" si="43"/>
        <v>10.444444444444443</v>
      </c>
      <c r="V97" s="132">
        <f>IF(Calculations!$B$17=3,2,IF((S97*R97/T97)&lt;((T97*(1-(T97/R97)))/(2*Lm*fsw)),1,2))</f>
        <v>2</v>
      </c>
      <c r="W97" s="1">
        <f t="shared" si="44"/>
        <v>0.27999999999999992</v>
      </c>
      <c r="X97" s="133">
        <f t="shared" si="35"/>
        <v>0.72000000000000008</v>
      </c>
      <c r="Y97" s="132">
        <f t="shared" si="36"/>
        <v>9.3046153846153814</v>
      </c>
      <c r="Z97" s="1">
        <f t="shared" si="45"/>
        <v>15.096752136752134</v>
      </c>
      <c r="AA97" s="1">
        <f t="shared" si="46"/>
        <v>10.784297630091084</v>
      </c>
      <c r="AB97" s="1">
        <v>0</v>
      </c>
      <c r="AC97" s="1">
        <f t="shared" si="47"/>
        <v>0.23841720451749571</v>
      </c>
      <c r="AD97" s="133">
        <f t="shared" si="48"/>
        <v>0.23841720451749571</v>
      </c>
      <c r="AE97" s="132">
        <f t="shared" si="60"/>
        <v>2.9244444444444433</v>
      </c>
      <c r="AF97" s="1">
        <f t="shared" si="49"/>
        <v>5.7065139187448475</v>
      </c>
      <c r="AG97" s="1">
        <f t="shared" si="37"/>
        <v>3.256430110482867E-2</v>
      </c>
      <c r="AH97" s="1">
        <f t="shared" si="50"/>
        <v>0.65313993299596307</v>
      </c>
      <c r="AI97" s="133">
        <f t="shared" si="51"/>
        <v>0.68570423410079173</v>
      </c>
      <c r="AJ97" s="132">
        <f t="shared" si="52"/>
        <v>7.52</v>
      </c>
      <c r="AK97" s="1">
        <f t="shared" si="53"/>
        <v>9.1507799814857034</v>
      </c>
      <c r="AL97" s="1">
        <f t="shared" si="38"/>
        <v>8.3736774269559486E-2</v>
      </c>
      <c r="AM97" s="1">
        <f t="shared" si="54"/>
        <v>0.26083200000000001</v>
      </c>
      <c r="AN97" s="136">
        <f t="shared" si="61"/>
        <v>0.12560497777777777</v>
      </c>
      <c r="AO97" s="133">
        <f t="shared" si="55"/>
        <v>0.47017375204733725</v>
      </c>
      <c r="AP97" s="132">
        <f t="shared" si="39"/>
        <v>0.23260215074877633</v>
      </c>
      <c r="AQ97" s="137">
        <f t="shared" si="40"/>
        <v>0.23841720451749571</v>
      </c>
      <c r="AR97" s="137">
        <f t="shared" si="41"/>
        <v>1.2905663315563862</v>
      </c>
      <c r="AS97" s="1">
        <f t="shared" si="42"/>
        <v>1.9759999999999996E-2</v>
      </c>
      <c r="AT97" s="133">
        <f t="shared" si="56"/>
        <v>0.17280000000000001</v>
      </c>
      <c r="AU97" s="132">
        <f t="shared" si="57"/>
        <v>3.348440877488283</v>
      </c>
      <c r="AV97" s="1">
        <f t="shared" si="58"/>
        <v>451.2</v>
      </c>
      <c r="AW97" s="133">
        <f t="shared" si="59"/>
        <v>99.263347846706012</v>
      </c>
    </row>
    <row r="98" spans="17:49" x14ac:dyDescent="0.15">
      <c r="Q98">
        <v>91</v>
      </c>
      <c r="R98" s="132">
        <f t="shared" si="32"/>
        <v>60</v>
      </c>
      <c r="S98" s="1">
        <f t="shared" si="33"/>
        <v>7.52</v>
      </c>
      <c r="T98" s="1">
        <f t="shared" si="34"/>
        <v>43.480000000000004</v>
      </c>
      <c r="U98" s="133">
        <f t="shared" si="43"/>
        <v>10.377184912603495</v>
      </c>
      <c r="V98" s="132">
        <f>IF(Calculations!$B$17=3,2,IF((S98*R98/T98)&lt;((T98*(1-(T98/R98)))/(2*Lm*fsw)),1,2))</f>
        <v>2</v>
      </c>
      <c r="W98" s="1">
        <f t="shared" si="44"/>
        <v>0.27533333333333332</v>
      </c>
      <c r="X98" s="133">
        <f t="shared" si="35"/>
        <v>0.72466666666666668</v>
      </c>
      <c r="Y98" s="132">
        <f t="shared" si="36"/>
        <v>9.2088410256410249</v>
      </c>
      <c r="Z98" s="1">
        <f t="shared" si="45"/>
        <v>14.981605425424007</v>
      </c>
      <c r="AA98" s="1">
        <f t="shared" si="46"/>
        <v>10.712276265885777</v>
      </c>
      <c r="AB98" s="1">
        <v>0</v>
      </c>
      <c r="AC98" s="1">
        <f t="shared" si="47"/>
        <v>0.23524336873315238</v>
      </c>
      <c r="AD98" s="133">
        <f t="shared" si="48"/>
        <v>0.23524336873315238</v>
      </c>
      <c r="AE98" s="132">
        <f t="shared" si="60"/>
        <v>2.8571849126034956</v>
      </c>
      <c r="AF98" s="1">
        <f t="shared" si="49"/>
        <v>5.6209686196728557</v>
      </c>
      <c r="AG98" s="1">
        <f t="shared" si="37"/>
        <v>3.1595288223346972E-2</v>
      </c>
      <c r="AH98" s="1">
        <f t="shared" si="50"/>
        <v>0.64893388006958619</v>
      </c>
      <c r="AI98" s="133">
        <f t="shared" si="51"/>
        <v>0.6805291682929332</v>
      </c>
      <c r="AJ98" s="132">
        <f t="shared" si="52"/>
        <v>7.52</v>
      </c>
      <c r="AK98" s="1">
        <f t="shared" si="53"/>
        <v>9.1190775067060788</v>
      </c>
      <c r="AL98" s="1">
        <f t="shared" si="38"/>
        <v>8.3157574573312756E-2</v>
      </c>
      <c r="AM98" s="1">
        <f t="shared" si="54"/>
        <v>0.26083200000000001</v>
      </c>
      <c r="AN98" s="136">
        <f t="shared" si="61"/>
        <v>0.12464695713952775</v>
      </c>
      <c r="AO98" s="133">
        <f t="shared" si="55"/>
        <v>0.46863653171284048</v>
      </c>
      <c r="AP98" s="132">
        <f t="shared" si="39"/>
        <v>0.22950572559331944</v>
      </c>
      <c r="AQ98" s="137">
        <f t="shared" si="40"/>
        <v>0.23524336873315238</v>
      </c>
      <c r="AR98" s="137">
        <f t="shared" si="41"/>
        <v>1.2601650248848997</v>
      </c>
      <c r="AS98" s="1">
        <f t="shared" si="42"/>
        <v>1.9759999999999996E-2</v>
      </c>
      <c r="AT98" s="133">
        <f t="shared" si="56"/>
        <v>0.17392000000000002</v>
      </c>
      <c r="AU98" s="132">
        <f t="shared" si="57"/>
        <v>3.3030031879502975</v>
      </c>
      <c r="AV98" s="1">
        <f t="shared" si="58"/>
        <v>451.2</v>
      </c>
      <c r="AW98" s="133">
        <f t="shared" si="59"/>
        <v>99.27327142729915</v>
      </c>
    </row>
    <row r="99" spans="17:49" x14ac:dyDescent="0.15">
      <c r="Q99">
        <v>92</v>
      </c>
      <c r="R99" s="132">
        <f t="shared" si="32"/>
        <v>60</v>
      </c>
      <c r="S99" s="1">
        <f t="shared" si="33"/>
        <v>7.52</v>
      </c>
      <c r="T99" s="1">
        <f t="shared" si="34"/>
        <v>43.760000000000005</v>
      </c>
      <c r="U99" s="133">
        <f t="shared" si="43"/>
        <v>10.310786106032905</v>
      </c>
      <c r="V99" s="132">
        <f>IF(Calculations!$B$17=3,2,IF((S99*R99/T99)&lt;((T99*(1-(T99/R99)))/(2*Lm*fsw)),1,2))</f>
        <v>2</v>
      </c>
      <c r="W99" s="1">
        <f t="shared" si="44"/>
        <v>0.27066666666666661</v>
      </c>
      <c r="X99" s="133">
        <f t="shared" si="35"/>
        <v>0.72933333333333339</v>
      </c>
      <c r="Y99" s="132">
        <f t="shared" si="36"/>
        <v>9.111056410256408</v>
      </c>
      <c r="Z99" s="1">
        <f t="shared" si="45"/>
        <v>14.866314311161108</v>
      </c>
      <c r="AA99" s="1">
        <f t="shared" si="46"/>
        <v>10.640954963423196</v>
      </c>
      <c r="AB99" s="1">
        <v>0</v>
      </c>
      <c r="AC99" s="1">
        <f t="shared" si="47"/>
        <v>0.23212134119388153</v>
      </c>
      <c r="AD99" s="133">
        <f t="shared" si="48"/>
        <v>0.23212134119388153</v>
      </c>
      <c r="AE99" s="132">
        <f t="shared" si="60"/>
        <v>2.7907861060329058</v>
      </c>
      <c r="AF99" s="1">
        <f t="shared" si="49"/>
        <v>5.5360243586074107</v>
      </c>
      <c r="AG99" s="1">
        <f t="shared" si="37"/>
        <v>3.0647565699094593E-2</v>
      </c>
      <c r="AH99" s="1">
        <f t="shared" si="50"/>
        <v>0.64478165231776985</v>
      </c>
      <c r="AI99" s="133">
        <f t="shared" si="51"/>
        <v>0.6754292180168644</v>
      </c>
      <c r="AJ99" s="132">
        <f t="shared" si="52"/>
        <v>7.52</v>
      </c>
      <c r="AK99" s="1">
        <f t="shared" si="53"/>
        <v>9.087483525955145</v>
      </c>
      <c r="AL99" s="1">
        <f t="shared" si="38"/>
        <v>8.2582356834506154E-2</v>
      </c>
      <c r="AM99" s="1">
        <f t="shared" si="54"/>
        <v>0.26083200000000001</v>
      </c>
      <c r="AN99" s="136">
        <f t="shared" si="61"/>
        <v>0.12368773506886044</v>
      </c>
      <c r="AO99" s="133">
        <f t="shared" si="55"/>
        <v>0.4671020919033666</v>
      </c>
      <c r="AP99" s="132">
        <f t="shared" si="39"/>
        <v>0.22645984506720152</v>
      </c>
      <c r="AQ99" s="137">
        <f t="shared" si="40"/>
        <v>0.23212134119388153</v>
      </c>
      <c r="AR99" s="137">
        <f t="shared" si="41"/>
        <v>1.229548104203084</v>
      </c>
      <c r="AS99" s="1">
        <f t="shared" si="42"/>
        <v>1.9759999999999996E-2</v>
      </c>
      <c r="AT99" s="133">
        <f t="shared" si="56"/>
        <v>0.17504000000000003</v>
      </c>
      <c r="AU99" s="132">
        <f t="shared" si="57"/>
        <v>3.2575819415782794</v>
      </c>
      <c r="AV99" s="1">
        <f t="shared" si="58"/>
        <v>451.2</v>
      </c>
      <c r="AW99" s="133">
        <f t="shared" si="59"/>
        <v>99.283193399995469</v>
      </c>
    </row>
    <row r="100" spans="17:49" x14ac:dyDescent="0.15">
      <c r="Q100">
        <v>93</v>
      </c>
      <c r="R100" s="132">
        <f t="shared" si="32"/>
        <v>60</v>
      </c>
      <c r="S100" s="1">
        <f t="shared" si="33"/>
        <v>7.52</v>
      </c>
      <c r="T100" s="1">
        <f t="shared" si="34"/>
        <v>44.040000000000006</v>
      </c>
      <c r="U100" s="133">
        <f t="shared" si="43"/>
        <v>10.245231607629426</v>
      </c>
      <c r="V100" s="132">
        <f>IF(Calculations!$B$17=3,2,IF((S100*R100/T100)&lt;((T100*(1-(T100/R100)))/(2*Lm*fsw)),1,2))</f>
        <v>2</v>
      </c>
      <c r="W100" s="1">
        <f t="shared" si="44"/>
        <v>0.2659999999999999</v>
      </c>
      <c r="X100" s="133">
        <f t="shared" si="35"/>
        <v>0.7340000000000001</v>
      </c>
      <c r="Y100" s="132">
        <f t="shared" si="36"/>
        <v>9.011261538461536</v>
      </c>
      <c r="Z100" s="1">
        <f t="shared" si="45"/>
        <v>14.750862376860194</v>
      </c>
      <c r="AA100" s="1">
        <f t="shared" si="46"/>
        <v>10.570320410005651</v>
      </c>
      <c r="AB100" s="1">
        <v>0</v>
      </c>
      <c r="AC100" s="1">
        <f t="shared" si="47"/>
        <v>0.22904993081887315</v>
      </c>
      <c r="AD100" s="133">
        <f t="shared" si="48"/>
        <v>0.22904993081887315</v>
      </c>
      <c r="AE100" s="132">
        <f t="shared" si="60"/>
        <v>2.7252316076294263</v>
      </c>
      <c r="AF100" s="1">
        <f t="shared" si="49"/>
        <v>5.4516626060008901</v>
      </c>
      <c r="AG100" s="1">
        <f t="shared" si="37"/>
        <v>2.9720625169668415E-2</v>
      </c>
      <c r="AH100" s="1">
        <f t="shared" si="50"/>
        <v>0.64068222310230727</v>
      </c>
      <c r="AI100" s="133">
        <f t="shared" si="51"/>
        <v>0.67040284827197572</v>
      </c>
      <c r="AJ100" s="132">
        <f t="shared" si="52"/>
        <v>7.52</v>
      </c>
      <c r="AK100" s="1">
        <f t="shared" si="53"/>
        <v>9.0559951634546287</v>
      </c>
      <c r="AL100" s="1">
        <f t="shared" si="38"/>
        <v>8.2011048400513625E-2</v>
      </c>
      <c r="AM100" s="1">
        <f t="shared" si="54"/>
        <v>0.26083200000000001</v>
      </c>
      <c r="AN100" s="136">
        <f t="shared" si="61"/>
        <v>0.12272717497547683</v>
      </c>
      <c r="AO100" s="133">
        <f t="shared" si="55"/>
        <v>0.46557022337599041</v>
      </c>
      <c r="AP100" s="132">
        <f t="shared" si="39"/>
        <v>0.22346334714036409</v>
      </c>
      <c r="AQ100" s="137">
        <f t="shared" si="40"/>
        <v>0.22904993081887315</v>
      </c>
      <c r="AR100" s="137">
        <f t="shared" si="41"/>
        <v>1.1987404708342324</v>
      </c>
      <c r="AS100" s="1">
        <f t="shared" si="42"/>
        <v>1.9759999999999996E-2</v>
      </c>
      <c r="AT100" s="133">
        <f t="shared" si="56"/>
        <v>0.17616000000000004</v>
      </c>
      <c r="AU100" s="132">
        <f t="shared" si="57"/>
        <v>3.2121967512603091</v>
      </c>
      <c r="AV100" s="1">
        <f t="shared" si="58"/>
        <v>451.2</v>
      </c>
      <c r="AW100" s="133">
        <f t="shared" si="59"/>
        <v>99.29310947764489</v>
      </c>
    </row>
    <row r="101" spans="17:49" x14ac:dyDescent="0.15">
      <c r="Q101">
        <v>94</v>
      </c>
      <c r="R101" s="132">
        <f t="shared" si="32"/>
        <v>60</v>
      </c>
      <c r="S101" s="1">
        <f t="shared" si="33"/>
        <v>7.52</v>
      </c>
      <c r="T101" s="1">
        <f t="shared" si="34"/>
        <v>44.320000000000007</v>
      </c>
      <c r="U101" s="133">
        <f t="shared" si="43"/>
        <v>10.180505415162452</v>
      </c>
      <c r="V101" s="132">
        <f>IF(Calculations!$B$17=3,2,IF((S101*R101/T101)&lt;((T101*(1-(T101/R101)))/(2*Lm*fsw)),1,2))</f>
        <v>2</v>
      </c>
      <c r="W101" s="1">
        <f t="shared" si="44"/>
        <v>0.2613333333333332</v>
      </c>
      <c r="X101" s="133">
        <f t="shared" si="35"/>
        <v>0.7386666666666668</v>
      </c>
      <c r="Y101" s="132">
        <f t="shared" si="36"/>
        <v>8.9094564102564071</v>
      </c>
      <c r="Z101" s="1">
        <f t="shared" si="45"/>
        <v>14.635233620290656</v>
      </c>
      <c r="AA101" s="1">
        <f t="shared" si="46"/>
        <v>10.500359912974742</v>
      </c>
      <c r="AB101" s="1">
        <v>0</v>
      </c>
      <c r="AC101" s="1">
        <f t="shared" si="47"/>
        <v>0.22602799451911421</v>
      </c>
      <c r="AD101" s="133">
        <f t="shared" si="48"/>
        <v>0.22602799451911421</v>
      </c>
      <c r="AE101" s="132">
        <f t="shared" si="60"/>
        <v>2.6605054151624525</v>
      </c>
      <c r="AF101" s="1">
        <f t="shared" si="49"/>
        <v>5.3678650538419648</v>
      </c>
      <c r="AG101" s="1">
        <f t="shared" si="37"/>
        <v>2.88139752362578E-2</v>
      </c>
      <c r="AH101" s="1">
        <f t="shared" si="50"/>
        <v>0.63663459172891712</v>
      </c>
      <c r="AI101" s="133">
        <f t="shared" si="51"/>
        <v>0.66544856696517496</v>
      </c>
      <c r="AJ101" s="132">
        <f t="shared" si="52"/>
        <v>7.52</v>
      </c>
      <c r="AK101" s="1">
        <f t="shared" si="53"/>
        <v>9.0246098567056698</v>
      </c>
      <c r="AL101" s="1">
        <f t="shared" si="38"/>
        <v>8.1443583065749128E-2</v>
      </c>
      <c r="AM101" s="1">
        <f t="shared" si="54"/>
        <v>0.26083200000000001</v>
      </c>
      <c r="AN101" s="136">
        <f t="shared" si="61"/>
        <v>0.12176514372081827</v>
      </c>
      <c r="AO101" s="133">
        <f t="shared" si="55"/>
        <v>0.46404072678656738</v>
      </c>
      <c r="AP101" s="132">
        <f t="shared" si="39"/>
        <v>0.22051511660401388</v>
      </c>
      <c r="AQ101" s="137">
        <f t="shared" si="40"/>
        <v>0.22602799451911421</v>
      </c>
      <c r="AR101" s="137">
        <f t="shared" si="41"/>
        <v>1.167767379941377</v>
      </c>
      <c r="AS101" s="1">
        <f t="shared" si="42"/>
        <v>1.9759999999999996E-2</v>
      </c>
      <c r="AT101" s="133">
        <f t="shared" si="56"/>
        <v>0.17728000000000002</v>
      </c>
      <c r="AU101" s="132">
        <f t="shared" si="57"/>
        <v>3.1668677793353615</v>
      </c>
      <c r="AV101" s="1">
        <f t="shared" si="58"/>
        <v>451.2</v>
      </c>
      <c r="AW101" s="133">
        <f t="shared" si="59"/>
        <v>99.303015249590473</v>
      </c>
    </row>
    <row r="102" spans="17:49" x14ac:dyDescent="0.15">
      <c r="Q102">
        <v>95</v>
      </c>
      <c r="R102" s="132">
        <f t="shared" si="32"/>
        <v>60</v>
      </c>
      <c r="S102" s="1">
        <f t="shared" si="33"/>
        <v>7.52</v>
      </c>
      <c r="T102" s="1">
        <f t="shared" si="34"/>
        <v>44.6</v>
      </c>
      <c r="U102" s="133">
        <f t="shared" si="43"/>
        <v>10.11659192825112</v>
      </c>
      <c r="V102" s="132">
        <f>IF(Calculations!$B$17=3,2,IF((S102*R102/T102)&lt;((T102*(1-(T102/R102)))/(2*Lm*fsw)),1,2))</f>
        <v>2</v>
      </c>
      <c r="W102" s="1">
        <f t="shared" si="44"/>
        <v>0.2566666666666666</v>
      </c>
      <c r="X102" s="133">
        <f t="shared" si="35"/>
        <v>0.7433333333333334</v>
      </c>
      <c r="Y102" s="132">
        <f t="shared" si="36"/>
        <v>8.8056410256410231</v>
      </c>
      <c r="Z102" s="1">
        <f t="shared" si="45"/>
        <v>14.519412441071632</v>
      </c>
      <c r="AA102" s="1">
        <f t="shared" si="46"/>
        <v>10.431061390487871</v>
      </c>
      <c r="AB102" s="1">
        <v>0</v>
      </c>
      <c r="AC102" s="1">
        <f t="shared" si="47"/>
        <v>0.22305443555085983</v>
      </c>
      <c r="AD102" s="133">
        <f t="shared" si="48"/>
        <v>0.22305443555085983</v>
      </c>
      <c r="AE102" s="132">
        <f t="shared" si="60"/>
        <v>2.5965919282511201</v>
      </c>
      <c r="AF102" s="1">
        <f t="shared" si="49"/>
        <v>5.2846135820176912</v>
      </c>
      <c r="AG102" s="1">
        <f t="shared" si="37"/>
        <v>2.7927140711245853E-2</v>
      </c>
      <c r="AH102" s="1">
        <f t="shared" si="50"/>
        <v>0.6326377826328613</v>
      </c>
      <c r="AI102" s="133">
        <f t="shared" si="51"/>
        <v>0.6605649233441071</v>
      </c>
      <c r="AJ102" s="132">
        <f t="shared" si="52"/>
        <v>7.52</v>
      </c>
      <c r="AK102" s="1">
        <f t="shared" si="53"/>
        <v>8.993325359447466</v>
      </c>
      <c r="AL102" s="1">
        <f t="shared" si="38"/>
        <v>8.0879901020880898E-2</v>
      </c>
      <c r="AM102" s="1">
        <f t="shared" si="54"/>
        <v>0.26083200000000001</v>
      </c>
      <c r="AN102" s="136">
        <f t="shared" si="61"/>
        <v>0.12080151150971599</v>
      </c>
      <c r="AO102" s="133">
        <f t="shared" si="55"/>
        <v>0.46251341253059686</v>
      </c>
      <c r="AP102" s="132">
        <f t="shared" si="39"/>
        <v>0.21761408346425354</v>
      </c>
      <c r="AQ102" s="137">
        <f t="shared" si="40"/>
        <v>0.22305443555085983</v>
      </c>
      <c r="AR102" s="137">
        <f t="shared" si="41"/>
        <v>1.1366544290071712</v>
      </c>
      <c r="AS102" s="1">
        <f t="shared" si="42"/>
        <v>1.9759999999999996E-2</v>
      </c>
      <c r="AT102" s="133">
        <f t="shared" si="56"/>
        <v>0.1784</v>
      </c>
      <c r="AU102" s="132">
        <f t="shared" si="57"/>
        <v>3.1216157194478482</v>
      </c>
      <c r="AV102" s="1">
        <f t="shared" si="58"/>
        <v>451.2</v>
      </c>
      <c r="AW102" s="133">
        <f t="shared" si="59"/>
        <v>99.312906185521328</v>
      </c>
    </row>
    <row r="103" spans="17:49" x14ac:dyDescent="0.15">
      <c r="Q103">
        <v>96</v>
      </c>
      <c r="R103" s="132">
        <f t="shared" si="32"/>
        <v>60</v>
      </c>
      <c r="S103" s="1">
        <f t="shared" ref="S103:S134" si="62">IOUT</f>
        <v>7.52</v>
      </c>
      <c r="T103" s="1">
        <f t="shared" ref="T103:T134" si="63">VIN_MIN+($O$12)*(Q103)</f>
        <v>44.88</v>
      </c>
      <c r="U103" s="133">
        <f t="shared" si="43"/>
        <v>10.053475935828876</v>
      </c>
      <c r="V103" s="132">
        <f>IF(Calculations!$B$17=3,2,IF((S103*R103/T103)&lt;((T103*(1-(T103/R103)))/(2*Lm*fsw)),1,2))</f>
        <v>2</v>
      </c>
      <c r="W103" s="1">
        <f t="shared" si="44"/>
        <v>0.252</v>
      </c>
      <c r="X103" s="133">
        <f t="shared" si="35"/>
        <v>0.748</v>
      </c>
      <c r="Y103" s="132">
        <f t="shared" si="36"/>
        <v>8.6998153846153841</v>
      </c>
      <c r="Z103" s="1">
        <f t="shared" si="45"/>
        <v>14.403383628136568</v>
      </c>
      <c r="AA103" s="1">
        <f t="shared" si="46"/>
        <v>10.362413362862092</v>
      </c>
      <c r="AB103" s="1">
        <v>0</v>
      </c>
      <c r="AC103" s="1">
        <f t="shared" si="47"/>
        <v>0.22012820194078683</v>
      </c>
      <c r="AD103" s="133">
        <f t="shared" si="48"/>
        <v>0.22012820194078683</v>
      </c>
      <c r="AE103" s="132">
        <f t="shared" si="60"/>
        <v>2.5334759358288768</v>
      </c>
      <c r="AF103" s="1">
        <f t="shared" si="49"/>
        <v>5.2018902234775535</v>
      </c>
      <c r="AG103" s="1">
        <f t="shared" si="37"/>
        <v>2.7059661897111353E-2</v>
      </c>
      <c r="AH103" s="1">
        <f t="shared" si="50"/>
        <v>0.62869084459504476</v>
      </c>
      <c r="AI103" s="133">
        <f t="shared" si="51"/>
        <v>0.65575050649215616</v>
      </c>
      <c r="AJ103" s="132">
        <f t="shared" si="52"/>
        <v>7.52</v>
      </c>
      <c r="AK103" s="1">
        <f t="shared" si="53"/>
        <v>8.9621397448216271</v>
      </c>
      <c r="AL103" s="1">
        <f t="shared" si="38"/>
        <v>8.0319948805711458E-2</v>
      </c>
      <c r="AM103" s="1">
        <f t="shared" si="54"/>
        <v>0.26083200000000001</v>
      </c>
      <c r="AN103" s="136">
        <f t="shared" si="61"/>
        <v>0.11983615178609626</v>
      </c>
      <c r="AO103" s="133">
        <f t="shared" si="55"/>
        <v>0.46098810059180773</v>
      </c>
      <c r="AP103" s="132">
        <f t="shared" si="39"/>
        <v>0.21475922140564571</v>
      </c>
      <c r="AQ103" s="137">
        <f t="shared" si="40"/>
        <v>0.22012820194078683</v>
      </c>
      <c r="AR103" s="137">
        <f t="shared" si="41"/>
        <v>1.105427545842929</v>
      </c>
      <c r="AS103" s="1">
        <f t="shared" si="42"/>
        <v>1.9759999999999996E-2</v>
      </c>
      <c r="AT103" s="133">
        <f t="shared" si="56"/>
        <v>0.17952000000000001</v>
      </c>
      <c r="AU103" s="132">
        <f t="shared" si="57"/>
        <v>3.0764617782141124</v>
      </c>
      <c r="AV103" s="1">
        <f t="shared" si="58"/>
        <v>451.2</v>
      </c>
      <c r="AW103" s="133">
        <f t="shared" si="59"/>
        <v>99.322777639375886</v>
      </c>
    </row>
    <row r="104" spans="17:49" x14ac:dyDescent="0.15">
      <c r="Q104">
        <v>97</v>
      </c>
      <c r="R104" s="132">
        <f t="shared" si="32"/>
        <v>60</v>
      </c>
      <c r="S104" s="1">
        <f t="shared" si="62"/>
        <v>7.52</v>
      </c>
      <c r="T104" s="1">
        <f t="shared" si="63"/>
        <v>45.160000000000004</v>
      </c>
      <c r="U104" s="133">
        <f t="shared" si="43"/>
        <v>9.9911426040744011</v>
      </c>
      <c r="V104" s="132">
        <f>IF(Calculations!$B$17=3,2,IF((S104*R104/T104)&lt;((T104*(1-(T104/R104)))/(2*Lm*fsw)),1,2))</f>
        <v>2</v>
      </c>
      <c r="W104" s="1">
        <f t="shared" si="44"/>
        <v>0.24733333333333329</v>
      </c>
      <c r="X104" s="133">
        <f t="shared" si="35"/>
        <v>0.75266666666666671</v>
      </c>
      <c r="Y104" s="132">
        <f t="shared" si="36"/>
        <v>8.5919794871794863</v>
      </c>
      <c r="Z104" s="1">
        <f t="shared" si="45"/>
        <v>14.287132347664144</v>
      </c>
      <c r="AA104" s="1">
        <f t="shared" si="46"/>
        <v>10.294404944465061</v>
      </c>
      <c r="AB104" s="1">
        <v>0</v>
      </c>
      <c r="AC104" s="1">
        <f t="shared" si="47"/>
        <v>0.21724828497928469</v>
      </c>
      <c r="AD104" s="133">
        <f t="shared" si="48"/>
        <v>0.21724828497928469</v>
      </c>
      <c r="AE104" s="132">
        <f t="shared" si="60"/>
        <v>2.4711426040744016</v>
      </c>
      <c r="AF104" s="1">
        <f t="shared" si="49"/>
        <v>5.119677128009311</v>
      </c>
      <c r="AG104" s="1">
        <f t="shared" si="37"/>
        <v>2.6211093895061665E-2</v>
      </c>
      <c r="AH104" s="1">
        <f t="shared" si="50"/>
        <v>0.62479284998728091</v>
      </c>
      <c r="AI104" s="133">
        <f t="shared" si="51"/>
        <v>0.65100394388234262</v>
      </c>
      <c r="AJ104" s="132">
        <f t="shared" si="52"/>
        <v>7.52</v>
      </c>
      <c r="AK104" s="1">
        <f t="shared" si="53"/>
        <v>8.9310514087404638</v>
      </c>
      <c r="AL104" s="1">
        <f t="shared" si="38"/>
        <v>7.9763679265565018E-2</v>
      </c>
      <c r="AM104" s="1">
        <f t="shared" si="54"/>
        <v>0.26083200000000001</v>
      </c>
      <c r="AN104" s="136">
        <f t="shared" si="61"/>
        <v>0.1188689411325657</v>
      </c>
      <c r="AO104" s="133">
        <f t="shared" si="55"/>
        <v>0.45946462039813069</v>
      </c>
      <c r="AP104" s="132">
        <f t="shared" si="39"/>
        <v>0.2119495463212534</v>
      </c>
      <c r="AQ104" s="137">
        <f t="shared" si="40"/>
        <v>0.21724828497928469</v>
      </c>
      <c r="AR104" s="137">
        <f t="shared" si="41"/>
        <v>1.0741129761034265</v>
      </c>
      <c r="AS104" s="1">
        <f t="shared" si="42"/>
        <v>1.9759999999999996E-2</v>
      </c>
      <c r="AT104" s="133">
        <f t="shared" si="56"/>
        <v>0.18064000000000002</v>
      </c>
      <c r="AU104" s="132">
        <f t="shared" si="57"/>
        <v>3.0314276566637228</v>
      </c>
      <c r="AV104" s="1">
        <f t="shared" si="58"/>
        <v>451.2</v>
      </c>
      <c r="AW104" s="133">
        <f t="shared" si="59"/>
        <v>99.332624853303841</v>
      </c>
    </row>
    <row r="105" spans="17:49" x14ac:dyDescent="0.15">
      <c r="Q105">
        <v>98</v>
      </c>
      <c r="R105" s="132">
        <f t="shared" si="32"/>
        <v>60</v>
      </c>
      <c r="S105" s="1">
        <f t="shared" si="62"/>
        <v>7.52</v>
      </c>
      <c r="T105" s="1">
        <f t="shared" si="63"/>
        <v>45.44</v>
      </c>
      <c r="U105" s="133">
        <f t="shared" si="43"/>
        <v>9.929577464788732</v>
      </c>
      <c r="V105" s="132">
        <f>IF(Calculations!$B$17=3,2,IF((S105*R105/T105)&lt;((T105*(1-(T105/R105)))/(2*Lm*fsw)),1,2))</f>
        <v>2</v>
      </c>
      <c r="W105" s="1">
        <f t="shared" si="44"/>
        <v>0.2426666666666667</v>
      </c>
      <c r="X105" s="133">
        <f t="shared" si="35"/>
        <v>0.7573333333333333</v>
      </c>
      <c r="Y105" s="132">
        <f t="shared" si="36"/>
        <v>8.4821333333333335</v>
      </c>
      <c r="Z105" s="1">
        <f t="shared" si="45"/>
        <v>14.170644131455399</v>
      </c>
      <c r="AA105" s="1">
        <f t="shared" si="46"/>
        <v>10.227025836133588</v>
      </c>
      <c r="AB105" s="1">
        <v>0</v>
      </c>
      <c r="AC105" s="1">
        <f t="shared" si="47"/>
        <v>0.21441371777853502</v>
      </c>
      <c r="AD105" s="133">
        <f t="shared" si="48"/>
        <v>0.21441371777853502</v>
      </c>
      <c r="AE105" s="132">
        <f t="shared" si="60"/>
        <v>2.4095774647887325</v>
      </c>
      <c r="AF105" s="1">
        <f t="shared" si="49"/>
        <v>5.0379565244168587</v>
      </c>
      <c r="AG105" s="1">
        <f t="shared" si="37"/>
        <v>2.5381005941914395E-2</v>
      </c>
      <c r="AH105" s="1">
        <f t="shared" si="50"/>
        <v>0.62094289404545799</v>
      </c>
      <c r="AI105" s="133">
        <f t="shared" si="51"/>
        <v>0.64632389998737239</v>
      </c>
      <c r="AJ105" s="132">
        <f t="shared" si="52"/>
        <v>7.52</v>
      </c>
      <c r="AK105" s="1">
        <f t="shared" si="53"/>
        <v>8.9000590734572942</v>
      </c>
      <c r="AL105" s="1">
        <f t="shared" si="38"/>
        <v>7.9211051511029515E-2</v>
      </c>
      <c r="AM105" s="1">
        <f t="shared" si="54"/>
        <v>0.26083200000000001</v>
      </c>
      <c r="AN105" s="136">
        <f t="shared" si="61"/>
        <v>0.11789975917370893</v>
      </c>
      <c r="AO105" s="133">
        <f t="shared" si="55"/>
        <v>0.45794281068473847</v>
      </c>
      <c r="AP105" s="132">
        <f t="shared" si="39"/>
        <v>0.20918411490588784</v>
      </c>
      <c r="AQ105" s="137">
        <f t="shared" si="40"/>
        <v>0.21441371777853502</v>
      </c>
      <c r="AR105" s="137">
        <f t="shared" si="41"/>
        <v>1.0427372702821058</v>
      </c>
      <c r="AS105" s="1">
        <f t="shared" si="42"/>
        <v>1.9759999999999996E-2</v>
      </c>
      <c r="AT105" s="133">
        <f t="shared" si="56"/>
        <v>0.18176</v>
      </c>
      <c r="AU105" s="132">
        <f t="shared" si="57"/>
        <v>2.9865355314171742</v>
      </c>
      <c r="AV105" s="1">
        <f t="shared" si="58"/>
        <v>451.2</v>
      </c>
      <c r="AW105" s="133">
        <f t="shared" si="59"/>
        <v>99.342442961695724</v>
      </c>
    </row>
    <row r="106" spans="17:49" x14ac:dyDescent="0.15">
      <c r="Q106">
        <v>99</v>
      </c>
      <c r="R106" s="132">
        <f t="shared" si="32"/>
        <v>60</v>
      </c>
      <c r="S106" s="1">
        <f t="shared" si="62"/>
        <v>7.52</v>
      </c>
      <c r="T106" s="1">
        <f t="shared" si="63"/>
        <v>45.72</v>
      </c>
      <c r="U106" s="133">
        <f t="shared" si="43"/>
        <v>9.8687664041994747</v>
      </c>
      <c r="V106" s="132">
        <f>IF(Calculations!$B$17=3,2,IF((S106*R106/T106)&lt;((T106*(1-(T106/R106)))/(2*Lm*fsw)),1,2))</f>
        <v>2</v>
      </c>
      <c r="W106" s="1">
        <f t="shared" si="44"/>
        <v>0.23799999999999999</v>
      </c>
      <c r="X106" s="133">
        <f t="shared" si="35"/>
        <v>0.76200000000000001</v>
      </c>
      <c r="Y106" s="132">
        <f t="shared" si="36"/>
        <v>8.3702769230769221</v>
      </c>
      <c r="Z106" s="1">
        <f t="shared" si="45"/>
        <v>14.053904865737936</v>
      </c>
      <c r="AA106" s="1">
        <f t="shared" si="46"/>
        <v>10.160266318101069</v>
      </c>
      <c r="AB106" s="1">
        <v>0</v>
      </c>
      <c r="AC106" s="1">
        <f t="shared" si="47"/>
        <v>0.21162357389221503</v>
      </c>
      <c r="AD106" s="133">
        <f t="shared" si="48"/>
        <v>0.21162357389221503</v>
      </c>
      <c r="AE106" s="132">
        <f t="shared" si="60"/>
        <v>2.3487664041994747</v>
      </c>
      <c r="AF106" s="1">
        <f t="shared" si="49"/>
        <v>4.9567106808676957</v>
      </c>
      <c r="AG106" s="1">
        <f t="shared" si="37"/>
        <v>2.4568980773827895E-2</v>
      </c>
      <c r="AH106" s="1">
        <f t="shared" si="50"/>
        <v>0.61714009416941407</v>
      </c>
      <c r="AI106" s="133">
        <f t="shared" si="51"/>
        <v>0.64170907494324192</v>
      </c>
      <c r="AJ106" s="132">
        <f t="shared" si="52"/>
        <v>7.52</v>
      </c>
      <c r="AK106" s="1">
        <f t="shared" si="53"/>
        <v>8.8691617913369445</v>
      </c>
      <c r="AL106" s="1">
        <f t="shared" si="38"/>
        <v>7.8662030880911157E-2</v>
      </c>
      <c r="AM106" s="1">
        <f t="shared" si="54"/>
        <v>0.26083200000000001</v>
      </c>
      <c r="AN106" s="136">
        <f t="shared" si="61"/>
        <v>0.11692848848293964</v>
      </c>
      <c r="AO106" s="133">
        <f t="shared" si="55"/>
        <v>0.45642251936385081</v>
      </c>
      <c r="AP106" s="132">
        <f t="shared" si="39"/>
        <v>0.2064620233094781</v>
      </c>
      <c r="AQ106" s="137">
        <f t="shared" si="40"/>
        <v>0.21162357389221503</v>
      </c>
      <c r="AR106" s="137">
        <f t="shared" si="41"/>
        <v>1.0113272701593607</v>
      </c>
      <c r="AS106" s="1">
        <f t="shared" si="42"/>
        <v>1.9759999999999996E-2</v>
      </c>
      <c r="AT106" s="133">
        <f t="shared" si="56"/>
        <v>0.18287999999999999</v>
      </c>
      <c r="AU106" s="132">
        <f t="shared" si="57"/>
        <v>2.9418080355603617</v>
      </c>
      <c r="AV106" s="1">
        <f t="shared" si="58"/>
        <v>451.2</v>
      </c>
      <c r="AW106" s="133">
        <f t="shared" si="59"/>
        <v>99.352226995289101</v>
      </c>
    </row>
    <row r="107" spans="17:49" x14ac:dyDescent="0.15">
      <c r="Q107">
        <v>100</v>
      </c>
      <c r="R107" s="132">
        <f t="shared" si="32"/>
        <v>60</v>
      </c>
      <c r="S107" s="1">
        <f t="shared" si="62"/>
        <v>7.52</v>
      </c>
      <c r="T107" s="1">
        <f t="shared" si="63"/>
        <v>46</v>
      </c>
      <c r="U107" s="133">
        <f t="shared" si="43"/>
        <v>9.8086956521739133</v>
      </c>
      <c r="V107" s="132">
        <f>IF(Calculations!$B$17=3,2,IF((S107*R107/T107)&lt;((T107*(1-(T107/R107)))/(2*Lm*fsw)),1,2))</f>
        <v>2</v>
      </c>
      <c r="W107" s="1">
        <f t="shared" si="44"/>
        <v>0.23333333333333328</v>
      </c>
      <c r="X107" s="133">
        <f t="shared" si="35"/>
        <v>0.76666666666666672</v>
      </c>
      <c r="Y107" s="132">
        <f t="shared" si="36"/>
        <v>8.2564102564102537</v>
      </c>
      <c r="Z107" s="1">
        <f t="shared" si="45"/>
        <v>13.936900780379041</v>
      </c>
      <c r="AA107" s="1">
        <f t="shared" si="46"/>
        <v>10.094117243415681</v>
      </c>
      <c r="AB107" s="1">
        <v>0</v>
      </c>
      <c r="AC107" s="1">
        <f t="shared" si="47"/>
        <v>0.20887696599383465</v>
      </c>
      <c r="AD107" s="133">
        <f t="shared" si="48"/>
        <v>0.20887696599383465</v>
      </c>
      <c r="AE107" s="132">
        <f t="shared" si="60"/>
        <v>2.2886956521739128</v>
      </c>
      <c r="AF107" s="1">
        <f t="shared" si="49"/>
        <v>4.8759218631514614</v>
      </c>
      <c r="AG107" s="1">
        <f t="shared" si="37"/>
        <v>2.3774614015558422E-2</v>
      </c>
      <c r="AH107" s="1">
        <f t="shared" si="50"/>
        <v>0.61338358924838288</v>
      </c>
      <c r="AI107" s="133">
        <f t="shared" si="51"/>
        <v>0.63715820326394135</v>
      </c>
      <c r="AJ107" s="132">
        <f t="shared" si="52"/>
        <v>7.5200000000000005</v>
      </c>
      <c r="AK107" s="1">
        <f t="shared" si="53"/>
        <v>8.8383589488243466</v>
      </c>
      <c r="AL107" s="1">
        <f t="shared" si="38"/>
        <v>7.811658890826341E-2</v>
      </c>
      <c r="AM107" s="1">
        <f t="shared" si="54"/>
        <v>0.26083200000000001</v>
      </c>
      <c r="AN107" s="136">
        <f t="shared" si="61"/>
        <v>0.11595501449275364</v>
      </c>
      <c r="AO107" s="133">
        <f t="shared" si="55"/>
        <v>0.45490360340101704</v>
      </c>
      <c r="AP107" s="132">
        <f t="shared" si="39"/>
        <v>0.20378240584764359</v>
      </c>
      <c r="AQ107" s="137">
        <f t="shared" si="40"/>
        <v>0.20887696599383465</v>
      </c>
      <c r="AR107" s="137">
        <f t="shared" si="41"/>
        <v>0.97991009467424051</v>
      </c>
      <c r="AS107" s="1">
        <f t="shared" si="42"/>
        <v>1.9759999999999996E-2</v>
      </c>
      <c r="AT107" s="133">
        <f t="shared" si="56"/>
        <v>0.184</v>
      </c>
      <c r="AU107" s="132">
        <f t="shared" si="57"/>
        <v>2.8972682391745117</v>
      </c>
      <c r="AV107" s="1">
        <f t="shared" si="58"/>
        <v>451.2</v>
      </c>
      <c r="AW107" s="133">
        <f t="shared" si="59"/>
        <v>99.361971885360802</v>
      </c>
    </row>
    <row r="108" spans="17:49" x14ac:dyDescent="0.15">
      <c r="Q108">
        <v>101</v>
      </c>
      <c r="R108" s="132">
        <f t="shared" si="32"/>
        <v>60</v>
      </c>
      <c r="S108" s="1">
        <f t="shared" si="62"/>
        <v>7.52</v>
      </c>
      <c r="T108" s="1">
        <f t="shared" si="63"/>
        <v>46.28</v>
      </c>
      <c r="U108" s="133">
        <f t="shared" si="43"/>
        <v>9.7493517718236813</v>
      </c>
      <c r="V108" s="132">
        <f>IF(Calculations!$B$17=3,2,IF((S108*R108/T108)&lt;((T108*(1-(T108/R108)))/(2*Lm*fsw)),1,2))</f>
        <v>2</v>
      </c>
      <c r="W108" s="1">
        <f t="shared" si="44"/>
        <v>0.22866666666666668</v>
      </c>
      <c r="X108" s="133">
        <f t="shared" si="35"/>
        <v>0.77133333333333332</v>
      </c>
      <c r="Y108" s="132">
        <f t="shared" si="36"/>
        <v>8.1405333333333338</v>
      </c>
      <c r="Z108" s="1">
        <f t="shared" si="45"/>
        <v>13.819618438490348</v>
      </c>
      <c r="AA108" s="1">
        <f t="shared" si="46"/>
        <v>10.028570031831764</v>
      </c>
      <c r="AB108" s="1">
        <v>0</v>
      </c>
      <c r="AC108" s="1">
        <f t="shared" si="47"/>
        <v>0.20617304461087596</v>
      </c>
      <c r="AD108" s="133">
        <f t="shared" si="48"/>
        <v>0.20617304461087596</v>
      </c>
      <c r="AE108" s="132">
        <f t="shared" si="60"/>
        <v>2.2293517718236822</v>
      </c>
      <c r="AF108" s="1">
        <f t="shared" si="49"/>
        <v>4.7955722905607052</v>
      </c>
      <c r="AG108" s="1">
        <f t="shared" si="37"/>
        <v>2.299751359399365E-2</v>
      </c>
      <c r="AH108" s="1">
        <f t="shared" si="50"/>
        <v>0.60967253901092511</v>
      </c>
      <c r="AI108" s="133">
        <f t="shared" si="51"/>
        <v>0.63267005260491871</v>
      </c>
      <c r="AJ108" s="132">
        <f t="shared" si="52"/>
        <v>7.52</v>
      </c>
      <c r="AK108" s="1">
        <f t="shared" si="53"/>
        <v>8.8076502706090967</v>
      </c>
      <c r="AL108" s="1">
        <f t="shared" si="38"/>
        <v>7.7574703289360503E-2</v>
      </c>
      <c r="AM108" s="1">
        <f t="shared" si="54"/>
        <v>0.26083200000000001</v>
      </c>
      <c r="AN108" s="136">
        <f t="shared" si="61"/>
        <v>0.11497922540823971</v>
      </c>
      <c r="AO108" s="133">
        <f t="shared" si="55"/>
        <v>0.45338592869760019</v>
      </c>
      <c r="AP108" s="132">
        <f t="shared" si="39"/>
        <v>0.20114443376670829</v>
      </c>
      <c r="AQ108" s="137">
        <f t="shared" si="40"/>
        <v>0.20617304461087596</v>
      </c>
      <c r="AR108" s="137">
        <f t="shared" si="41"/>
        <v>0.94851312518748321</v>
      </c>
      <c r="AS108" s="1">
        <f t="shared" si="42"/>
        <v>1.9759999999999996E-2</v>
      </c>
      <c r="AT108" s="133">
        <f t="shared" si="56"/>
        <v>0.18512000000000001</v>
      </c>
      <c r="AU108" s="132">
        <f t="shared" si="57"/>
        <v>2.8529396294784624</v>
      </c>
      <c r="AV108" s="1">
        <f t="shared" si="58"/>
        <v>451.2</v>
      </c>
      <c r="AW108" s="133">
        <f t="shared" si="59"/>
        <v>99.371672468015177</v>
      </c>
    </row>
    <row r="109" spans="17:49" x14ac:dyDescent="0.15">
      <c r="Q109">
        <v>102</v>
      </c>
      <c r="R109" s="132">
        <f t="shared" si="32"/>
        <v>60</v>
      </c>
      <c r="S109" s="1">
        <f t="shared" si="62"/>
        <v>7.52</v>
      </c>
      <c r="T109" s="1">
        <f t="shared" si="63"/>
        <v>46.56</v>
      </c>
      <c r="U109" s="133">
        <f t="shared" si="43"/>
        <v>9.6907216494845354</v>
      </c>
      <c r="V109" s="132">
        <f>IF(Calculations!$B$17=3,2,IF((S109*R109/T109)&lt;((T109*(1-(T109/R109)))/(2*Lm*fsw)),1,2))</f>
        <v>2</v>
      </c>
      <c r="W109" s="1">
        <f t="shared" si="44"/>
        <v>0.22399999999999998</v>
      </c>
      <c r="X109" s="133">
        <f t="shared" si="35"/>
        <v>0.77600000000000002</v>
      </c>
      <c r="Y109" s="132">
        <f t="shared" si="36"/>
        <v>8.0226461538461535</v>
      </c>
      <c r="Z109" s="1">
        <f t="shared" si="45"/>
        <v>13.702044726407612</v>
      </c>
      <c r="AA109" s="1">
        <f t="shared" si="46"/>
        <v>9.9636166641573229</v>
      </c>
      <c r="AB109" s="1">
        <v>0</v>
      </c>
      <c r="AC109" s="1">
        <f t="shared" si="47"/>
        <v>0.20351099691206065</v>
      </c>
      <c r="AD109" s="133">
        <f t="shared" si="48"/>
        <v>0.20351099691206065</v>
      </c>
      <c r="AE109" s="132">
        <f t="shared" si="60"/>
        <v>2.1707216494845358</v>
      </c>
      <c r="AF109" s="1">
        <f t="shared" si="49"/>
        <v>4.7156440890700448</v>
      </c>
      <c r="AG109" s="1">
        <f t="shared" si="37"/>
        <v>2.2237299174781254E-2</v>
      </c>
      <c r="AH109" s="1">
        <f t="shared" si="50"/>
        <v>0.60600612339831639</v>
      </c>
      <c r="AI109" s="133">
        <f t="shared" si="51"/>
        <v>0.62824342257309762</v>
      </c>
      <c r="AJ109" s="132">
        <f t="shared" si="52"/>
        <v>7.52</v>
      </c>
      <c r="AK109" s="1">
        <f t="shared" si="53"/>
        <v>8.7770358239836419</v>
      </c>
      <c r="AL109" s="1">
        <f t="shared" si="38"/>
        <v>7.7036357855492218E-2</v>
      </c>
      <c r="AM109" s="1">
        <f t="shared" si="54"/>
        <v>0.26083200000000001</v>
      </c>
      <c r="AN109" s="136">
        <f t="shared" si="61"/>
        <v>0.11400101212371135</v>
      </c>
      <c r="AO109" s="133">
        <f t="shared" si="55"/>
        <v>0.45186936997920357</v>
      </c>
      <c r="AP109" s="132">
        <f t="shared" si="39"/>
        <v>0.19854731406054699</v>
      </c>
      <c r="AQ109" s="137">
        <f t="shared" si="40"/>
        <v>0.20351099691206065</v>
      </c>
      <c r="AR109" s="137">
        <f t="shared" si="41"/>
        <v>0.91716399010095684</v>
      </c>
      <c r="AS109" s="1">
        <f t="shared" si="42"/>
        <v>1.9759999999999996E-2</v>
      </c>
      <c r="AT109" s="133">
        <f t="shared" si="56"/>
        <v>0.18624000000000002</v>
      </c>
      <c r="AU109" s="132">
        <f t="shared" si="57"/>
        <v>2.808846090537926</v>
      </c>
      <c r="AV109" s="1">
        <f t="shared" si="58"/>
        <v>451.2</v>
      </c>
      <c r="AW109" s="133">
        <f t="shared" si="59"/>
        <v>99.381323488578502</v>
      </c>
    </row>
    <row r="110" spans="17:49" x14ac:dyDescent="0.15">
      <c r="Q110">
        <v>103</v>
      </c>
      <c r="R110" s="132">
        <f t="shared" si="32"/>
        <v>60</v>
      </c>
      <c r="S110" s="1">
        <f t="shared" si="62"/>
        <v>7.52</v>
      </c>
      <c r="T110" s="1">
        <f t="shared" si="63"/>
        <v>46.84</v>
      </c>
      <c r="U110" s="133">
        <f t="shared" si="43"/>
        <v>9.6327924850555071</v>
      </c>
      <c r="V110" s="132">
        <f>IF(Calculations!$B$17=3,2,IF((S110*R110/T110)&lt;((T110*(1-(T110/R110)))/(2*Lm*fsw)),1,2))</f>
        <v>2</v>
      </c>
      <c r="W110" s="1">
        <f t="shared" si="44"/>
        <v>0.21933333333333327</v>
      </c>
      <c r="X110" s="133">
        <f t="shared" si="35"/>
        <v>0.78066666666666673</v>
      </c>
      <c r="Y110" s="132">
        <f t="shared" si="36"/>
        <v>7.9027487179487164</v>
      </c>
      <c r="Z110" s="1">
        <f t="shared" si="45"/>
        <v>13.584166844029866</v>
      </c>
      <c r="AA110" s="1">
        <f t="shared" si="46"/>
        <v>9.8992496770409417</v>
      </c>
      <c r="AB110" s="1">
        <v>0</v>
      </c>
      <c r="AC110" s="1">
        <f t="shared" si="47"/>
        <v>0.20089004554521012</v>
      </c>
      <c r="AD110" s="133">
        <f t="shared" si="48"/>
        <v>0.20089004554521012</v>
      </c>
      <c r="AE110" s="132">
        <f t="shared" si="60"/>
        <v>2.1127924850555071</v>
      </c>
      <c r="AF110" s="1">
        <f t="shared" si="49"/>
        <v>4.6361192414491104</v>
      </c>
      <c r="AG110" s="1">
        <f t="shared" si="37"/>
        <v>2.1493601620934676E-2</v>
      </c>
      <c r="AH110" s="1">
        <f t="shared" si="50"/>
        <v>0.60238354196041011</v>
      </c>
      <c r="AI110" s="133">
        <f t="shared" si="51"/>
        <v>0.62387714358134483</v>
      </c>
      <c r="AJ110" s="132">
        <f t="shared" si="52"/>
        <v>7.52</v>
      </c>
      <c r="AK110" s="1">
        <f t="shared" si="53"/>
        <v>8.7465160233924308</v>
      </c>
      <c r="AL110" s="1">
        <f t="shared" si="38"/>
        <v>7.6501542547460541E-2</v>
      </c>
      <c r="AM110" s="1">
        <f t="shared" si="54"/>
        <v>0.26083200000000001</v>
      </c>
      <c r="AN110" s="136">
        <f t="shared" si="61"/>
        <v>0.1130202681423285</v>
      </c>
      <c r="AO110" s="133">
        <f t="shared" si="55"/>
        <v>0.45035381068978908</v>
      </c>
      <c r="AP110" s="132">
        <f t="shared" si="39"/>
        <v>0.19599028833679039</v>
      </c>
      <c r="AQ110" s="137">
        <f t="shared" si="40"/>
        <v>0.20089004554521012</v>
      </c>
      <c r="AR110" s="137">
        <f t="shared" si="41"/>
        <v>0.88589054879559603</v>
      </c>
      <c r="AS110" s="1">
        <f t="shared" si="42"/>
        <v>1.9759999999999996E-2</v>
      </c>
      <c r="AT110" s="133">
        <f t="shared" si="56"/>
        <v>0.18736000000000003</v>
      </c>
      <c r="AU110" s="132">
        <f t="shared" si="57"/>
        <v>2.7650118824939405</v>
      </c>
      <c r="AV110" s="1">
        <f t="shared" si="58"/>
        <v>451.2</v>
      </c>
      <c r="AW110" s="133">
        <f t="shared" si="59"/>
        <v>99.3909196061106</v>
      </c>
    </row>
    <row r="111" spans="17:49" x14ac:dyDescent="0.15">
      <c r="Q111">
        <v>104</v>
      </c>
      <c r="R111" s="132">
        <f t="shared" si="32"/>
        <v>60</v>
      </c>
      <c r="S111" s="1">
        <f t="shared" si="62"/>
        <v>7.52</v>
      </c>
      <c r="T111" s="1">
        <f t="shared" si="63"/>
        <v>47.120000000000005</v>
      </c>
      <c r="U111" s="133">
        <f t="shared" si="43"/>
        <v>9.5755517826825116</v>
      </c>
      <c r="V111" s="132">
        <f>IF(Calculations!$B$17=3,2,IF((S111*R111/T111)&lt;((T111*(1-(T111/R111)))/(2*Lm*fsw)),1,2))</f>
        <v>2</v>
      </c>
      <c r="W111" s="1">
        <f t="shared" si="44"/>
        <v>0.21466666666666656</v>
      </c>
      <c r="X111" s="133">
        <f t="shared" si="35"/>
        <v>0.78533333333333344</v>
      </c>
      <c r="Y111" s="132">
        <f t="shared" si="36"/>
        <v>7.7808410256410223</v>
      </c>
      <c r="Z111" s="1">
        <f t="shared" si="45"/>
        <v>13.465972295503022</v>
      </c>
      <c r="AA111" s="1">
        <f t="shared" si="46"/>
        <v>9.8354621581817785</v>
      </c>
      <c r="AB111" s="1">
        <v>0</v>
      </c>
      <c r="AC111" s="1">
        <f t="shared" si="47"/>
        <v>0.19830944752330282</v>
      </c>
      <c r="AD111" s="133">
        <f t="shared" si="48"/>
        <v>0.19830944752330282</v>
      </c>
      <c r="AE111" s="132">
        <f t="shared" si="60"/>
        <v>2.0555517826825116</v>
      </c>
      <c r="AF111" s="1">
        <f t="shared" si="49"/>
        <v>4.5569795338972998</v>
      </c>
      <c r="AG111" s="1">
        <f t="shared" si="37"/>
        <v>2.0766062472358852E-2</v>
      </c>
      <c r="AH111" s="1">
        <f t="shared" si="50"/>
        <v>0.59880401327303923</v>
      </c>
      <c r="AI111" s="133">
        <f t="shared" si="51"/>
        <v>0.61957007574539813</v>
      </c>
      <c r="AJ111" s="132">
        <f t="shared" si="52"/>
        <v>7.5200000000000005</v>
      </c>
      <c r="AK111" s="1">
        <f t="shared" si="53"/>
        <v>8.7160916351692226</v>
      </c>
      <c r="AL111" s="1">
        <f t="shared" si="38"/>
        <v>7.5970253392666887E-2</v>
      </c>
      <c r="AM111" s="1">
        <f t="shared" si="54"/>
        <v>0.26083200000000001</v>
      </c>
      <c r="AN111" s="136">
        <f t="shared" si="61"/>
        <v>0.11203688949858516</v>
      </c>
      <c r="AO111" s="133">
        <f t="shared" si="55"/>
        <v>0.44883914289125204</v>
      </c>
      <c r="AP111" s="132">
        <f t="shared" si="39"/>
        <v>0.19347263173005155</v>
      </c>
      <c r="AQ111" s="137">
        <f t="shared" si="40"/>
        <v>0.19830944752330282</v>
      </c>
      <c r="AR111" s="137">
        <f t="shared" si="41"/>
        <v>0.85472087484645276</v>
      </c>
      <c r="AS111" s="1">
        <f t="shared" si="42"/>
        <v>1.9759999999999996E-2</v>
      </c>
      <c r="AT111" s="133">
        <f t="shared" si="56"/>
        <v>0.18848000000000001</v>
      </c>
      <c r="AU111" s="132">
        <f t="shared" si="57"/>
        <v>2.7214616202597606</v>
      </c>
      <c r="AV111" s="1">
        <f t="shared" si="58"/>
        <v>451.2</v>
      </c>
      <c r="AW111" s="133">
        <f t="shared" si="59"/>
        <v>99.40045539804494</v>
      </c>
    </row>
    <row r="112" spans="17:49" x14ac:dyDescent="0.15">
      <c r="Q112">
        <v>105</v>
      </c>
      <c r="R112" s="132">
        <f t="shared" si="32"/>
        <v>60</v>
      </c>
      <c r="S112" s="1">
        <f t="shared" si="62"/>
        <v>7.52</v>
      </c>
      <c r="T112" s="1">
        <f t="shared" si="63"/>
        <v>47.400000000000006</v>
      </c>
      <c r="U112" s="133">
        <f t="shared" si="43"/>
        <v>9.5189873417721511</v>
      </c>
      <c r="V112" s="132">
        <f>IF(Calculations!$B$17=3,2,IF((S112*R112/T112)&lt;((T112*(1-(T112/R112)))/(2*Lm*fsw)),1,2))</f>
        <v>2</v>
      </c>
      <c r="W112" s="1">
        <f t="shared" si="44"/>
        <v>0.20999999999999985</v>
      </c>
      <c r="X112" s="133">
        <f t="shared" si="35"/>
        <v>0.79000000000000015</v>
      </c>
      <c r="Y112" s="132">
        <f t="shared" si="36"/>
        <v>7.6569230769230714</v>
      </c>
      <c r="Z112" s="1">
        <f t="shared" si="45"/>
        <v>13.347448880233687</v>
      </c>
      <c r="AA112" s="1">
        <f t="shared" si="46"/>
        <v>9.7722477419464866</v>
      </c>
      <c r="AB112" s="1">
        <v>0</v>
      </c>
      <c r="AC112" s="1">
        <f t="shared" si="47"/>
        <v>0.19576849315645528</v>
      </c>
      <c r="AD112" s="133">
        <f t="shared" si="48"/>
        <v>0.19576849315645528</v>
      </c>
      <c r="AE112" s="132">
        <f t="shared" si="60"/>
        <v>1.9989873417721504</v>
      </c>
      <c r="AF112" s="1">
        <f t="shared" si="49"/>
        <v>4.4782064987331047</v>
      </c>
      <c r="AG112" s="1">
        <f t="shared" si="37"/>
        <v>2.0054333445295412E-2</v>
      </c>
      <c r="AH112" s="1">
        <f t="shared" si="50"/>
        <v>0.59526677437606779</v>
      </c>
      <c r="AI112" s="133">
        <f t="shared" si="51"/>
        <v>0.61532110782136318</v>
      </c>
      <c r="AJ112" s="132">
        <f t="shared" si="52"/>
        <v>7.5200000000000005</v>
      </c>
      <c r="AK112" s="1">
        <f t="shared" si="53"/>
        <v>8.6857637824593628</v>
      </c>
      <c r="AL112" s="1">
        <f t="shared" si="38"/>
        <v>7.544249248468278E-2</v>
      </c>
      <c r="AM112" s="1">
        <f t="shared" si="54"/>
        <v>0.26083200000000001</v>
      </c>
      <c r="AN112" s="136">
        <f t="shared" si="61"/>
        <v>0.11105077468354428</v>
      </c>
      <c r="AO112" s="133">
        <f t="shared" si="55"/>
        <v>0.44732526716822707</v>
      </c>
      <c r="AP112" s="132">
        <f t="shared" si="39"/>
        <v>0.1909936518599564</v>
      </c>
      <c r="AQ112" s="137">
        <f t="shared" si="40"/>
        <v>0.19576849315645528</v>
      </c>
      <c r="AR112" s="137">
        <f t="shared" si="41"/>
        <v>0.8236832384697379</v>
      </c>
      <c r="AS112" s="1">
        <f t="shared" si="42"/>
        <v>1.9759999999999996E-2</v>
      </c>
      <c r="AT112" s="133">
        <f t="shared" si="56"/>
        <v>0.18960000000000002</v>
      </c>
      <c r="AU112" s="132">
        <f t="shared" si="57"/>
        <v>2.6782202516321947</v>
      </c>
      <c r="AV112" s="1">
        <f t="shared" si="58"/>
        <v>451.2</v>
      </c>
      <c r="AW112" s="133">
        <f t="shared" si="59"/>
        <v>99.409925364969624</v>
      </c>
    </row>
    <row r="113" spans="17:49" x14ac:dyDescent="0.15">
      <c r="Q113">
        <v>106</v>
      </c>
      <c r="R113" s="132">
        <f t="shared" si="32"/>
        <v>60</v>
      </c>
      <c r="S113" s="1">
        <f t="shared" si="62"/>
        <v>7.52</v>
      </c>
      <c r="T113" s="1">
        <f t="shared" si="63"/>
        <v>47.680000000000007</v>
      </c>
      <c r="U113" s="133">
        <f t="shared" si="43"/>
        <v>9.4630872483221466</v>
      </c>
      <c r="V113" s="132">
        <f>IF(Calculations!$B$17=3,2,IF((S113*R113/T113)&lt;((T113*(1-(T113/R113)))/(2*Lm*fsw)),1,2))</f>
        <v>2</v>
      </c>
      <c r="W113" s="1">
        <f t="shared" si="44"/>
        <v>0.20533333333333326</v>
      </c>
      <c r="X113" s="133">
        <f t="shared" si="35"/>
        <v>0.79466666666666674</v>
      </c>
      <c r="Y113" s="132">
        <f t="shared" si="36"/>
        <v>7.5309948717948698</v>
      </c>
      <c r="Z113" s="1">
        <f t="shared" si="45"/>
        <v>13.228584684219582</v>
      </c>
      <c r="AA113" s="1">
        <f t="shared" si="46"/>
        <v>9.7096006053771653</v>
      </c>
      <c r="AB113" s="1">
        <v>0</v>
      </c>
      <c r="AC113" s="1">
        <f t="shared" si="47"/>
        <v>0.19326650502767823</v>
      </c>
      <c r="AD113" s="133">
        <f t="shared" si="48"/>
        <v>0.19326650502767823</v>
      </c>
      <c r="AE113" s="132">
        <f t="shared" si="60"/>
        <v>1.9430872483221466</v>
      </c>
      <c r="AF113" s="1">
        <f t="shared" si="49"/>
        <v>4.3997813526060359</v>
      </c>
      <c r="AG113" s="1">
        <f t="shared" si="37"/>
        <v>1.9358075950739798E-2</v>
      </c>
      <c r="AH113" s="1">
        <f t="shared" si="50"/>
        <v>0.59177108023124181</v>
      </c>
      <c r="AI113" s="133">
        <f t="shared" si="51"/>
        <v>0.6111291561819816</v>
      </c>
      <c r="AJ113" s="132">
        <f t="shared" si="52"/>
        <v>7.52</v>
      </c>
      <c r="AK113" s="1">
        <f t="shared" si="53"/>
        <v>8.6555339503233899</v>
      </c>
      <c r="AL113" s="1">
        <f t="shared" si="38"/>
        <v>7.4918267965200833E-2</v>
      </c>
      <c r="AM113" s="1">
        <f t="shared" si="54"/>
        <v>0.26083200000000001</v>
      </c>
      <c r="AN113" s="136">
        <f t="shared" si="61"/>
        <v>0.11006182457270694</v>
      </c>
      <c r="AO113" s="133">
        <f t="shared" si="55"/>
        <v>0.44581209253790777</v>
      </c>
      <c r="AP113" s="132">
        <f t="shared" si="39"/>
        <v>0.18855268783188123</v>
      </c>
      <c r="AQ113" s="137">
        <f t="shared" si="40"/>
        <v>0.19326650502767823</v>
      </c>
      <c r="AR113" s="137">
        <f t="shared" si="41"/>
        <v>0.79280608815245801</v>
      </c>
      <c r="AS113" s="1">
        <f t="shared" si="42"/>
        <v>1.9759999999999996E-2</v>
      </c>
      <c r="AT113" s="133">
        <f t="shared" si="56"/>
        <v>0.19072000000000003</v>
      </c>
      <c r="AU113" s="132">
        <f t="shared" si="57"/>
        <v>2.635313034759585</v>
      </c>
      <c r="AV113" s="1">
        <f t="shared" si="58"/>
        <v>451.2</v>
      </c>
      <c r="AW113" s="133">
        <f t="shared" si="59"/>
        <v>99.419323935562119</v>
      </c>
    </row>
    <row r="114" spans="17:49" x14ac:dyDescent="0.15">
      <c r="Q114">
        <v>107</v>
      </c>
      <c r="R114" s="132">
        <f t="shared" si="32"/>
        <v>60</v>
      </c>
      <c r="S114" s="1">
        <f t="shared" si="62"/>
        <v>7.52</v>
      </c>
      <c r="T114" s="1">
        <f t="shared" si="63"/>
        <v>47.960000000000008</v>
      </c>
      <c r="U114" s="133">
        <f t="shared" si="43"/>
        <v>9.4078398665554612</v>
      </c>
      <c r="V114" s="132">
        <f>IF(Calculations!$B$17=3,2,IF((S114*R114/T114)&lt;((T114*(1-(T114/R114)))/(2*Lm*fsw)),1,2))</f>
        <v>2</v>
      </c>
      <c r="W114" s="1">
        <f t="shared" si="44"/>
        <v>0.20066666666666655</v>
      </c>
      <c r="X114" s="133">
        <f t="shared" si="35"/>
        <v>0.79933333333333345</v>
      </c>
      <c r="Y114" s="132">
        <f t="shared" si="36"/>
        <v>7.4030564102564078</v>
      </c>
      <c r="Z114" s="1">
        <f t="shared" si="45"/>
        <v>13.109368071683665</v>
      </c>
      <c r="AA114" s="1">
        <f t="shared" si="46"/>
        <v>9.6475154645744663</v>
      </c>
      <c r="AB114" s="1">
        <v>0</v>
      </c>
      <c r="AC114" s="1">
        <f t="shared" si="47"/>
        <v>0.19080283701036713</v>
      </c>
      <c r="AD114" s="133">
        <f t="shared" si="48"/>
        <v>0.19080283701036713</v>
      </c>
      <c r="AE114" s="132">
        <f t="shared" si="60"/>
        <v>1.8878398665554614</v>
      </c>
      <c r="AF114" s="1">
        <f t="shared" si="49"/>
        <v>4.3216849296233395</v>
      </c>
      <c r="AG114" s="1">
        <f t="shared" si="37"/>
        <v>1.8676960630933489E-2</v>
      </c>
      <c r="AH114" s="1">
        <f t="shared" si="50"/>
        <v>0.58831620319903277</v>
      </c>
      <c r="AI114" s="133">
        <f t="shared" si="51"/>
        <v>0.60699316382996626</v>
      </c>
      <c r="AJ114" s="132">
        <f t="shared" si="52"/>
        <v>7.52</v>
      </c>
      <c r="AK114" s="1">
        <f t="shared" si="53"/>
        <v>8.6254039910180449</v>
      </c>
      <c r="AL114" s="1">
        <f t="shared" si="38"/>
        <v>7.4397594008270021E-2</v>
      </c>
      <c r="AM114" s="1">
        <f t="shared" si="54"/>
        <v>0.26083200000000001</v>
      </c>
      <c r="AN114" s="136">
        <f t="shared" si="61"/>
        <v>0.1090699423564081</v>
      </c>
      <c r="AO114" s="133">
        <f t="shared" si="55"/>
        <v>0.44429953636467812</v>
      </c>
      <c r="AP114" s="132">
        <f t="shared" si="39"/>
        <v>0.18614910927840697</v>
      </c>
      <c r="AQ114" s="137">
        <f t="shared" si="40"/>
        <v>0.19080283701036713</v>
      </c>
      <c r="AR114" s="137">
        <f t="shared" si="41"/>
        <v>0.7621180314105549</v>
      </c>
      <c r="AS114" s="1">
        <f t="shared" si="42"/>
        <v>1.9759999999999996E-2</v>
      </c>
      <c r="AT114" s="133">
        <f t="shared" si="56"/>
        <v>0.19184000000000004</v>
      </c>
      <c r="AU114" s="132">
        <f t="shared" si="57"/>
        <v>2.5927655149043405</v>
      </c>
      <c r="AV114" s="1">
        <f t="shared" si="58"/>
        <v>451.2</v>
      </c>
      <c r="AW114" s="133">
        <f t="shared" si="59"/>
        <v>99.428645471691823</v>
      </c>
    </row>
    <row r="115" spans="17:49" x14ac:dyDescent="0.15">
      <c r="Q115">
        <v>108</v>
      </c>
      <c r="R115" s="132">
        <f t="shared" si="32"/>
        <v>60</v>
      </c>
      <c r="S115" s="1">
        <f t="shared" si="62"/>
        <v>7.52</v>
      </c>
      <c r="T115" s="1">
        <f t="shared" si="63"/>
        <v>48.24</v>
      </c>
      <c r="U115" s="133">
        <f t="shared" si="43"/>
        <v>9.3532338308457703</v>
      </c>
      <c r="V115" s="132">
        <f>IF(Calculations!$B$17=3,2,IF((S115*R115/T115)&lt;((T115*(1-(T115/R115)))/(2*Lm*fsw)),1,2))</f>
        <v>2</v>
      </c>
      <c r="W115" s="1">
        <f t="shared" si="44"/>
        <v>0.19599999999999995</v>
      </c>
      <c r="X115" s="133">
        <f t="shared" si="35"/>
        <v>0.80400000000000005</v>
      </c>
      <c r="Y115" s="132">
        <f t="shared" si="36"/>
        <v>7.2731076923076907</v>
      </c>
      <c r="Z115" s="1">
        <f t="shared" si="45"/>
        <v>12.989787676999615</v>
      </c>
      <c r="AA115" s="1">
        <f t="shared" si="46"/>
        <v>9.5859875714400591</v>
      </c>
      <c r="AB115" s="1">
        <v>0</v>
      </c>
      <c r="AC115" s="1">
        <f t="shared" si="47"/>
        <v>0.18837687332559672</v>
      </c>
      <c r="AD115" s="133">
        <f t="shared" si="48"/>
        <v>0.18837687332559672</v>
      </c>
      <c r="AE115" s="132">
        <f t="shared" si="60"/>
        <v>1.8332338308457705</v>
      </c>
      <c r="AF115" s="1">
        <f t="shared" si="49"/>
        <v>4.2438976086943283</v>
      </c>
      <c r="AG115" s="1">
        <f t="shared" si="37"/>
        <v>1.8010666913081438E-2</v>
      </c>
      <c r="AH115" s="1">
        <f t="shared" si="50"/>
        <v>0.58490143253369842</v>
      </c>
      <c r="AI115" s="133">
        <f t="shared" si="51"/>
        <v>0.60291209944677981</v>
      </c>
      <c r="AJ115" s="132">
        <f t="shared" si="52"/>
        <v>7.52</v>
      </c>
      <c r="AK115" s="1">
        <f t="shared" si="53"/>
        <v>8.5953761294501732</v>
      </c>
      <c r="AL115" s="1">
        <f t="shared" si="38"/>
        <v>7.3880490806721835E-2</v>
      </c>
      <c r="AM115" s="1">
        <f t="shared" si="54"/>
        <v>0.26083200000000001</v>
      </c>
      <c r="AN115" s="136">
        <f t="shared" si="61"/>
        <v>0.10807503347263681</v>
      </c>
      <c r="AO115" s="133">
        <f t="shared" si="55"/>
        <v>0.44278752427935864</v>
      </c>
      <c r="AP115" s="132">
        <f t="shared" si="39"/>
        <v>0.18378231543960658</v>
      </c>
      <c r="AQ115" s="137">
        <f t="shared" si="40"/>
        <v>0.18837687332559672</v>
      </c>
      <c r="AR115" s="137">
        <f t="shared" si="41"/>
        <v>0.73164781461610917</v>
      </c>
      <c r="AS115" s="1">
        <f t="shared" si="42"/>
        <v>1.9759999999999996E-2</v>
      </c>
      <c r="AT115" s="133">
        <f t="shared" si="56"/>
        <v>0.19296000000000002</v>
      </c>
      <c r="AU115" s="132">
        <f t="shared" si="57"/>
        <v>2.5506035004330476</v>
      </c>
      <c r="AV115" s="1">
        <f t="shared" si="58"/>
        <v>451.2</v>
      </c>
      <c r="AW115" s="133">
        <f t="shared" si="59"/>
        <v>99.437884273705308</v>
      </c>
    </row>
    <row r="116" spans="17:49" x14ac:dyDescent="0.15">
      <c r="Q116">
        <v>109</v>
      </c>
      <c r="R116" s="132">
        <f t="shared" si="32"/>
        <v>60</v>
      </c>
      <c r="S116" s="1">
        <f t="shared" si="62"/>
        <v>7.52</v>
      </c>
      <c r="T116" s="1">
        <f t="shared" si="63"/>
        <v>48.52</v>
      </c>
      <c r="U116" s="133">
        <f t="shared" si="43"/>
        <v>9.299258037922506</v>
      </c>
      <c r="V116" s="132">
        <f>IF(Calculations!$B$17=3,2,IF((S116*R116/T116)&lt;((T116*(1-(T116/R116)))/(2*Lm*fsw)),1,2))</f>
        <v>2</v>
      </c>
      <c r="W116" s="1">
        <f t="shared" si="44"/>
        <v>0.19133333333333324</v>
      </c>
      <c r="X116" s="133">
        <f t="shared" si="35"/>
        <v>0.80866666666666676</v>
      </c>
      <c r="Y116" s="132">
        <f t="shared" si="36"/>
        <v>7.1411487179487141</v>
      </c>
      <c r="Z116" s="1">
        <f t="shared" si="45"/>
        <v>12.869832396896863</v>
      </c>
      <c r="AA116" s="1">
        <f t="shared" si="46"/>
        <v>9.525012710762546</v>
      </c>
      <c r="AB116" s="1">
        <v>0</v>
      </c>
      <c r="AC116" s="1">
        <f t="shared" si="47"/>
        <v>0.18598802763738551</v>
      </c>
      <c r="AD116" s="133">
        <f t="shared" si="48"/>
        <v>0.18598802763738551</v>
      </c>
      <c r="AE116" s="132">
        <f t="shared" si="60"/>
        <v>1.7792580379225054</v>
      </c>
      <c r="AF116" s="1">
        <f t="shared" si="49"/>
        <v>4.1663992342896403</v>
      </c>
      <c r="AG116" s="1">
        <f t="shared" si="37"/>
        <v>1.7358882579489299E-2</v>
      </c>
      <c r="AH116" s="1">
        <f t="shared" si="50"/>
        <v>0.58152607389582889</v>
      </c>
      <c r="AI116" s="133">
        <f t="shared" si="51"/>
        <v>0.59888495647531814</v>
      </c>
      <c r="AJ116" s="132">
        <f t="shared" si="52"/>
        <v>7.5200000000000005</v>
      </c>
      <c r="AK116" s="1">
        <f t="shared" si="53"/>
        <v>8.5654529687984819</v>
      </c>
      <c r="AL116" s="1">
        <f t="shared" si="38"/>
        <v>7.3366984560698734E-2</v>
      </c>
      <c r="AM116" s="1">
        <f t="shared" si="54"/>
        <v>0.26083200000000001</v>
      </c>
      <c r="AN116" s="136">
        <f t="shared" si="61"/>
        <v>0.10707700554218191</v>
      </c>
      <c r="AO116" s="133">
        <f t="shared" si="55"/>
        <v>0.44127599010288066</v>
      </c>
      <c r="AP116" s="132">
        <f t="shared" si="39"/>
        <v>0.18145173428037611</v>
      </c>
      <c r="AQ116" s="137">
        <f t="shared" si="40"/>
        <v>0.18598802763738551</v>
      </c>
      <c r="AR116" s="137">
        <f t="shared" si="41"/>
        <v>0.70142430182818494</v>
      </c>
      <c r="AS116" s="1">
        <f t="shared" si="42"/>
        <v>1.9759999999999996E-2</v>
      </c>
      <c r="AT116" s="133">
        <f t="shared" si="56"/>
        <v>0.19408000000000003</v>
      </c>
      <c r="AU116" s="132">
        <f t="shared" si="57"/>
        <v>2.508853037961531</v>
      </c>
      <c r="AV116" s="1">
        <f t="shared" si="58"/>
        <v>451.2</v>
      </c>
      <c r="AW116" s="133">
        <f t="shared" si="59"/>
        <v>99.447034585910615</v>
      </c>
    </row>
    <row r="117" spans="17:49" x14ac:dyDescent="0.15">
      <c r="Q117">
        <v>110</v>
      </c>
      <c r="R117" s="132">
        <f t="shared" si="32"/>
        <v>60</v>
      </c>
      <c r="S117" s="1">
        <f t="shared" si="62"/>
        <v>7.52</v>
      </c>
      <c r="T117" s="1">
        <f t="shared" si="63"/>
        <v>48.800000000000004</v>
      </c>
      <c r="U117" s="133">
        <f t="shared" si="43"/>
        <v>9.245901639344261</v>
      </c>
      <c r="V117" s="132">
        <f>IF(Calculations!$B$17=3,2,IF((S117*R117/T117)&lt;((T117*(1-(T117/R117)))/(2*Lm*fsw)),1,2))</f>
        <v>2</v>
      </c>
      <c r="W117" s="1">
        <f t="shared" si="44"/>
        <v>0.18666666666666665</v>
      </c>
      <c r="X117" s="133">
        <f t="shared" si="35"/>
        <v>0.81333333333333335</v>
      </c>
      <c r="Y117" s="132">
        <f t="shared" si="36"/>
        <v>7.0071794871794868</v>
      </c>
      <c r="Z117" s="1">
        <f t="shared" si="45"/>
        <v>12.749491382934004</v>
      </c>
      <c r="AA117" s="1">
        <f t="shared" si="46"/>
        <v>9.4645871976308591</v>
      </c>
      <c r="AB117" s="1">
        <v>0</v>
      </c>
      <c r="AC117" s="1">
        <f t="shared" si="47"/>
        <v>0.18363574218419379</v>
      </c>
      <c r="AD117" s="133">
        <f t="shared" si="48"/>
        <v>0.18363574218419379</v>
      </c>
      <c r="AE117" s="132">
        <f t="shared" si="60"/>
        <v>1.7259016393442619</v>
      </c>
      <c r="AF117" s="1">
        <f t="shared" si="49"/>
        <v>4.0891690296877536</v>
      </c>
      <c r="AG117" s="1">
        <f t="shared" si="37"/>
        <v>1.6721303353357485E-2</v>
      </c>
      <c r="AH117" s="1">
        <f t="shared" si="50"/>
        <v>0.57818944888167245</v>
      </c>
      <c r="AI117" s="133">
        <f t="shared" si="51"/>
        <v>0.59491075223502998</v>
      </c>
      <c r="AJ117" s="132">
        <f t="shared" si="52"/>
        <v>7.52</v>
      </c>
      <c r="AK117" s="1">
        <f t="shared" si="53"/>
        <v>8.5356374962975377</v>
      </c>
      <c r="AL117" s="1">
        <f t="shared" si="38"/>
        <v>7.2857107468200497E-2</v>
      </c>
      <c r="AM117" s="1">
        <f t="shared" si="54"/>
        <v>0.26083200000000001</v>
      </c>
      <c r="AN117" s="136">
        <f t="shared" si="61"/>
        <v>0.10607576830601093</v>
      </c>
      <c r="AO117" s="133">
        <f t="shared" si="55"/>
        <v>0.43976487577421142</v>
      </c>
      <c r="AP117" s="132">
        <f t="shared" si="39"/>
        <v>0.17915682164311592</v>
      </c>
      <c r="AQ117" s="137">
        <f t="shared" si="40"/>
        <v>0.18363574218419379</v>
      </c>
      <c r="AR117" s="137">
        <f t="shared" si="41"/>
        <v>0.67147645255518373</v>
      </c>
      <c r="AS117" s="1">
        <f t="shared" si="42"/>
        <v>1.9759999999999996E-2</v>
      </c>
      <c r="AT117" s="133">
        <f t="shared" si="56"/>
        <v>0.19520000000000001</v>
      </c>
      <c r="AU117" s="132">
        <f t="shared" si="57"/>
        <v>2.4675403865759287</v>
      </c>
      <c r="AV117" s="1">
        <f t="shared" si="58"/>
        <v>451.2</v>
      </c>
      <c r="AW117" s="133">
        <f t="shared" si="59"/>
        <v>99.456090602278209</v>
      </c>
    </row>
    <row r="118" spans="17:49" x14ac:dyDescent="0.15">
      <c r="Q118">
        <v>111</v>
      </c>
      <c r="R118" s="132">
        <f t="shared" si="32"/>
        <v>60</v>
      </c>
      <c r="S118" s="1">
        <f t="shared" si="62"/>
        <v>7.52</v>
      </c>
      <c r="T118" s="1">
        <f t="shared" si="63"/>
        <v>49.08</v>
      </c>
      <c r="U118" s="133">
        <f t="shared" si="43"/>
        <v>9.1931540342298295</v>
      </c>
      <c r="V118" s="132">
        <f>IF(Calculations!$B$17=3,2,IF((S118*R118/T118)&lt;((T118*(1-(T118/R118)))/(2*Lm*fsw)),1,2))</f>
        <v>2</v>
      </c>
      <c r="W118" s="1">
        <f t="shared" si="44"/>
        <v>0.18200000000000005</v>
      </c>
      <c r="X118" s="133">
        <f t="shared" si="35"/>
        <v>0.81799999999999995</v>
      </c>
      <c r="Y118" s="132">
        <f t="shared" si="36"/>
        <v>6.8712000000000018</v>
      </c>
      <c r="Z118" s="1">
        <f t="shared" si="45"/>
        <v>12.62875403422983</v>
      </c>
      <c r="AA118" s="1">
        <f t="shared" si="46"/>
        <v>9.4047078751589179</v>
      </c>
      <c r="AB118" s="1">
        <v>0</v>
      </c>
      <c r="AC118" s="1">
        <f t="shared" si="47"/>
        <v>0.18131948694500613</v>
      </c>
      <c r="AD118" s="133">
        <f t="shared" si="48"/>
        <v>0.18131948694500613</v>
      </c>
      <c r="AE118" s="132">
        <f t="shared" si="60"/>
        <v>1.6731540342298294</v>
      </c>
      <c r="AF118" s="1">
        <f t="shared" si="49"/>
        <v>4.0121855016322305</v>
      </c>
      <c r="AG118" s="1">
        <f t="shared" si="37"/>
        <v>1.6097632499507873E-2</v>
      </c>
      <c r="AH118" s="1">
        <f t="shared" si="50"/>
        <v>0.57489089456857412</v>
      </c>
      <c r="AI118" s="133">
        <f t="shared" si="51"/>
        <v>0.59098852706808203</v>
      </c>
      <c r="AJ118" s="132">
        <f t="shared" si="52"/>
        <v>7.5200000000000005</v>
      </c>
      <c r="AK118" s="1">
        <f t="shared" si="53"/>
        <v>8.5059330891777147</v>
      </c>
      <c r="AL118" s="1">
        <f t="shared" si="38"/>
        <v>7.2350897717568349E-2</v>
      </c>
      <c r="AM118" s="1">
        <f t="shared" si="54"/>
        <v>0.26083200000000001</v>
      </c>
      <c r="AN118" s="136">
        <f t="shared" si="61"/>
        <v>0.1050712335647922</v>
      </c>
      <c r="AO118" s="133">
        <f t="shared" si="55"/>
        <v>0.43825413128236057</v>
      </c>
      <c r="AP118" s="132">
        <f t="shared" si="39"/>
        <v>0.17689706043415235</v>
      </c>
      <c r="AQ118" s="137">
        <f t="shared" si="40"/>
        <v>0.18131948694500613</v>
      </c>
      <c r="AR118" s="137">
        <f t="shared" si="41"/>
        <v>0.64183329836885006</v>
      </c>
      <c r="AS118" s="1">
        <f t="shared" si="42"/>
        <v>1.9759999999999996E-2</v>
      </c>
      <c r="AT118" s="133">
        <f t="shared" si="56"/>
        <v>0.19631999999999999</v>
      </c>
      <c r="AU118" s="132">
        <f t="shared" si="57"/>
        <v>2.426691991043457</v>
      </c>
      <c r="AV118" s="1">
        <f t="shared" si="58"/>
        <v>451.2</v>
      </c>
      <c r="AW118" s="133">
        <f t="shared" si="59"/>
        <v>99.465046472377466</v>
      </c>
    </row>
    <row r="119" spans="17:49" x14ac:dyDescent="0.15">
      <c r="Q119">
        <v>112</v>
      </c>
      <c r="R119" s="132">
        <f t="shared" si="32"/>
        <v>60</v>
      </c>
      <c r="S119" s="1">
        <f t="shared" si="62"/>
        <v>7.52</v>
      </c>
      <c r="T119" s="1">
        <f t="shared" si="63"/>
        <v>49.36</v>
      </c>
      <c r="U119" s="133">
        <f t="shared" si="43"/>
        <v>9.1410048622366293</v>
      </c>
      <c r="V119" s="132">
        <f>IF(Calculations!$B$17=3,2,IF((S119*R119/T119)&lt;((T119*(1-(T119/R119)))/(2*Lm*fsw)),1,2))</f>
        <v>2</v>
      </c>
      <c r="W119" s="1">
        <f t="shared" si="44"/>
        <v>0.17733333333333334</v>
      </c>
      <c r="X119" s="133">
        <f t="shared" si="35"/>
        <v>0.82266666666666666</v>
      </c>
      <c r="Y119" s="132">
        <f t="shared" si="36"/>
        <v>6.7332102564102572</v>
      </c>
      <c r="Z119" s="1">
        <f t="shared" si="45"/>
        <v>12.507609990441757</v>
      </c>
      <c r="AA119" s="1">
        <f t="shared" si="46"/>
        <v>9.3453721125049931</v>
      </c>
      <c r="AB119" s="1">
        <v>0</v>
      </c>
      <c r="AC119" s="1">
        <f t="shared" si="47"/>
        <v>0.17903875883843134</v>
      </c>
      <c r="AD119" s="133">
        <f t="shared" si="48"/>
        <v>0.17903875883843134</v>
      </c>
      <c r="AE119" s="132">
        <f t="shared" si="60"/>
        <v>1.6210048622366291</v>
      </c>
      <c r="AF119" s="1">
        <f t="shared" si="49"/>
        <v>3.9354263351455323</v>
      </c>
      <c r="AG119" s="1">
        <f t="shared" si="37"/>
        <v>1.5487580439356994E-2</v>
      </c>
      <c r="AH119" s="1">
        <f t="shared" si="50"/>
        <v>0.57162976307588365</v>
      </c>
      <c r="AI119" s="133">
        <f t="shared" si="51"/>
        <v>0.58711734351524059</v>
      </c>
      <c r="AJ119" s="132">
        <f t="shared" si="52"/>
        <v>7.5200000000000005</v>
      </c>
      <c r="AK119" s="1">
        <f t="shared" si="53"/>
        <v>8.4763435207540443</v>
      </c>
      <c r="AL119" s="1">
        <f t="shared" si="38"/>
        <v>7.184839948182907E-2</v>
      </c>
      <c r="AM119" s="1">
        <f t="shared" si="54"/>
        <v>0.26083200000000001</v>
      </c>
      <c r="AN119" s="136">
        <f t="shared" si="61"/>
        <v>0.10406331512047544</v>
      </c>
      <c r="AO119" s="133">
        <f t="shared" si="55"/>
        <v>0.43674371460230454</v>
      </c>
      <c r="AP119" s="132">
        <f t="shared" si="39"/>
        <v>0.17467195984237208</v>
      </c>
      <c r="AQ119" s="137">
        <f t="shared" si="40"/>
        <v>0.17903875883843134</v>
      </c>
      <c r="AR119" s="137">
        <f t="shared" si="41"/>
        <v>0.61252391828151276</v>
      </c>
      <c r="AS119" s="1">
        <f t="shared" si="42"/>
        <v>1.9759999999999996E-2</v>
      </c>
      <c r="AT119" s="133">
        <f t="shared" si="56"/>
        <v>0.19744</v>
      </c>
      <c r="AU119" s="132">
        <f t="shared" si="57"/>
        <v>2.3863344539182929</v>
      </c>
      <c r="AV119" s="1">
        <f t="shared" si="58"/>
        <v>451.2</v>
      </c>
      <c r="AW119" s="133">
        <f t="shared" si="59"/>
        <v>99.473896307570371</v>
      </c>
    </row>
    <row r="120" spans="17:49" x14ac:dyDescent="0.15">
      <c r="Q120">
        <v>113</v>
      </c>
      <c r="R120" s="132">
        <f t="shared" si="32"/>
        <v>60</v>
      </c>
      <c r="S120" s="1">
        <f t="shared" si="62"/>
        <v>7.52</v>
      </c>
      <c r="T120" s="1">
        <f t="shared" si="63"/>
        <v>49.64</v>
      </c>
      <c r="U120" s="133">
        <f t="shared" si="43"/>
        <v>9.0894439967767919</v>
      </c>
      <c r="V120" s="132">
        <f>IF(Calculations!$B$17=3,2,IF((S120*R120/T120)&lt;((T120*(1-(T120/R120)))/(2*Lm*fsw)),1,2))</f>
        <v>2</v>
      </c>
      <c r="W120" s="1">
        <f t="shared" si="44"/>
        <v>0.17266666666666663</v>
      </c>
      <c r="X120" s="133">
        <f t="shared" si="35"/>
        <v>0.82733333333333337</v>
      </c>
      <c r="Y120" s="132">
        <f t="shared" si="36"/>
        <v>6.5932102564102557</v>
      </c>
      <c r="Z120" s="1">
        <f t="shared" si="45"/>
        <v>12.38604912498192</v>
      </c>
      <c r="AA120" s="1">
        <f t="shared" si="46"/>
        <v>9.2865778031689974</v>
      </c>
      <c r="AB120" s="1">
        <v>0</v>
      </c>
      <c r="AC120" s="1">
        <f t="shared" si="47"/>
        <v>0.17679308095333779</v>
      </c>
      <c r="AD120" s="133">
        <f t="shared" si="48"/>
        <v>0.17679308095333779</v>
      </c>
      <c r="AE120" s="132">
        <f t="shared" si="60"/>
        <v>1.5694439967767924</v>
      </c>
      <c r="AF120" s="1">
        <f t="shared" si="49"/>
        <v>3.8588682770320606</v>
      </c>
      <c r="AG120" s="1">
        <f t="shared" si="37"/>
        <v>1.4890864379484385E-2</v>
      </c>
      <c r="AH120" s="1">
        <f t="shared" si="50"/>
        <v>0.56840542114072545</v>
      </c>
      <c r="AI120" s="133">
        <f t="shared" si="51"/>
        <v>0.58329628552020985</v>
      </c>
      <c r="AJ120" s="132">
        <f t="shared" si="52"/>
        <v>7.52</v>
      </c>
      <c r="AK120" s="1">
        <f t="shared" si="53"/>
        <v>8.4468729666561657</v>
      </c>
      <c r="AL120" s="1">
        <f t="shared" si="38"/>
        <v>7.1349662914826736E-2</v>
      </c>
      <c r="AM120" s="1">
        <f t="shared" si="54"/>
        <v>0.26083200000000001</v>
      </c>
      <c r="AN120" s="136">
        <f t="shared" si="61"/>
        <v>0.10305192871984958</v>
      </c>
      <c r="AO120" s="133">
        <f t="shared" si="55"/>
        <v>0.43523359163467634</v>
      </c>
      <c r="AP120" s="132">
        <f t="shared" si="39"/>
        <v>0.17248105458862226</v>
      </c>
      <c r="AQ120" s="137">
        <f t="shared" si="40"/>
        <v>0.17679308095333779</v>
      </c>
      <c r="AR120" s="137">
        <f t="shared" si="41"/>
        <v>0.58357741278815523</v>
      </c>
      <c r="AS120" s="1">
        <f t="shared" si="42"/>
        <v>1.9759999999999996E-2</v>
      </c>
      <c r="AT120" s="133">
        <f t="shared" si="56"/>
        <v>0.19856000000000001</v>
      </c>
      <c r="AU120" s="132">
        <f t="shared" si="57"/>
        <v>2.3464945064383391</v>
      </c>
      <c r="AV120" s="1">
        <f t="shared" si="58"/>
        <v>451.2</v>
      </c>
      <c r="AW120" s="133">
        <f t="shared" si="59"/>
        <v>99.482634187484607</v>
      </c>
    </row>
    <row r="121" spans="17:49" x14ac:dyDescent="0.15">
      <c r="Q121">
        <v>114</v>
      </c>
      <c r="R121" s="132">
        <f t="shared" si="32"/>
        <v>60</v>
      </c>
      <c r="S121" s="1">
        <f t="shared" si="62"/>
        <v>7.52</v>
      </c>
      <c r="T121" s="1">
        <f t="shared" si="63"/>
        <v>49.92</v>
      </c>
      <c r="U121" s="133">
        <f t="shared" si="43"/>
        <v>9.0384615384615383</v>
      </c>
      <c r="V121" s="132">
        <f>IF(Calculations!$B$17=3,2,IF((S121*R121/T121)&lt;((T121*(1-(T121/R121)))/(2*Lm*fsw)),1,2))</f>
        <v>2</v>
      </c>
      <c r="W121" s="1">
        <f t="shared" si="44"/>
        <v>0.16799999999999993</v>
      </c>
      <c r="X121" s="133">
        <f t="shared" si="35"/>
        <v>0.83200000000000007</v>
      </c>
      <c r="Y121" s="132">
        <f t="shared" si="36"/>
        <v>6.4511999999999965</v>
      </c>
      <c r="Z121" s="1">
        <f t="shared" si="45"/>
        <v>12.264061538461537</v>
      </c>
      <c r="AA121" s="1">
        <f t="shared" si="46"/>
        <v>9.2283233635503095</v>
      </c>
      <c r="AB121" s="1">
        <v>0</v>
      </c>
      <c r="AC121" s="1">
        <f t="shared" si="47"/>
        <v>0.17458200180960939</v>
      </c>
      <c r="AD121" s="133">
        <f t="shared" si="48"/>
        <v>0.17458200180960939</v>
      </c>
      <c r="AE121" s="132">
        <f t="shared" si="60"/>
        <v>1.5184615384615379</v>
      </c>
      <c r="AF121" s="1">
        <f t="shared" si="49"/>
        <v>3.7824870063461877</v>
      </c>
      <c r="AG121" s="1">
        <f t="shared" si="37"/>
        <v>1.4307207953177746E-2</v>
      </c>
      <c r="AH121" s="1">
        <f t="shared" si="50"/>
        <v>0.56521724970804521</v>
      </c>
      <c r="AI121" s="133">
        <f t="shared" si="51"/>
        <v>0.57952445766122296</v>
      </c>
      <c r="AJ121" s="132">
        <f t="shared" si="52"/>
        <v>7.5200000000000005</v>
      </c>
      <c r="AK121" s="1">
        <f t="shared" si="53"/>
        <v>8.4175260111906258</v>
      </c>
      <c r="AL121" s="1">
        <f t="shared" si="38"/>
        <v>7.0854744149070767E-2</v>
      </c>
      <c r="AM121" s="1">
        <f t="shared" si="54"/>
        <v>0.26083200000000001</v>
      </c>
      <c r="AN121" s="136">
        <f t="shared" si="61"/>
        <v>0.10203699199999999</v>
      </c>
      <c r="AO121" s="133">
        <f t="shared" si="55"/>
        <v>0.43372373614907078</v>
      </c>
      <c r="AP121" s="132">
        <f t="shared" si="39"/>
        <v>0.170323904204497</v>
      </c>
      <c r="AQ121" s="137">
        <f t="shared" si="40"/>
        <v>0.17458200180960939</v>
      </c>
      <c r="AR121" s="137">
        <f t="shared" si="41"/>
        <v>0.55502287646366077</v>
      </c>
      <c r="AS121" s="1">
        <f t="shared" si="42"/>
        <v>1.9759999999999996E-2</v>
      </c>
      <c r="AT121" s="133">
        <f t="shared" si="56"/>
        <v>0.19968000000000002</v>
      </c>
      <c r="AU121" s="132">
        <f t="shared" si="57"/>
        <v>2.3071989780976705</v>
      </c>
      <c r="AV121" s="1">
        <f t="shared" si="58"/>
        <v>451.2</v>
      </c>
      <c r="AW121" s="133">
        <f t="shared" si="59"/>
        <v>99.491254166792373</v>
      </c>
    </row>
    <row r="122" spans="17:49" x14ac:dyDescent="0.15">
      <c r="Q122">
        <v>115</v>
      </c>
      <c r="R122" s="132">
        <f t="shared" si="32"/>
        <v>60</v>
      </c>
      <c r="S122" s="1">
        <f t="shared" si="62"/>
        <v>7.52</v>
      </c>
      <c r="T122" s="1">
        <f t="shared" si="63"/>
        <v>50.2</v>
      </c>
      <c r="U122" s="133">
        <f t="shared" si="43"/>
        <v>8.9880478087649394</v>
      </c>
      <c r="V122" s="132">
        <f>IF(Calculations!$B$17=3,2,IF((S122*R122/T122)&lt;((T122*(1-(T122/R122)))/(2*Lm*fsw)),1,2))</f>
        <v>2</v>
      </c>
      <c r="W122" s="1">
        <f t="shared" si="44"/>
        <v>0.16333333333333333</v>
      </c>
      <c r="X122" s="133">
        <f t="shared" si="35"/>
        <v>0.83666666666666667</v>
      </c>
      <c r="Y122" s="132">
        <f t="shared" si="36"/>
        <v>6.3071794871794875</v>
      </c>
      <c r="Z122" s="1">
        <f t="shared" si="45"/>
        <v>12.141637552354684</v>
      </c>
      <c r="AA122" s="1">
        <f t="shared" si="46"/>
        <v>9.170607731748337</v>
      </c>
      <c r="AB122" s="1">
        <v>0</v>
      </c>
      <c r="AC122" s="1">
        <f t="shared" si="47"/>
        <v>0.17240509464768486</v>
      </c>
      <c r="AD122" s="133">
        <f t="shared" si="48"/>
        <v>0.17240509464768486</v>
      </c>
      <c r="AE122" s="132">
        <f t="shared" si="60"/>
        <v>1.46804780876494</v>
      </c>
      <c r="AF122" s="1">
        <f t="shared" si="49"/>
        <v>3.7062569897901563</v>
      </c>
      <c r="AG122" s="1">
        <f t="shared" si="37"/>
        <v>1.3736340874368392E-2</v>
      </c>
      <c r="AH122" s="1">
        <f t="shared" si="50"/>
        <v>0.56206464353437469</v>
      </c>
      <c r="AI122" s="133">
        <f t="shared" si="51"/>
        <v>0.57580098440874306</v>
      </c>
      <c r="AJ122" s="132">
        <f t="shared" si="52"/>
        <v>7.52</v>
      </c>
      <c r="AK122" s="1">
        <f t="shared" si="53"/>
        <v>8.3883076538258887</v>
      </c>
      <c r="AL122" s="1">
        <f t="shared" si="38"/>
        <v>7.0363705295233989E-2</v>
      </c>
      <c r="AM122" s="1">
        <f t="shared" si="54"/>
        <v>0.26083200000000001</v>
      </c>
      <c r="AN122" s="136">
        <f t="shared" si="61"/>
        <v>0.10101842443559099</v>
      </c>
      <c r="AO122" s="133">
        <f t="shared" si="55"/>
        <v>0.43221412973082501</v>
      </c>
      <c r="AP122" s="132">
        <f t="shared" si="39"/>
        <v>0.16820009233920477</v>
      </c>
      <c r="AQ122" s="137">
        <f t="shared" si="40"/>
        <v>0.17240509464768486</v>
      </c>
      <c r="AR122" s="137">
        <f t="shared" si="41"/>
        <v>0.52688936899264849</v>
      </c>
      <c r="AS122" s="1">
        <f t="shared" si="42"/>
        <v>1.9759999999999996E-2</v>
      </c>
      <c r="AT122" s="133">
        <f t="shared" si="56"/>
        <v>0.20080000000000001</v>
      </c>
      <c r="AU122" s="132">
        <f t="shared" si="57"/>
        <v>2.2684747647667911</v>
      </c>
      <c r="AV122" s="1">
        <f t="shared" si="58"/>
        <v>451.2</v>
      </c>
      <c r="AW122" s="133">
        <f t="shared" si="59"/>
        <v>99.499750282322594</v>
      </c>
    </row>
    <row r="123" spans="17:49" x14ac:dyDescent="0.15">
      <c r="Q123">
        <v>116</v>
      </c>
      <c r="R123" s="132">
        <f t="shared" si="32"/>
        <v>60</v>
      </c>
      <c r="S123" s="1">
        <f t="shared" si="62"/>
        <v>7.52</v>
      </c>
      <c r="T123" s="1">
        <f t="shared" si="63"/>
        <v>50.480000000000004</v>
      </c>
      <c r="U123" s="133">
        <f t="shared" si="43"/>
        <v>8.9381933438985719</v>
      </c>
      <c r="V123" s="132">
        <f>IF(Calculations!$B$17=3,2,IF((S123*R123/T123)&lt;((T123*(1-(T123/R123)))/(2*Lm*fsw)),1,2))</f>
        <v>2</v>
      </c>
      <c r="W123" s="1">
        <f t="shared" si="44"/>
        <v>0.15866666666666662</v>
      </c>
      <c r="X123" s="133">
        <f t="shared" si="35"/>
        <v>0.84133333333333338</v>
      </c>
      <c r="Y123" s="132">
        <f t="shared" si="36"/>
        <v>6.1611487179487163</v>
      </c>
      <c r="Z123" s="1">
        <f t="shared" si="45"/>
        <v>12.01876770287293</v>
      </c>
      <c r="AA123" s="1">
        <f t="shared" si="46"/>
        <v>9.113430366587334</v>
      </c>
      <c r="AB123" s="1">
        <v>0</v>
      </c>
      <c r="AC123" s="1">
        <f t="shared" si="47"/>
        <v>0.17026195674560407</v>
      </c>
      <c r="AD123" s="133">
        <f t="shared" si="48"/>
        <v>0.17026195674560407</v>
      </c>
      <c r="AE123" s="132">
        <f t="shared" si="60"/>
        <v>1.418193343898573</v>
      </c>
      <c r="AF123" s="1">
        <f t="shared" si="49"/>
        <v>3.6301513196283706</v>
      </c>
      <c r="AG123" s="1">
        <f t="shared" si="37"/>
        <v>1.3177998603399601E-2</v>
      </c>
      <c r="AH123" s="1">
        <f t="shared" si="50"/>
        <v>0.55894701080478626</v>
      </c>
      <c r="AI123" s="133">
        <f t="shared" si="51"/>
        <v>0.57212500940818589</v>
      </c>
      <c r="AJ123" s="132">
        <f t="shared" si="52"/>
        <v>7.5199999999999987</v>
      </c>
      <c r="AK123" s="1">
        <f t="shared" si="53"/>
        <v>8.3592233157893663</v>
      </c>
      <c r="AL123" s="1">
        <f t="shared" si="38"/>
        <v>6.9876614443236562E-2</v>
      </c>
      <c r="AM123" s="1">
        <f t="shared" si="54"/>
        <v>0.26083200000000001</v>
      </c>
      <c r="AN123" s="136">
        <f t="shared" si="61"/>
        <v>9.9996147287902792E-2</v>
      </c>
      <c r="AO123" s="133">
        <f t="shared" si="55"/>
        <v>0.43070476173113936</v>
      </c>
      <c r="AP123" s="132">
        <f t="shared" si="39"/>
        <v>0.16610922609327231</v>
      </c>
      <c r="AQ123" s="137">
        <f t="shared" si="40"/>
        <v>0.17026195674560407</v>
      </c>
      <c r="AR123" s="137">
        <f t="shared" si="41"/>
        <v>0.49920588449432757</v>
      </c>
      <c r="AS123" s="1">
        <f t="shared" si="42"/>
        <v>1.9759999999999996E-2</v>
      </c>
      <c r="AT123" s="133">
        <f t="shared" si="56"/>
        <v>0.20192000000000002</v>
      </c>
      <c r="AU123" s="132">
        <f t="shared" si="57"/>
        <v>2.2303487952181333</v>
      </c>
      <c r="AV123" s="1">
        <f t="shared" si="58"/>
        <v>451.2</v>
      </c>
      <c r="AW123" s="133">
        <f t="shared" si="59"/>
        <v>99.50811656053807</v>
      </c>
    </row>
    <row r="124" spans="17:49" x14ac:dyDescent="0.15">
      <c r="Q124">
        <v>117</v>
      </c>
      <c r="R124" s="132">
        <f t="shared" si="32"/>
        <v>60</v>
      </c>
      <c r="S124" s="1">
        <f t="shared" si="62"/>
        <v>7.52</v>
      </c>
      <c r="T124" s="1">
        <f t="shared" si="63"/>
        <v>50.760000000000005</v>
      </c>
      <c r="U124" s="133">
        <f t="shared" si="43"/>
        <v>8.8888888888888875</v>
      </c>
      <c r="V124" s="132">
        <f>IF(Calculations!$B$17=3,2,IF((S124*R124/T124)&lt;((T124*(1-(T124/R124)))/(2*Lm*fsw)),1,2))</f>
        <v>2</v>
      </c>
      <c r="W124" s="1">
        <f t="shared" si="44"/>
        <v>0.15399999999999991</v>
      </c>
      <c r="X124" s="133">
        <f t="shared" si="35"/>
        <v>0.84600000000000009</v>
      </c>
      <c r="Y124" s="132">
        <f t="shared" si="36"/>
        <v>6.01310769230769</v>
      </c>
      <c r="Z124" s="1">
        <f t="shared" si="45"/>
        <v>11.895442735042732</v>
      </c>
      <c r="AA124" s="1">
        <f t="shared" si="46"/>
        <v>9.0567912468463767</v>
      </c>
      <c r="AB124" s="1">
        <v>0</v>
      </c>
      <c r="AC124" s="1">
        <f t="shared" si="47"/>
        <v>0.16815220876235393</v>
      </c>
      <c r="AD124" s="133">
        <f t="shared" si="48"/>
        <v>0.16815220876235393</v>
      </c>
      <c r="AE124" s="132">
        <f t="shared" si="60"/>
        <v>1.3688888888888879</v>
      </c>
      <c r="AF124" s="1">
        <f t="shared" si="49"/>
        <v>3.5541415312419367</v>
      </c>
      <c r="AG124" s="1">
        <f t="shared" si="37"/>
        <v>1.2631922024098777E-2</v>
      </c>
      <c r="AH124" s="1">
        <f t="shared" si="50"/>
        <v>0.55586377276252197</v>
      </c>
      <c r="AI124" s="133">
        <f t="shared" si="51"/>
        <v>0.56849569478662076</v>
      </c>
      <c r="AJ124" s="132">
        <f t="shared" si="52"/>
        <v>7.52</v>
      </c>
      <c r="AK124" s="1">
        <f t="shared" si="53"/>
        <v>8.3302788467646369</v>
      </c>
      <c r="AL124" s="1">
        <f t="shared" si="38"/>
        <v>6.9393545664854367E-2</v>
      </c>
      <c r="AM124" s="1">
        <f t="shared" si="54"/>
        <v>0.26083200000000001</v>
      </c>
      <c r="AN124" s="136">
        <f t="shared" si="61"/>
        <v>9.8970083555555532E-2</v>
      </c>
      <c r="AO124" s="133">
        <f t="shared" si="55"/>
        <v>0.42919562922040994</v>
      </c>
      <c r="AP124" s="132">
        <f t="shared" si="39"/>
        <v>0.1640509353779063</v>
      </c>
      <c r="AQ124" s="137">
        <f t="shared" si="40"/>
        <v>0.16815220876235393</v>
      </c>
      <c r="AR124" s="137">
        <f t="shared" si="41"/>
        <v>0.47200131898763087</v>
      </c>
      <c r="AS124" s="1">
        <f t="shared" si="42"/>
        <v>1.9759999999999996E-2</v>
      </c>
      <c r="AT124" s="133">
        <f t="shared" si="56"/>
        <v>0.20304000000000003</v>
      </c>
      <c r="AU124" s="132">
        <f t="shared" si="57"/>
        <v>2.1928479958972757</v>
      </c>
      <c r="AV124" s="1">
        <f t="shared" si="58"/>
        <v>451.2</v>
      </c>
      <c r="AW124" s="133">
        <f t="shared" si="59"/>
        <v>99.516347025412912</v>
      </c>
    </row>
    <row r="125" spans="17:49" x14ac:dyDescent="0.15">
      <c r="Q125">
        <v>118</v>
      </c>
      <c r="R125" s="132">
        <f t="shared" si="32"/>
        <v>60</v>
      </c>
      <c r="S125" s="1">
        <f t="shared" si="62"/>
        <v>7.52</v>
      </c>
      <c r="T125" s="1">
        <f t="shared" si="63"/>
        <v>51.040000000000006</v>
      </c>
      <c r="U125" s="133">
        <f t="shared" si="43"/>
        <v>8.8401253918495293</v>
      </c>
      <c r="V125" s="132">
        <f>IF(Calculations!$B$17=3,2,IF((S125*R125/T125)&lt;((T125*(1-(T125/R125)))/(2*Lm*fsw)),1,2))</f>
        <v>2</v>
      </c>
      <c r="W125" s="1">
        <f t="shared" si="44"/>
        <v>0.14933333333333321</v>
      </c>
      <c r="X125" s="133">
        <f t="shared" si="35"/>
        <v>0.85066666666666679</v>
      </c>
      <c r="Y125" s="132">
        <f t="shared" si="36"/>
        <v>5.863056410256406</v>
      </c>
      <c r="Z125" s="1">
        <f t="shared" si="45"/>
        <v>11.771653596977732</v>
      </c>
      <c r="AA125" s="1">
        <f t="shared" si="46"/>
        <v>9.0006908706745126</v>
      </c>
      <c r="AB125" s="1">
        <v>0</v>
      </c>
      <c r="AC125" s="1">
        <f t="shared" si="47"/>
        <v>0.16607549410635919</v>
      </c>
      <c r="AD125" s="133">
        <f t="shared" si="48"/>
        <v>0.16607549410635919</v>
      </c>
      <c r="AE125" s="132">
        <f t="shared" si="60"/>
        <v>1.3201253918495286</v>
      </c>
      <c r="AF125" s="1">
        <f t="shared" si="49"/>
        <v>3.4781973968781905</v>
      </c>
      <c r="AG125" s="1">
        <f t="shared" si="37"/>
        <v>1.209785713165022E-2</v>
      </c>
      <c r="AH125" s="1">
        <f t="shared" si="50"/>
        <v>0.55281436335081524</v>
      </c>
      <c r="AI125" s="133">
        <f t="shared" si="51"/>
        <v>0.56491222048246548</v>
      </c>
      <c r="AJ125" s="132">
        <f t="shared" si="52"/>
        <v>7.5200000000000005</v>
      </c>
      <c r="AK125" s="1">
        <f t="shared" si="53"/>
        <v>8.3014805316758586</v>
      </c>
      <c r="AL125" s="1">
        <f t="shared" si="38"/>
        <v>6.8914579017793298E-2</v>
      </c>
      <c r="AM125" s="1">
        <f t="shared" si="54"/>
        <v>0.26083200000000001</v>
      </c>
      <c r="AN125" s="136">
        <f t="shared" si="61"/>
        <v>9.7940157926854746E-2</v>
      </c>
      <c r="AO125" s="133">
        <f t="shared" si="55"/>
        <v>0.42768673694464804</v>
      </c>
      <c r="AP125" s="132">
        <f t="shared" si="39"/>
        <v>0.16202487229888704</v>
      </c>
      <c r="AQ125" s="137">
        <f t="shared" si="40"/>
        <v>0.16607549410635919</v>
      </c>
      <c r="AR125" s="137">
        <f t="shared" si="41"/>
        <v>0.44530443582179019</v>
      </c>
      <c r="AS125" s="1">
        <f t="shared" si="42"/>
        <v>1.9759999999999996E-2</v>
      </c>
      <c r="AT125" s="133">
        <f t="shared" si="56"/>
        <v>0.20416000000000004</v>
      </c>
      <c r="AU125" s="132">
        <f t="shared" si="57"/>
        <v>2.155999253760509</v>
      </c>
      <c r="AV125" s="1">
        <f t="shared" si="58"/>
        <v>451.2</v>
      </c>
      <c r="AW125" s="133">
        <f t="shared" si="59"/>
        <v>99.524435706749358</v>
      </c>
    </row>
    <row r="126" spans="17:49" x14ac:dyDescent="0.15">
      <c r="Q126">
        <v>119</v>
      </c>
      <c r="R126" s="132">
        <f t="shared" si="32"/>
        <v>60</v>
      </c>
      <c r="S126" s="1">
        <f t="shared" si="62"/>
        <v>7.52</v>
      </c>
      <c r="T126" s="1">
        <f t="shared" si="63"/>
        <v>51.32</v>
      </c>
      <c r="U126" s="133">
        <f t="shared" si="43"/>
        <v>8.7918939984411537</v>
      </c>
      <c r="V126" s="132">
        <f>IF(Calculations!$B$17=3,2,IF((S126*R126/T126)&lt;((T126*(1-(T126/R126)))/(2*Lm*fsw)),1,2))</f>
        <v>2</v>
      </c>
      <c r="W126" s="1">
        <f t="shared" si="44"/>
        <v>0.14466666666666661</v>
      </c>
      <c r="X126" s="133">
        <f t="shared" si="35"/>
        <v>0.85533333333333339</v>
      </c>
      <c r="Y126" s="132">
        <f t="shared" si="36"/>
        <v>5.7109948717948695</v>
      </c>
      <c r="Z126" s="1">
        <f t="shared" si="45"/>
        <v>11.647391434338589</v>
      </c>
      <c r="AA126" s="1">
        <f t="shared" si="46"/>
        <v>8.9451302551703797</v>
      </c>
      <c r="AB126" s="1">
        <v>0</v>
      </c>
      <c r="AC126" s="1">
        <f t="shared" si="47"/>
        <v>0.1640314783280272</v>
      </c>
      <c r="AD126" s="133">
        <f t="shared" si="48"/>
        <v>0.1640314783280272</v>
      </c>
      <c r="AE126" s="132">
        <f t="shared" si="60"/>
        <v>1.271893998441153</v>
      </c>
      <c r="AF126" s="1">
        <f t="shared" si="49"/>
        <v>3.4022866914460428</v>
      </c>
      <c r="AG126" s="1">
        <f t="shared" si="37"/>
        <v>1.1575554730790862E-2</v>
      </c>
      <c r="AH126" s="1">
        <f t="shared" si="50"/>
        <v>0.54979822886643848</v>
      </c>
      <c r="AI126" s="133">
        <f t="shared" si="51"/>
        <v>0.56137378359722934</v>
      </c>
      <c r="AJ126" s="132">
        <f t="shared" si="52"/>
        <v>7.5200000000000005</v>
      </c>
      <c r="AK126" s="1">
        <f t="shared" si="53"/>
        <v>8.2728350975450766</v>
      </c>
      <c r="AL126" s="1">
        <f t="shared" si="38"/>
        <v>6.8439800551173657E-2</v>
      </c>
      <c r="AM126" s="1">
        <f t="shared" si="54"/>
        <v>0.26083200000000001</v>
      </c>
      <c r="AN126" s="136">
        <f t="shared" si="61"/>
        <v>9.6906296733697078E-2</v>
      </c>
      <c r="AO126" s="133">
        <f t="shared" si="55"/>
        <v>0.42617809728487077</v>
      </c>
      <c r="AP126" s="132">
        <f t="shared" si="39"/>
        <v>0.16003071056392901</v>
      </c>
      <c r="AQ126" s="137">
        <f t="shared" si="40"/>
        <v>0.1640314783280272</v>
      </c>
      <c r="AR126" s="137">
        <f t="shared" si="41"/>
        <v>0.41914382887423812</v>
      </c>
      <c r="AS126" s="1">
        <f t="shared" si="42"/>
        <v>1.9759999999999996E-2</v>
      </c>
      <c r="AT126" s="133">
        <f t="shared" si="56"/>
        <v>0.20528000000000002</v>
      </c>
      <c r="AU126" s="132">
        <f t="shared" si="57"/>
        <v>2.1198293769763215</v>
      </c>
      <c r="AV126" s="1">
        <f t="shared" si="58"/>
        <v>451.2</v>
      </c>
      <c r="AW126" s="133">
        <f t="shared" si="59"/>
        <v>99.532376648978769</v>
      </c>
    </row>
    <row r="127" spans="17:49" x14ac:dyDescent="0.15">
      <c r="Q127">
        <v>120</v>
      </c>
      <c r="R127" s="132">
        <f t="shared" si="32"/>
        <v>60</v>
      </c>
      <c r="S127" s="1">
        <f t="shared" si="62"/>
        <v>7.52</v>
      </c>
      <c r="T127" s="1">
        <f t="shared" si="63"/>
        <v>51.6</v>
      </c>
      <c r="U127" s="133">
        <f t="shared" si="43"/>
        <v>8.7441860465116275</v>
      </c>
      <c r="V127" s="132">
        <f>IF(Calculations!$B$17=3,2,IF((S127*R127/T127)&lt;((T127*(1-(T127/R127)))/(2*Lm*fsw)),1,2))</f>
        <v>2</v>
      </c>
      <c r="W127" s="1">
        <f t="shared" si="44"/>
        <v>0.14000000000000001</v>
      </c>
      <c r="X127" s="133">
        <f t="shared" si="35"/>
        <v>0.86</v>
      </c>
      <c r="Y127" s="132">
        <f t="shared" si="36"/>
        <v>5.556923076923078</v>
      </c>
      <c r="Z127" s="1">
        <f t="shared" si="45"/>
        <v>11.522647584973166</v>
      </c>
      <c r="AA127" s="1">
        <f t="shared" si="46"/>
        <v>8.8901109361045272</v>
      </c>
      <c r="AB127" s="1">
        <v>0</v>
      </c>
      <c r="AC127" s="1">
        <f t="shared" si="47"/>
        <v>0.16201984853530288</v>
      </c>
      <c r="AD127" s="133">
        <f t="shared" si="48"/>
        <v>0.16201984853530288</v>
      </c>
      <c r="AE127" s="132">
        <f t="shared" si="60"/>
        <v>1.2241860465116279</v>
      </c>
      <c r="AF127" s="1">
        <f t="shared" si="49"/>
        <v>3.3263749253315309</v>
      </c>
      <c r="AG127" s="1">
        <f t="shared" si="37"/>
        <v>1.1064770143874348E-2</v>
      </c>
      <c r="AH127" s="1">
        <f t="shared" si="50"/>
        <v>0.54681482762452727</v>
      </c>
      <c r="AI127" s="133">
        <f t="shared" si="51"/>
        <v>0.55787959776840157</v>
      </c>
      <c r="AJ127" s="132">
        <f t="shared" si="52"/>
        <v>7.52</v>
      </c>
      <c r="AK127" s="1">
        <f t="shared" si="53"/>
        <v>8.244349720406758</v>
      </c>
      <c r="AL127" s="1">
        <f t="shared" si="38"/>
        <v>6.7969302312370986E-2</v>
      </c>
      <c r="AM127" s="1">
        <f t="shared" si="54"/>
        <v>0.26083200000000001</v>
      </c>
      <c r="AN127" s="136">
        <f t="shared" si="61"/>
        <v>9.586842790697675E-2</v>
      </c>
      <c r="AO127" s="133">
        <f t="shared" si="55"/>
        <v>0.42466973021934773</v>
      </c>
      <c r="AP127" s="132">
        <f t="shared" si="39"/>
        <v>0.15806814491249063</v>
      </c>
      <c r="AQ127" s="137">
        <f t="shared" si="40"/>
        <v>0.16201984853530288</v>
      </c>
      <c r="AR127" s="137">
        <f t="shared" si="41"/>
        <v>0.39354788329031631</v>
      </c>
      <c r="AS127" s="1">
        <f t="shared" si="42"/>
        <v>1.9759999999999996E-2</v>
      </c>
      <c r="AT127" s="133">
        <f t="shared" si="56"/>
        <v>0.2064</v>
      </c>
      <c r="AU127" s="132">
        <f t="shared" si="57"/>
        <v>2.0843650532611617</v>
      </c>
      <c r="AV127" s="1">
        <f t="shared" si="58"/>
        <v>451.2</v>
      </c>
      <c r="AW127" s="133">
        <f t="shared" si="59"/>
        <v>99.540163920496965</v>
      </c>
    </row>
    <row r="128" spans="17:49" x14ac:dyDescent="0.15">
      <c r="Q128">
        <v>121</v>
      </c>
      <c r="R128" s="132">
        <f t="shared" si="32"/>
        <v>60</v>
      </c>
      <c r="S128" s="1">
        <f t="shared" si="62"/>
        <v>7.52</v>
      </c>
      <c r="T128" s="1">
        <f t="shared" si="63"/>
        <v>51.88</v>
      </c>
      <c r="U128" s="133">
        <f t="shared" si="43"/>
        <v>8.6969930609097919</v>
      </c>
      <c r="V128" s="132">
        <f>IF(Calculations!$B$17=3,2,IF((S128*R128/T128)&lt;((T128*(1-(T128/R128)))/(2*Lm*fsw)),1,2))</f>
        <v>2</v>
      </c>
      <c r="W128" s="1">
        <f t="shared" si="44"/>
        <v>0.13533333333333331</v>
      </c>
      <c r="X128" s="133">
        <f t="shared" si="35"/>
        <v>0.86466666666666669</v>
      </c>
      <c r="Y128" s="132">
        <f t="shared" si="36"/>
        <v>5.4008410256410242</v>
      </c>
      <c r="Z128" s="1">
        <f t="shared" si="45"/>
        <v>11.397413573730304</v>
      </c>
      <c r="AA128" s="1">
        <f t="shared" si="46"/>
        <v>8.8356349677617203</v>
      </c>
      <c r="AB128" s="1">
        <v>0</v>
      </c>
      <c r="AC128" s="1">
        <f t="shared" si="47"/>
        <v>0.16004031283124398</v>
      </c>
      <c r="AD128" s="133">
        <f t="shared" si="48"/>
        <v>0.16004031283124398</v>
      </c>
      <c r="AE128" s="132">
        <f t="shared" si="60"/>
        <v>1.1769930609097916</v>
      </c>
      <c r="AF128" s="1">
        <f t="shared" si="49"/>
        <v>3.2504250381098703</v>
      </c>
      <c r="AG128" s="1">
        <f t="shared" si="37"/>
        <v>1.056526292837155E-2</v>
      </c>
      <c r="AH128" s="1">
        <f t="shared" si="50"/>
        <v>0.54386362963426405</v>
      </c>
      <c r="AI128" s="133">
        <f t="shared" si="51"/>
        <v>0.55442889256263561</v>
      </c>
      <c r="AJ128" s="132">
        <f t="shared" si="52"/>
        <v>7.5200000000000005</v>
      </c>
      <c r="AK128" s="1">
        <f t="shared" si="53"/>
        <v>8.216032032262417</v>
      </c>
      <c r="AL128" s="1">
        <f t="shared" si="38"/>
        <v>6.7503182355162103E-2</v>
      </c>
      <c r="AM128" s="1">
        <f t="shared" si="54"/>
        <v>0.26083200000000001</v>
      </c>
      <c r="AN128" s="136">
        <f t="shared" si="61"/>
        <v>9.4826480933436139E-2</v>
      </c>
      <c r="AO128" s="133">
        <f t="shared" si="55"/>
        <v>0.42316166328859828</v>
      </c>
      <c r="AP128" s="132">
        <f t="shared" si="39"/>
        <v>0.15613689056706734</v>
      </c>
      <c r="AQ128" s="137">
        <f t="shared" si="40"/>
        <v>0.16004031283124398</v>
      </c>
      <c r="AR128" s="137">
        <f t="shared" si="41"/>
        <v>0.36854473350710021</v>
      </c>
      <c r="AS128" s="1">
        <f t="shared" si="42"/>
        <v>1.9759999999999996E-2</v>
      </c>
      <c r="AT128" s="133">
        <f t="shared" si="56"/>
        <v>0.20752000000000001</v>
      </c>
      <c r="AU128" s="132">
        <f t="shared" si="57"/>
        <v>2.0496328055878896</v>
      </c>
      <c r="AV128" s="1">
        <f t="shared" si="58"/>
        <v>451.2</v>
      </c>
      <c r="AW128" s="133">
        <f t="shared" si="59"/>
        <v>99.547791623591451</v>
      </c>
    </row>
    <row r="129" spans="17:49" x14ac:dyDescent="0.15">
      <c r="Q129">
        <v>122</v>
      </c>
      <c r="R129" s="132">
        <f t="shared" si="32"/>
        <v>60</v>
      </c>
      <c r="S129" s="1">
        <f t="shared" si="62"/>
        <v>7.52</v>
      </c>
      <c r="T129" s="1">
        <f t="shared" si="63"/>
        <v>52.160000000000004</v>
      </c>
      <c r="U129" s="133">
        <f t="shared" si="43"/>
        <v>8.6503067484662566</v>
      </c>
      <c r="V129" s="132">
        <f>IF(Calculations!$B$17=3,2,IF((S129*R129/T129)&lt;((T129*(1-(T129/R129)))/(2*Lm*fsw)),1,2))</f>
        <v>2</v>
      </c>
      <c r="W129" s="1">
        <f t="shared" si="44"/>
        <v>0.1306666666666666</v>
      </c>
      <c r="X129" s="133">
        <f t="shared" si="35"/>
        <v>0.8693333333333334</v>
      </c>
      <c r="Y129" s="132">
        <f t="shared" si="36"/>
        <v>5.2427487179487153</v>
      </c>
      <c r="Z129" s="1">
        <f t="shared" si="45"/>
        <v>11.271681107440614</v>
      </c>
      <c r="AA129" s="1">
        <f t="shared" si="46"/>
        <v>8.78170492287936</v>
      </c>
      <c r="AB129" s="1">
        <v>0</v>
      </c>
      <c r="AC129" s="1">
        <f t="shared" si="47"/>
        <v>0.15809259977267334</v>
      </c>
      <c r="AD129" s="133">
        <f t="shared" si="48"/>
        <v>0.15809259977267334</v>
      </c>
      <c r="AE129" s="132">
        <f t="shared" si="60"/>
        <v>1.130306748466257</v>
      </c>
      <c r="AF129" s="1">
        <f t="shared" si="49"/>
        <v>3.1743970456444814</v>
      </c>
      <c r="AG129" s="1">
        <f t="shared" si="37"/>
        <v>1.0076796603396412E-2</v>
      </c>
      <c r="AH129" s="1">
        <f t="shared" si="50"/>
        <v>0.54094411628500016</v>
      </c>
      <c r="AI129" s="133">
        <f t="shared" si="51"/>
        <v>0.55102091288839661</v>
      </c>
      <c r="AJ129" s="132">
        <f t="shared" si="52"/>
        <v>7.52</v>
      </c>
      <c r="AK129" s="1">
        <f t="shared" si="53"/>
        <v>8.1878901280566279</v>
      </c>
      <c r="AL129" s="1">
        <f t="shared" si="38"/>
        <v>6.7041544749127185E-2</v>
      </c>
      <c r="AM129" s="1">
        <f t="shared" si="54"/>
        <v>0.26083200000000001</v>
      </c>
      <c r="AN129" s="136">
        <f t="shared" si="61"/>
        <v>9.3780386813905922E-2</v>
      </c>
      <c r="AO129" s="133">
        <f t="shared" si="55"/>
        <v>0.42165393156303316</v>
      </c>
      <c r="AP129" s="132">
        <f t="shared" si="39"/>
        <v>0.15423668270504717</v>
      </c>
      <c r="AQ129" s="137">
        <f t="shared" si="40"/>
        <v>0.15809259977267334</v>
      </c>
      <c r="AR129" s="137">
        <f t="shared" si="41"/>
        <v>0.34416221826551957</v>
      </c>
      <c r="AS129" s="1">
        <f t="shared" si="42"/>
        <v>1.9759999999999996E-2</v>
      </c>
      <c r="AT129" s="133">
        <f t="shared" si="56"/>
        <v>0.20864000000000002</v>
      </c>
      <c r="AU129" s="132">
        <f t="shared" si="57"/>
        <v>2.0156589449673432</v>
      </c>
      <c r="AV129" s="1">
        <f t="shared" si="58"/>
        <v>451.2</v>
      </c>
      <c r="AW129" s="133">
        <f t="shared" si="59"/>
        <v>99.555253905026234</v>
      </c>
    </row>
    <row r="130" spans="17:49" x14ac:dyDescent="0.15">
      <c r="Q130">
        <v>123</v>
      </c>
      <c r="R130" s="132">
        <f t="shared" si="32"/>
        <v>60</v>
      </c>
      <c r="S130" s="1">
        <f t="shared" si="62"/>
        <v>7.52</v>
      </c>
      <c r="T130" s="1">
        <f t="shared" si="63"/>
        <v>52.440000000000005</v>
      </c>
      <c r="U130" s="133">
        <f t="shared" si="43"/>
        <v>8.6041189931350104</v>
      </c>
      <c r="V130" s="132">
        <f>IF(Calculations!$B$17=3,2,IF((S130*R130/T130)&lt;((T130*(1-(T130/R130)))/(2*Lm*fsw)),1,2))</f>
        <v>2</v>
      </c>
      <c r="W130" s="1">
        <f t="shared" si="44"/>
        <v>0.12599999999999989</v>
      </c>
      <c r="X130" s="133">
        <f t="shared" si="35"/>
        <v>0.87400000000000011</v>
      </c>
      <c r="Y130" s="132">
        <f t="shared" si="36"/>
        <v>5.0826461538461496</v>
      </c>
      <c r="Z130" s="1">
        <f t="shared" si="45"/>
        <v>11.145442070058085</v>
      </c>
      <c r="AA130" s="1">
        <f t="shared" si="46"/>
        <v>8.7283238926570093</v>
      </c>
      <c r="AB130" s="1">
        <v>0</v>
      </c>
      <c r="AC130" s="1">
        <f t="shared" si="47"/>
        <v>0.15617645784901077</v>
      </c>
      <c r="AD130" s="133">
        <f t="shared" si="48"/>
        <v>0.15617645784901077</v>
      </c>
      <c r="AE130" s="132">
        <f t="shared" si="60"/>
        <v>1.0841189931350104</v>
      </c>
      <c r="AF130" s="1">
        <f t="shared" si="49"/>
        <v>3.0982476313016067</v>
      </c>
      <c r="AG130" s="1">
        <f t="shared" si="37"/>
        <v>9.5991383848660159E-3</v>
      </c>
      <c r="AH130" s="1">
        <f t="shared" si="50"/>
        <v>0.53805578004244115</v>
      </c>
      <c r="AI130" s="133">
        <f t="shared" si="51"/>
        <v>0.54765491842730718</v>
      </c>
      <c r="AJ130" s="132">
        <f t="shared" si="52"/>
        <v>7.5200000000000005</v>
      </c>
      <c r="AK130" s="1">
        <f t="shared" si="53"/>
        <v>8.159932572654089</v>
      </c>
      <c r="AL130" s="1">
        <f t="shared" si="38"/>
        <v>6.6584499590261179E-2</v>
      </c>
      <c r="AM130" s="1">
        <f t="shared" si="54"/>
        <v>0.26083200000000001</v>
      </c>
      <c r="AN130" s="136">
        <f t="shared" si="61"/>
        <v>9.2730078022883272E-2</v>
      </c>
      <c r="AO130" s="133">
        <f t="shared" si="55"/>
        <v>0.42014657761314445</v>
      </c>
      <c r="AP130" s="132">
        <f t="shared" si="39"/>
        <v>0.15236727595025443</v>
      </c>
      <c r="AQ130" s="137">
        <f t="shared" si="40"/>
        <v>0.15617645784901077</v>
      </c>
      <c r="AR130" s="137">
        <f t="shared" si="41"/>
        <v>0.3204278322695675</v>
      </c>
      <c r="AS130" s="1">
        <f t="shared" si="42"/>
        <v>1.9759999999999996E-2</v>
      </c>
      <c r="AT130" s="133">
        <f t="shared" si="56"/>
        <v>0.20976000000000003</v>
      </c>
      <c r="AU130" s="132">
        <f t="shared" si="57"/>
        <v>1.9824695199582951</v>
      </c>
      <c r="AV130" s="1">
        <f t="shared" si="58"/>
        <v>451.2</v>
      </c>
      <c r="AW130" s="133">
        <f t="shared" si="59"/>
        <v>99.562544967359784</v>
      </c>
    </row>
    <row r="131" spans="17:49" x14ac:dyDescent="0.15">
      <c r="Q131">
        <v>124</v>
      </c>
      <c r="R131" s="132">
        <f t="shared" si="32"/>
        <v>60</v>
      </c>
      <c r="S131" s="1">
        <f t="shared" si="62"/>
        <v>7.52</v>
      </c>
      <c r="T131" s="1">
        <f t="shared" si="63"/>
        <v>52.720000000000006</v>
      </c>
      <c r="U131" s="133">
        <f t="shared" si="43"/>
        <v>8.5584218512898325</v>
      </c>
      <c r="V131" s="132">
        <f>IF(Calculations!$B$17=3,2,IF((S131*R131/T131)&lt;((T131*(1-(T131/R131)))/(2*Lm*fsw)),1,2))</f>
        <v>2</v>
      </c>
      <c r="W131" s="1">
        <f t="shared" si="44"/>
        <v>0.12133333333333318</v>
      </c>
      <c r="X131" s="133">
        <f t="shared" si="35"/>
        <v>0.87866666666666682</v>
      </c>
      <c r="Y131" s="132">
        <f t="shared" si="36"/>
        <v>4.9205333333333279</v>
      </c>
      <c r="Z131" s="1">
        <f t="shared" si="45"/>
        <v>11.018688517956496</v>
      </c>
      <c r="AA131" s="1">
        <f t="shared" si="46"/>
        <v>8.6754954868106715</v>
      </c>
      <c r="AB131" s="1">
        <v>0</v>
      </c>
      <c r="AC131" s="1">
        <f t="shared" si="47"/>
        <v>0.15429165498042827</v>
      </c>
      <c r="AD131" s="133">
        <f t="shared" si="48"/>
        <v>0.15429165498042827</v>
      </c>
      <c r="AE131" s="132">
        <f t="shared" si="60"/>
        <v>1.0384218512898318</v>
      </c>
      <c r="AF131" s="1">
        <f t="shared" si="49"/>
        <v>3.0219296697512492</v>
      </c>
      <c r="AG131" s="1">
        <f t="shared" si="37"/>
        <v>9.1320589289228954E-3</v>
      </c>
      <c r="AH131" s="1">
        <f t="shared" si="50"/>
        <v>0.53519812415450707</v>
      </c>
      <c r="AI131" s="133">
        <f t="shared" si="51"/>
        <v>0.54433018308342995</v>
      </c>
      <c r="AJ131" s="132">
        <f t="shared" si="52"/>
        <v>7.5200000000000005</v>
      </c>
      <c r="AK131" s="1">
        <f t="shared" si="53"/>
        <v>8.1321684077956355</v>
      </c>
      <c r="AL131" s="1">
        <f t="shared" si="38"/>
        <v>6.6132163012749406E-2</v>
      </c>
      <c r="AM131" s="1">
        <f t="shared" si="54"/>
        <v>0.26083200000000001</v>
      </c>
      <c r="AN131" s="136">
        <f t="shared" si="61"/>
        <v>9.1675488469398062E-2</v>
      </c>
      <c r="AO131" s="133">
        <f t="shared" si="55"/>
        <v>0.41863965148214749</v>
      </c>
      <c r="AP131" s="132">
        <f t="shared" si="39"/>
        <v>0.15052844388334466</v>
      </c>
      <c r="AQ131" s="137">
        <f t="shared" si="40"/>
        <v>0.15429165498042827</v>
      </c>
      <c r="AR131" s="137">
        <f t="shared" si="41"/>
        <v>0.29736867409708539</v>
      </c>
      <c r="AS131" s="1">
        <f t="shared" si="42"/>
        <v>1.9759999999999996E-2</v>
      </c>
      <c r="AT131" s="133">
        <f t="shared" si="56"/>
        <v>0.21088000000000004</v>
      </c>
      <c r="AU131" s="132">
        <f t="shared" si="57"/>
        <v>1.9500902625068639</v>
      </c>
      <c r="AV131" s="1">
        <f t="shared" si="58"/>
        <v>451.2</v>
      </c>
      <c r="AW131" s="133">
        <f t="shared" si="59"/>
        <v>99.569659081083444</v>
      </c>
    </row>
    <row r="132" spans="17:49" x14ac:dyDescent="0.15">
      <c r="Q132">
        <v>125</v>
      </c>
      <c r="R132" s="132">
        <f t="shared" si="32"/>
        <v>60</v>
      </c>
      <c r="S132" s="1">
        <f t="shared" si="62"/>
        <v>7.52</v>
      </c>
      <c r="T132" s="1">
        <f t="shared" si="63"/>
        <v>53</v>
      </c>
      <c r="U132" s="133">
        <f t="shared" si="43"/>
        <v>8.5132075471698112</v>
      </c>
      <c r="V132" s="132">
        <f>IF(Calculations!$B$17=3,2,IF((S132*R132/T132)&lt;((T132*(1-(T132/R132)))/(2*Lm*fsw)),1,2))</f>
        <v>2</v>
      </c>
      <c r="W132" s="1">
        <f t="shared" si="44"/>
        <v>0.1166666666666667</v>
      </c>
      <c r="X132" s="133">
        <f t="shared" si="35"/>
        <v>0.8833333333333333</v>
      </c>
      <c r="Y132" s="132">
        <f t="shared" si="36"/>
        <v>4.7564102564102582</v>
      </c>
      <c r="Z132" s="1">
        <f t="shared" si="45"/>
        <v>10.891412675374941</v>
      </c>
      <c r="AA132" s="1">
        <f t="shared" si="46"/>
        <v>8.6232238336442038</v>
      </c>
      <c r="AB132" s="1">
        <v>0</v>
      </c>
      <c r="AC132" s="1">
        <f t="shared" si="47"/>
        <v>0.15243797803451534</v>
      </c>
      <c r="AD132" s="133">
        <f t="shared" si="48"/>
        <v>0.15243797803451534</v>
      </c>
      <c r="AE132" s="132">
        <f t="shared" si="60"/>
        <v>0.99320754716981152</v>
      </c>
      <c r="AF132" s="1">
        <f t="shared" si="49"/>
        <v>2.9453916689067183</v>
      </c>
      <c r="AG132" s="1">
        <f t="shared" si="37"/>
        <v>8.675332083265104E-3</v>
      </c>
      <c r="AH132" s="1">
        <f t="shared" si="50"/>
        <v>0.53237066236652097</v>
      </c>
      <c r="AI132" s="133">
        <f t="shared" si="51"/>
        <v>0.54104599444978607</v>
      </c>
      <c r="AJ132" s="132">
        <f t="shared" si="52"/>
        <v>7.52</v>
      </c>
      <c r="AK132" s="1">
        <f t="shared" si="53"/>
        <v>8.1046071590092712</v>
      </c>
      <c r="AL132" s="1">
        <f t="shared" si="38"/>
        <v>6.5684657201864324E-2</v>
      </c>
      <c r="AM132" s="1">
        <f t="shared" si="54"/>
        <v>0.26083200000000001</v>
      </c>
      <c r="AN132" s="136">
        <f t="shared" si="61"/>
        <v>9.0616553459119523E-2</v>
      </c>
      <c r="AO132" s="133">
        <f t="shared" si="55"/>
        <v>0.41713321066098386</v>
      </c>
      <c r="AP132" s="132">
        <f t="shared" si="39"/>
        <v>0.1487199785702589</v>
      </c>
      <c r="AQ132" s="137">
        <f t="shared" si="40"/>
        <v>0.15243797803451534</v>
      </c>
      <c r="AR132" s="137">
        <f t="shared" si="41"/>
        <v>0.2750113899010867</v>
      </c>
      <c r="AS132" s="1">
        <f t="shared" si="42"/>
        <v>1.9759999999999996E-2</v>
      </c>
      <c r="AT132" s="133">
        <f t="shared" si="56"/>
        <v>0.21199999999999999</v>
      </c>
      <c r="AU132" s="132">
        <f t="shared" si="57"/>
        <v>1.9185465296511461</v>
      </c>
      <c r="AV132" s="1">
        <f t="shared" si="58"/>
        <v>451.2</v>
      </c>
      <c r="AW132" s="133">
        <f t="shared" si="59"/>
        <v>99.57659059768244</v>
      </c>
    </row>
    <row r="133" spans="17:49" x14ac:dyDescent="0.15">
      <c r="Q133">
        <v>126</v>
      </c>
      <c r="R133" s="132">
        <f t="shared" si="32"/>
        <v>60</v>
      </c>
      <c r="S133" s="1">
        <f t="shared" si="62"/>
        <v>7.52</v>
      </c>
      <c r="T133" s="1">
        <f t="shared" si="63"/>
        <v>53.28</v>
      </c>
      <c r="U133" s="133">
        <f t="shared" si="43"/>
        <v>8.4684684684684672</v>
      </c>
      <c r="V133" s="132">
        <f>IF(Calculations!$B$17=3,2,IF((S133*R133/T133)&lt;((T133*(1-(T133/R133)))/(2*Lm*fsw)),1,2))</f>
        <v>2</v>
      </c>
      <c r="W133" s="1">
        <f t="shared" si="44"/>
        <v>0.11199999999999999</v>
      </c>
      <c r="X133" s="133">
        <f t="shared" si="35"/>
        <v>0.88800000000000001</v>
      </c>
      <c r="Y133" s="132">
        <f t="shared" si="36"/>
        <v>4.5902769230769227</v>
      </c>
      <c r="Z133" s="1">
        <f t="shared" si="45"/>
        <v>10.763606930006929</v>
      </c>
      <c r="AA133" s="1">
        <f t="shared" si="46"/>
        <v>8.5715135801087694</v>
      </c>
      <c r="AB133" s="1">
        <v>0</v>
      </c>
      <c r="AC133" s="1">
        <f t="shared" si="47"/>
        <v>0.15061523236067753</v>
      </c>
      <c r="AD133" s="133">
        <f t="shared" si="48"/>
        <v>0.15061523236067753</v>
      </c>
      <c r="AE133" s="132">
        <f t="shared" si="60"/>
        <v>0.94846846846846822</v>
      </c>
      <c r="AF133" s="1">
        <f t="shared" si="49"/>
        <v>2.8685771117483965</v>
      </c>
      <c r="AG133" s="1">
        <f t="shared" si="37"/>
        <v>8.2287346460467731E-3</v>
      </c>
      <c r="AH133" s="1">
        <f t="shared" si="50"/>
        <v>0.52957291864537559</v>
      </c>
      <c r="AI133" s="133">
        <f t="shared" si="51"/>
        <v>0.53780165329142238</v>
      </c>
      <c r="AJ133" s="132">
        <f t="shared" si="52"/>
        <v>7.5199999999999987</v>
      </c>
      <c r="AK133" s="1">
        <f t="shared" si="53"/>
        <v>8.0772588424503446</v>
      </c>
      <c r="AL133" s="1">
        <f t="shared" si="38"/>
        <v>6.5242110407942283E-2</v>
      </c>
      <c r="AM133" s="1">
        <f t="shared" si="54"/>
        <v>0.26083200000000001</v>
      </c>
      <c r="AN133" s="136">
        <f t="shared" si="61"/>
        <v>8.9553209657657659E-2</v>
      </c>
      <c r="AO133" s="133">
        <f t="shared" si="55"/>
        <v>0.41562732006559999</v>
      </c>
      <c r="AP133" s="132">
        <f t="shared" si="39"/>
        <v>0.14694169010797811</v>
      </c>
      <c r="AQ133" s="137">
        <f t="shared" si="40"/>
        <v>0.15061523236067753</v>
      </c>
      <c r="AR133" s="137">
        <f t="shared" si="41"/>
        <v>0.25338211236113678</v>
      </c>
      <c r="AS133" s="1">
        <f t="shared" si="42"/>
        <v>1.9759999999999996E-2</v>
      </c>
      <c r="AT133" s="133">
        <f t="shared" si="56"/>
        <v>0.21312</v>
      </c>
      <c r="AU133" s="132">
        <f t="shared" si="57"/>
        <v>1.8878632405474924</v>
      </c>
      <c r="AV133" s="1">
        <f t="shared" si="58"/>
        <v>451.2</v>
      </c>
      <c r="AW133" s="133">
        <f t="shared" si="59"/>
        <v>99.583333963738227</v>
      </c>
    </row>
    <row r="134" spans="17:49" x14ac:dyDescent="0.15">
      <c r="Q134">
        <v>127</v>
      </c>
      <c r="R134" s="132">
        <f t="shared" si="32"/>
        <v>60</v>
      </c>
      <c r="S134" s="1">
        <f t="shared" si="62"/>
        <v>7.52</v>
      </c>
      <c r="T134" s="1">
        <f t="shared" si="63"/>
        <v>53.56</v>
      </c>
      <c r="U134" s="133">
        <f t="shared" si="43"/>
        <v>8.4241971620612386</v>
      </c>
      <c r="V134" s="132">
        <f>IF(Calculations!$B$17=3,2,IF((S134*R134/T134)&lt;((T134*(1-(T134/R134)))/(2*Lm*fsw)),1,2))</f>
        <v>2</v>
      </c>
      <c r="W134" s="1">
        <f t="shared" si="44"/>
        <v>0.10733333333333328</v>
      </c>
      <c r="X134" s="133">
        <f t="shared" si="35"/>
        <v>0.89266666666666672</v>
      </c>
      <c r="Y134" s="132">
        <f t="shared" si="36"/>
        <v>4.4221333333333313</v>
      </c>
      <c r="Z134" s="1">
        <f t="shared" si="45"/>
        <v>10.635263828727904</v>
      </c>
      <c r="AA134" s="1">
        <f t="shared" si="46"/>
        <v>8.5203698918197652</v>
      </c>
      <c r="AB134" s="1">
        <v>0</v>
      </c>
      <c r="AC134" s="1">
        <f t="shared" si="47"/>
        <v>0.14882324134152894</v>
      </c>
      <c r="AD134" s="133">
        <f t="shared" si="48"/>
        <v>0.14882324134152894</v>
      </c>
      <c r="AE134" s="132">
        <f t="shared" si="60"/>
        <v>0.90419716206123912</v>
      </c>
      <c r="AF134" s="1">
        <f t="shared" si="49"/>
        <v>2.791423674763116</v>
      </c>
      <c r="AG134" s="1">
        <f t="shared" si="37"/>
        <v>7.7920461320280191E-3</v>
      </c>
      <c r="AH134" s="1">
        <f t="shared" si="50"/>
        <v>0.52680442691235274</v>
      </c>
      <c r="AI134" s="133">
        <f t="shared" si="51"/>
        <v>0.53459647304438074</v>
      </c>
      <c r="AJ134" s="132">
        <f t="shared" si="52"/>
        <v>7.52</v>
      </c>
      <c r="AK134" s="1">
        <f t="shared" si="53"/>
        <v>8.0501339716430032</v>
      </c>
      <c r="AL134" s="1">
        <f t="shared" si="38"/>
        <v>6.4804656961400753E-2</v>
      </c>
      <c r="AM134" s="1">
        <f t="shared" si="54"/>
        <v>0.26083200000000001</v>
      </c>
      <c r="AN134" s="136">
        <f t="shared" si="61"/>
        <v>8.8485395055016181E-2</v>
      </c>
      <c r="AO134" s="133">
        <f t="shared" si="55"/>
        <v>0.41412205201641694</v>
      </c>
      <c r="AP134" s="132">
        <f t="shared" si="39"/>
        <v>0.14519340618685753</v>
      </c>
      <c r="AQ134" s="137">
        <f t="shared" si="40"/>
        <v>0.14882324134152894</v>
      </c>
      <c r="AR134" s="137">
        <f t="shared" si="41"/>
        <v>0.23250639424714054</v>
      </c>
      <c r="AS134" s="1">
        <f t="shared" si="42"/>
        <v>1.9759999999999996E-2</v>
      </c>
      <c r="AT134" s="133">
        <f t="shared" si="56"/>
        <v>0.21424000000000001</v>
      </c>
      <c r="AU134" s="132">
        <f t="shared" si="57"/>
        <v>1.8580648081778537</v>
      </c>
      <c r="AV134" s="1">
        <f t="shared" si="58"/>
        <v>451.2</v>
      </c>
      <c r="AW134" s="133">
        <f t="shared" si="59"/>
        <v>99.589883736212798</v>
      </c>
    </row>
    <row r="135" spans="17:49" x14ac:dyDescent="0.15">
      <c r="Q135">
        <v>128</v>
      </c>
      <c r="R135" s="132">
        <f t="shared" ref="R135:R157" si="64">VOUT</f>
        <v>60</v>
      </c>
      <c r="S135" s="1">
        <f t="shared" ref="S135:S157" si="65">IOUT</f>
        <v>7.52</v>
      </c>
      <c r="T135" s="1">
        <f t="shared" ref="T135:T157" si="66">VIN_MIN+($O$12)*(Q135)</f>
        <v>53.84</v>
      </c>
      <c r="U135" s="133">
        <f t="shared" si="43"/>
        <v>8.3803863298662691</v>
      </c>
      <c r="V135" s="132">
        <f>IF(Calculations!$B$17=3,2,IF((S135*R135/T135)&lt;((T135*(1-(T135/R135)))/(2*Lm*fsw)),1,2))</f>
        <v>2</v>
      </c>
      <c r="W135" s="1">
        <f t="shared" si="44"/>
        <v>0.10266666666666657</v>
      </c>
      <c r="X135" s="133">
        <f t="shared" ref="X135:X157" si="67">CHOOSE(V135,(Lm*Z135*fsw)/(R135-T135),1-W135)</f>
        <v>0.89733333333333343</v>
      </c>
      <c r="Y135" s="132">
        <f t="shared" ref="Y135:Y157" si="68">(T135*W135)/(Lm*fsw)</f>
        <v>4.2519794871794829</v>
      </c>
      <c r="Z135" s="1">
        <f t="shared" si="45"/>
        <v>10.506376073456011</v>
      </c>
      <c r="AA135" s="1">
        <f t="shared" si="46"/>
        <v>8.4697984529990844</v>
      </c>
      <c r="AB135" s="1">
        <v>0</v>
      </c>
      <c r="AC135" s="1">
        <f t="shared" si="47"/>
        <v>0.14706184596057265</v>
      </c>
      <c r="AD135" s="133">
        <f t="shared" si="48"/>
        <v>0.14706184596057265</v>
      </c>
      <c r="AE135" s="132">
        <f t="shared" si="60"/>
        <v>0.86038632986626951</v>
      </c>
      <c r="AF135" s="1">
        <f t="shared" si="49"/>
        <v>2.7138622930553602</v>
      </c>
      <c r="AG135" s="1">
        <f t="shared" ref="AG135:AG157" si="69">(AF135^2)*RDS_on</f>
        <v>7.3650485456676976E-3</v>
      </c>
      <c r="AH135" s="1">
        <f t="shared" si="50"/>
        <v>0.52406473078427951</v>
      </c>
      <c r="AI135" s="133">
        <f t="shared" si="51"/>
        <v>0.53142977932994717</v>
      </c>
      <c r="AJ135" s="132">
        <f t="shared" si="52"/>
        <v>7.52</v>
      </c>
      <c r="AK135" s="1">
        <f t="shared" si="53"/>
        <v>8.0232435640928905</v>
      </c>
      <c r="AL135" s="1">
        <f t="shared" ref="AL135:AL157" si="70">(AK135^2)*RDS_on_HS</f>
        <v>6.4372437288757994E-2</v>
      </c>
      <c r="AM135" s="1">
        <f t="shared" si="54"/>
        <v>0.26083200000000001</v>
      </c>
      <c r="AN135" s="136">
        <f t="shared" si="61"/>
        <v>8.7413048931154022E-2</v>
      </c>
      <c r="AO135" s="133">
        <f t="shared" si="55"/>
        <v>0.41261748621991207</v>
      </c>
      <c r="AP135" s="132">
        <f t="shared" ref="AP135:AP157" si="71">(AA135^2)*Rcs</f>
        <v>0.14347497166885137</v>
      </c>
      <c r="AQ135" s="137">
        <f t="shared" ref="AQ135:AQ157" si="72">Rdcr*AA135^2</f>
        <v>0.14706184596057265</v>
      </c>
      <c r="AR135" s="137">
        <f t="shared" ref="AR135:AR157" si="73">ABS(7.759*10^-3*fsw^0.9458*(0.00787*Y135)^2.304)</f>
        <v>0.21240913583813539</v>
      </c>
      <c r="AS135" s="1">
        <f t="shared" ref="AS135:AS157" si="74">(Qg_tot+Qg_tot_HS)*VCC*fsw</f>
        <v>1.9759999999999996E-2</v>
      </c>
      <c r="AT135" s="133">
        <f t="shared" si="56"/>
        <v>0.21536000000000002</v>
      </c>
      <c r="AU135" s="132">
        <f t="shared" si="57"/>
        <v>1.8291750649779912</v>
      </c>
      <c r="AV135" s="1">
        <f t="shared" si="58"/>
        <v>451.2</v>
      </c>
      <c r="AW135" s="133">
        <f t="shared" si="59"/>
        <v>99.596234599081697</v>
      </c>
    </row>
    <row r="136" spans="17:49" x14ac:dyDescent="0.15">
      <c r="Q136">
        <v>129</v>
      </c>
      <c r="R136" s="132">
        <f t="shared" si="64"/>
        <v>60</v>
      </c>
      <c r="S136" s="1">
        <f t="shared" si="65"/>
        <v>7.52</v>
      </c>
      <c r="T136" s="1">
        <f t="shared" si="66"/>
        <v>54.120000000000005</v>
      </c>
      <c r="U136" s="133">
        <f t="shared" ref="U136:U157" si="75">(R136*S136)/(T136*EFF_est)</f>
        <v>8.3370288248337019</v>
      </c>
      <c r="V136" s="132">
        <f>IF(Calculations!$B$17=3,2,IF((S136*R136/T136)&lt;((T136*(1-(T136/R136)))/(2*Lm*fsw)),1,2))</f>
        <v>2</v>
      </c>
      <c r="W136" s="1">
        <f t="shared" ref="W136:W157" si="76">CHOOSE(V136,SQRT((2*S136*Lm*fsw*(R136-T136))/((T136)^2)),1-(T136/R136))</f>
        <v>9.7999999999999976E-2</v>
      </c>
      <c r="X136" s="133">
        <f t="shared" si="67"/>
        <v>0.90200000000000002</v>
      </c>
      <c r="Y136" s="132">
        <f t="shared" si="68"/>
        <v>4.079815384615384</v>
      </c>
      <c r="Z136" s="1">
        <f t="shared" ref="Z136:Z157" si="77">CHOOSE(V136,Y136,U136+(0.5*Y136))</f>
        <v>10.376936517141393</v>
      </c>
      <c r="AA136" s="1">
        <f t="shared" ref="AA136:AA157" si="78">CHOOSE(V136,Z136*SQRT((W136+X136)/3),SQRT((U136^2)+((Y136^2)/12)))</f>
        <v>8.4198054663089881</v>
      </c>
      <c r="AB136" s="1">
        <v>0</v>
      </c>
      <c r="AC136" s="1">
        <f t="shared" ref="AC136:AC157" si="79">(AA136^2)*Rdcr</f>
        <v>0.14533090438549776</v>
      </c>
      <c r="AD136" s="133">
        <f t="shared" ref="AD136:AD157" si="80">AB136+AC136</f>
        <v>0.14533090438549776</v>
      </c>
      <c r="AE136" s="132">
        <f t="shared" si="60"/>
        <v>0.81702882483370254</v>
      </c>
      <c r="AF136" s="1">
        <f t="shared" ref="AF136:AF157" si="81">CHOOSE(V136,Z136*SQRT(W136/3),SQRT(W136*((Z136^2)+((Y136^2)/3)-(Z136*Y136))))</f>
        <v>2.6358160331987692</v>
      </c>
      <c r="AG136" s="1">
        <f t="shared" si="69"/>
        <v>6.9475261608676949E-3</v>
      </c>
      <c r="AH136" s="1">
        <f t="shared" ref="AH136:AH157" si="82">((R136*U136)/2)*fsw*(tr_sw+tf_sw)</f>
        <v>0.52135338332272008</v>
      </c>
      <c r="AI136" s="133">
        <f t="shared" ref="AI136:AI157" si="83">AG136+AH136</f>
        <v>0.52830090948358777</v>
      </c>
      <c r="AJ136" s="132">
        <f t="shared" ref="AJ136:AJ156" si="84">X136*U136</f>
        <v>7.52</v>
      </c>
      <c r="AK136" s="1">
        <f t="shared" ref="AK136:AK157" si="85">CHOOSE(V136,Z136*SQRT(X136/3),SQRT(X136*((Z136^2)+((Y136^2)/3)-(Y136*Z136))))</f>
        <v>7.996599147738932</v>
      </c>
      <c r="AL136" s="1">
        <f t="shared" si="70"/>
        <v>6.3945597929619014E-2</v>
      </c>
      <c r="AM136" s="1">
        <f t="shared" ref="AM136:AM157" si="86">CHOOSE(V136,(R136+Vd_rect)*Qrr*fsw,(R136+Vd_rect)*Qrr*fsw)</f>
        <v>0.26083200000000001</v>
      </c>
      <c r="AN136" s="136">
        <f t="shared" si="61"/>
        <v>8.6336111822616399E-2</v>
      </c>
      <c r="AO136" s="133">
        <f t="shared" ref="AO136:AO157" si="87">AL136+AM136+AN136</f>
        <v>0.41111370975223543</v>
      </c>
      <c r="AP136" s="132">
        <f t="shared" si="71"/>
        <v>0.14178624818097343</v>
      </c>
      <c r="AQ136" s="137">
        <f t="shared" si="72"/>
        <v>0.14533090438549776</v>
      </c>
      <c r="AR136" s="137">
        <f t="shared" si="73"/>
        <v>0.19311450528990576</v>
      </c>
      <c r="AS136" s="1">
        <f t="shared" si="74"/>
        <v>1.9759999999999996E-2</v>
      </c>
      <c r="AT136" s="133">
        <f t="shared" ref="AT136:AT157" si="88">IQ*T136</f>
        <v>0.21648000000000003</v>
      </c>
      <c r="AU136" s="132">
        <f t="shared" ref="AU136:AU157" si="89">AP136+AO136+AI136+AD136+AS136+AT136+AQ136+AR136</f>
        <v>1.8012171814776978</v>
      </c>
      <c r="AV136" s="1">
        <f t="shared" ref="AV136:AV157" si="90">R136*S136</f>
        <v>451.2</v>
      </c>
      <c r="AW136" s="133">
        <f t="shared" ref="AW136:AW156" si="91">(AV136/(AV136+AU136))*100</f>
        <v>99.602381381514903</v>
      </c>
    </row>
    <row r="137" spans="17:49" x14ac:dyDescent="0.15">
      <c r="Q137">
        <v>130</v>
      </c>
      <c r="R137" s="132">
        <f t="shared" si="64"/>
        <v>60</v>
      </c>
      <c r="S137" s="1">
        <f t="shared" si="65"/>
        <v>7.52</v>
      </c>
      <c r="T137" s="1">
        <f t="shared" si="66"/>
        <v>54.400000000000006</v>
      </c>
      <c r="U137" s="133">
        <f t="shared" si="75"/>
        <v>8.2941176470588225</v>
      </c>
      <c r="V137" s="132">
        <f>IF(Calculations!$B$17=3,2,IF((S137*R137/T137)&lt;((T137*(1-(T137/R137)))/(2*Lm*fsw)),1,2))</f>
        <v>2</v>
      </c>
      <c r="W137" s="1">
        <f t="shared" si="76"/>
        <v>9.3333333333333268E-2</v>
      </c>
      <c r="X137" s="133">
        <f t="shared" si="67"/>
        <v>0.90666666666666673</v>
      </c>
      <c r="Y137" s="132">
        <f t="shared" si="68"/>
        <v>3.9056410256410232</v>
      </c>
      <c r="Z137" s="1">
        <f t="shared" si="77"/>
        <v>10.246938159879335</v>
      </c>
      <c r="AA137" s="1">
        <f t="shared" si="78"/>
        <v>8.3703976525421666</v>
      </c>
      <c r="AB137" s="1">
        <v>0</v>
      </c>
      <c r="AC137" s="1">
        <f t="shared" si="79"/>
        <v>0.14363029156645096</v>
      </c>
      <c r="AD137" s="133">
        <f t="shared" si="80"/>
        <v>0.14363029156645096</v>
      </c>
      <c r="AE137" s="132">
        <f t="shared" ref="AE137:AE157" si="92">U137*W137</f>
        <v>0.77411764705882291</v>
      </c>
      <c r="AF137" s="1">
        <f t="shared" si="81"/>
        <v>2.5571987226436765</v>
      </c>
      <c r="AG137" s="1">
        <f t="shared" si="69"/>
        <v>6.539265307090451E-3</v>
      </c>
      <c r="AH137" s="1">
        <f t="shared" si="82"/>
        <v>0.51866994679091194</v>
      </c>
      <c r="AI137" s="133">
        <f t="shared" si="83"/>
        <v>0.52520921209800242</v>
      </c>
      <c r="AJ137" s="132">
        <f t="shared" si="84"/>
        <v>7.52</v>
      </c>
      <c r="AK137" s="1">
        <f t="shared" si="85"/>
        <v>7.9702127672097314</v>
      </c>
      <c r="AL137" s="1">
        <f t="shared" si="70"/>
        <v>6.3524291554593007E-2</v>
      </c>
      <c r="AM137" s="1">
        <f t="shared" si="86"/>
        <v>0.26083200000000001</v>
      </c>
      <c r="AN137" s="136">
        <f t="shared" ref="AN137:AN157" si="93">Vd_rect*t_dead*fsw*Z137</f>
        <v>8.5254525490196076E-2</v>
      </c>
      <c r="AO137" s="133">
        <f t="shared" si="87"/>
        <v>0.40961081704478908</v>
      </c>
      <c r="AP137" s="132">
        <f t="shared" si="71"/>
        <v>0.14012711372336681</v>
      </c>
      <c r="AQ137" s="137">
        <f t="shared" si="72"/>
        <v>0.14363029156645096</v>
      </c>
      <c r="AR137" s="137">
        <f t="shared" si="73"/>
        <v>0.17464585085848883</v>
      </c>
      <c r="AS137" s="1">
        <f t="shared" si="74"/>
        <v>1.9759999999999996E-2</v>
      </c>
      <c r="AT137" s="133">
        <f t="shared" si="88"/>
        <v>0.21760000000000002</v>
      </c>
      <c r="AU137" s="132">
        <f t="shared" si="89"/>
        <v>1.7742135768575489</v>
      </c>
      <c r="AV137" s="1">
        <f t="shared" si="90"/>
        <v>451.2</v>
      </c>
      <c r="AW137" s="133">
        <f t="shared" si="91"/>
        <v>99.608319077846019</v>
      </c>
    </row>
    <row r="138" spans="17:49" x14ac:dyDescent="0.15">
      <c r="Q138">
        <v>131</v>
      </c>
      <c r="R138" s="132">
        <f t="shared" si="64"/>
        <v>60</v>
      </c>
      <c r="S138" s="1">
        <f t="shared" si="65"/>
        <v>7.52</v>
      </c>
      <c r="T138" s="1">
        <f t="shared" si="66"/>
        <v>54.680000000000007</v>
      </c>
      <c r="U138" s="133">
        <f t="shared" si="75"/>
        <v>8.2516459400146296</v>
      </c>
      <c r="V138" s="132">
        <f>IF(Calculations!$B$17=3,2,IF((S138*R138/T138)&lt;((T138*(1-(T138/R138)))/(2*Lm*fsw)),1,2))</f>
        <v>2</v>
      </c>
      <c r="W138" s="1">
        <f t="shared" si="76"/>
        <v>8.866666666666656E-2</v>
      </c>
      <c r="X138" s="133">
        <f t="shared" si="67"/>
        <v>0.91133333333333344</v>
      </c>
      <c r="Y138" s="132">
        <f t="shared" si="68"/>
        <v>3.7294564102564061</v>
      </c>
      <c r="Z138" s="1">
        <f t="shared" si="77"/>
        <v>10.116374145142833</v>
      </c>
      <c r="AA138" s="1">
        <f t="shared" si="78"/>
        <v>8.3215822501308896</v>
      </c>
      <c r="AB138" s="1">
        <v>0</v>
      </c>
      <c r="AC138" s="1">
        <f t="shared" si="79"/>
        <v>0.14195989884867163</v>
      </c>
      <c r="AD138" s="133">
        <f t="shared" si="80"/>
        <v>0.14195989884867163</v>
      </c>
      <c r="AE138" s="132">
        <f t="shared" si="92"/>
        <v>0.73164594001462957</v>
      </c>
      <c r="AF138" s="1">
        <f t="shared" si="81"/>
        <v>2.4779132675670499</v>
      </c>
      <c r="AG138" s="1">
        <f t="shared" si="69"/>
        <v>6.1400541615848139E-3</v>
      </c>
      <c r="AH138" s="1">
        <f t="shared" si="82"/>
        <v>0.51601399241817136</v>
      </c>
      <c r="AI138" s="133">
        <f t="shared" si="83"/>
        <v>0.52215404657975617</v>
      </c>
      <c r="AJ138" s="132">
        <f t="shared" si="84"/>
        <v>7.52</v>
      </c>
      <c r="AK138" s="1">
        <f t="shared" si="85"/>
        <v>7.9440969898477869</v>
      </c>
      <c r="AL138" s="1">
        <f t="shared" si="70"/>
        <v>6.3108676984108672E-2</v>
      </c>
      <c r="AM138" s="1">
        <f t="shared" si="86"/>
        <v>0.26083200000000001</v>
      </c>
      <c r="AN138" s="136">
        <f t="shared" si="93"/>
        <v>8.4168232887588387E-2</v>
      </c>
      <c r="AO138" s="133">
        <f t="shared" si="87"/>
        <v>0.40810890987169707</v>
      </c>
      <c r="AP138" s="132">
        <f t="shared" si="71"/>
        <v>0.13849746229138696</v>
      </c>
      <c r="AQ138" s="137">
        <f t="shared" si="72"/>
        <v>0.14195989884867163</v>
      </c>
      <c r="AR138" s="137">
        <f t="shared" si="73"/>
        <v>0.15702560365005369</v>
      </c>
      <c r="AS138" s="1">
        <f t="shared" si="74"/>
        <v>1.9759999999999996E-2</v>
      </c>
      <c r="AT138" s="133">
        <f t="shared" si="88"/>
        <v>0.21872000000000003</v>
      </c>
      <c r="AU138" s="132">
        <f t="shared" si="89"/>
        <v>1.7481858200902372</v>
      </c>
      <c r="AV138" s="1">
        <f t="shared" si="90"/>
        <v>451.2</v>
      </c>
      <c r="AW138" s="133">
        <f t="shared" si="91"/>
        <v>99.61404286962204</v>
      </c>
    </row>
    <row r="139" spans="17:49" x14ac:dyDescent="0.15">
      <c r="Q139">
        <v>132</v>
      </c>
      <c r="R139" s="132">
        <f t="shared" si="64"/>
        <v>60</v>
      </c>
      <c r="S139" s="1">
        <f t="shared" si="65"/>
        <v>7.52</v>
      </c>
      <c r="T139" s="1">
        <f t="shared" si="66"/>
        <v>54.96</v>
      </c>
      <c r="U139" s="133">
        <f t="shared" si="75"/>
        <v>8.2096069868995638</v>
      </c>
      <c r="V139" s="132">
        <f>IF(Calculations!$B$17=3,2,IF((S139*R139/T139)&lt;((T139*(1-(T139/R139)))/(2*Lm*fsw)),1,2))</f>
        <v>2</v>
      </c>
      <c r="W139" s="1">
        <f t="shared" si="76"/>
        <v>8.3999999999999964E-2</v>
      </c>
      <c r="X139" s="133">
        <f t="shared" si="67"/>
        <v>0.91600000000000004</v>
      </c>
      <c r="Y139" s="132">
        <f t="shared" si="68"/>
        <v>3.5512615384615365</v>
      </c>
      <c r="Z139" s="1">
        <f t="shared" si="77"/>
        <v>9.9852377561303314</v>
      </c>
      <c r="AA139" s="1">
        <f t="shared" si="78"/>
        <v>8.2733670144363316</v>
      </c>
      <c r="AB139" s="1">
        <v>0</v>
      </c>
      <c r="AC139" s="1">
        <f t="shared" si="79"/>
        <v>0.1403196335989044</v>
      </c>
      <c r="AD139" s="133">
        <f t="shared" si="80"/>
        <v>0.1403196335989044</v>
      </c>
      <c r="AE139" s="132">
        <f t="shared" si="92"/>
        <v>0.68960698689956301</v>
      </c>
      <c r="AF139" s="1">
        <f t="shared" si="81"/>
        <v>2.3978495673138673</v>
      </c>
      <c r="AG139" s="1">
        <f t="shared" si="69"/>
        <v>5.7496825474673005E-3</v>
      </c>
      <c r="AH139" s="1">
        <f t="shared" si="82"/>
        <v>0.51338510017149963</v>
      </c>
      <c r="AI139" s="133">
        <f t="shared" si="83"/>
        <v>0.51913478271896696</v>
      </c>
      <c r="AJ139" s="132">
        <f t="shared" si="84"/>
        <v>7.5200000000000005</v>
      </c>
      <c r="AK139" s="1">
        <f t="shared" si="85"/>
        <v>7.918264911462348</v>
      </c>
      <c r="AL139" s="1">
        <f t="shared" si="70"/>
        <v>6.2698919208095824E-2</v>
      </c>
      <c r="AM139" s="1">
        <f t="shared" si="86"/>
        <v>0.26083200000000001</v>
      </c>
      <c r="AN139" s="136">
        <f t="shared" si="93"/>
        <v>8.3077178131004362E-2</v>
      </c>
      <c r="AO139" s="133">
        <f t="shared" si="87"/>
        <v>0.40660809733910019</v>
      </c>
      <c r="AP139" s="132">
        <f t="shared" si="71"/>
        <v>0.13689720351112628</v>
      </c>
      <c r="AQ139" s="137">
        <f t="shared" si="72"/>
        <v>0.1403196335989044</v>
      </c>
      <c r="AR139" s="137">
        <f t="shared" si="73"/>
        <v>0.14027516926438754</v>
      </c>
      <c r="AS139" s="1">
        <f t="shared" si="74"/>
        <v>1.9759999999999996E-2</v>
      </c>
      <c r="AT139" s="133">
        <f t="shared" si="88"/>
        <v>0.21984000000000001</v>
      </c>
      <c r="AU139" s="132">
        <f t="shared" si="89"/>
        <v>1.7231545200313896</v>
      </c>
      <c r="AV139" s="1">
        <f t="shared" si="90"/>
        <v>451.2</v>
      </c>
      <c r="AW139" s="133">
        <f t="shared" si="91"/>
        <v>99.619548150092371</v>
      </c>
    </row>
    <row r="140" spans="17:49" x14ac:dyDescent="0.15">
      <c r="Q140">
        <v>133</v>
      </c>
      <c r="R140" s="132">
        <f t="shared" si="64"/>
        <v>60</v>
      </c>
      <c r="S140" s="1">
        <f t="shared" si="65"/>
        <v>7.52</v>
      </c>
      <c r="T140" s="1">
        <f t="shared" si="66"/>
        <v>55.24</v>
      </c>
      <c r="U140" s="133">
        <f t="shared" si="75"/>
        <v>8.1679942070963065</v>
      </c>
      <c r="V140" s="132">
        <f>IF(Calculations!$B$17=3,2,IF((S140*R140/T140)&lt;((T140*(1-(T140/R140)))/(2*Lm*fsw)),1,2))</f>
        <v>2</v>
      </c>
      <c r="W140" s="1">
        <f t="shared" si="76"/>
        <v>7.9333333333333256E-2</v>
      </c>
      <c r="X140" s="133">
        <f t="shared" si="67"/>
        <v>0.92066666666666674</v>
      </c>
      <c r="Y140" s="132">
        <f t="shared" si="68"/>
        <v>3.3710564102564069</v>
      </c>
      <c r="Z140" s="1">
        <f t="shared" si="77"/>
        <v>9.8535224122245104</v>
      </c>
      <c r="AA140" s="1">
        <f t="shared" si="78"/>
        <v>8.2257602167775179</v>
      </c>
      <c r="AB140" s="1">
        <v>0</v>
      </c>
      <c r="AC140" s="1">
        <f t="shared" si="79"/>
        <v>0.1387094188450354</v>
      </c>
      <c r="AD140" s="133">
        <f t="shared" si="80"/>
        <v>0.1387094188450354</v>
      </c>
      <c r="AE140" s="132">
        <f t="shared" si="92"/>
        <v>0.6479942070963064</v>
      </c>
      <c r="AF140" s="1">
        <f t="shared" si="81"/>
        <v>2.3168818997561416</v>
      </c>
      <c r="AG140" s="1">
        <f t="shared" si="69"/>
        <v>5.3679417374176272E-3</v>
      </c>
      <c r="AH140" s="1">
        <f t="shared" si="82"/>
        <v>0.51078285853413485</v>
      </c>
      <c r="AI140" s="133">
        <f t="shared" si="83"/>
        <v>0.51615080027155247</v>
      </c>
      <c r="AJ140" s="132">
        <f t="shared" si="84"/>
        <v>7.5200000000000005</v>
      </c>
      <c r="AK140" s="1">
        <f t="shared" si="85"/>
        <v>7.8927301617692533</v>
      </c>
      <c r="AL140" s="1">
        <f t="shared" si="70"/>
        <v>6.2295189406502104E-2</v>
      </c>
      <c r="AM140" s="1">
        <f t="shared" si="86"/>
        <v>0.26083200000000001</v>
      </c>
      <c r="AN140" s="136">
        <f t="shared" si="93"/>
        <v>8.1981306469707943E-2</v>
      </c>
      <c r="AO140" s="133">
        <f t="shared" si="87"/>
        <v>0.40510849587621001</v>
      </c>
      <c r="AP140" s="132">
        <f t="shared" si="71"/>
        <v>0.13532626228783942</v>
      </c>
      <c r="AQ140" s="137">
        <f t="shared" si="72"/>
        <v>0.1387094188450354</v>
      </c>
      <c r="AR140" s="137">
        <f t="shared" si="73"/>
        <v>0.12441480630597712</v>
      </c>
      <c r="AS140" s="1">
        <f t="shared" si="74"/>
        <v>1.9759999999999996E-2</v>
      </c>
      <c r="AT140" s="133">
        <f t="shared" si="88"/>
        <v>0.22096000000000002</v>
      </c>
      <c r="AU140" s="132">
        <f t="shared" si="89"/>
        <v>1.6991392024316501</v>
      </c>
      <c r="AV140" s="1">
        <f t="shared" si="90"/>
        <v>451.2</v>
      </c>
      <c r="AW140" s="133">
        <f t="shared" si="91"/>
        <v>99.624830551582875</v>
      </c>
    </row>
    <row r="141" spans="17:49" x14ac:dyDescent="0.15">
      <c r="Q141">
        <v>134</v>
      </c>
      <c r="R141" s="132">
        <f t="shared" si="64"/>
        <v>60</v>
      </c>
      <c r="S141" s="1">
        <f t="shared" si="65"/>
        <v>7.52</v>
      </c>
      <c r="T141" s="1">
        <f t="shared" si="66"/>
        <v>55.52</v>
      </c>
      <c r="U141" s="133">
        <f t="shared" si="75"/>
        <v>8.1268011527377517</v>
      </c>
      <c r="V141" s="132">
        <f>IF(Calculations!$B$17=3,2,IF((S141*R141/T141)&lt;((T141*(1-(T141/R141)))/(2*Lm*fsw)),1,2))</f>
        <v>2</v>
      </c>
      <c r="W141" s="1">
        <f t="shared" si="76"/>
        <v>7.4666666666666659E-2</v>
      </c>
      <c r="X141" s="133">
        <f t="shared" si="67"/>
        <v>0.92533333333333334</v>
      </c>
      <c r="Y141" s="132">
        <f t="shared" si="68"/>
        <v>3.1888410256410258</v>
      </c>
      <c r="Z141" s="1">
        <f t="shared" si="77"/>
        <v>9.7212216655582644</v>
      </c>
      <c r="AA141" s="1">
        <f t="shared" si="78"/>
        <v>8.1787706431574385</v>
      </c>
      <c r="AB141" s="1">
        <v>0</v>
      </c>
      <c r="AC141" s="1">
        <f t="shared" si="79"/>
        <v>0.13712919292841658</v>
      </c>
      <c r="AD141" s="133">
        <f t="shared" si="80"/>
        <v>0.13712919292841658</v>
      </c>
      <c r="AE141" s="132">
        <f t="shared" si="92"/>
        <v>0.60680115273775204</v>
      </c>
      <c r="AF141" s="1">
        <f t="shared" si="81"/>
        <v>2.2348656028402658</v>
      </c>
      <c r="AG141" s="1">
        <f t="shared" si="69"/>
        <v>4.9946242627585844E-3</v>
      </c>
      <c r="AH141" s="1">
        <f t="shared" si="82"/>
        <v>0.50820686429080708</v>
      </c>
      <c r="AI141" s="133">
        <f t="shared" si="83"/>
        <v>0.51320148855356562</v>
      </c>
      <c r="AJ141" s="132">
        <f t="shared" si="84"/>
        <v>7.52</v>
      </c>
      <c r="AK141" s="1">
        <f t="shared" si="85"/>
        <v>7.8675069094736312</v>
      </c>
      <c r="AL141" s="1">
        <f t="shared" si="70"/>
        <v>6.1897664970615329E-2</v>
      </c>
      <c r="AM141" s="1">
        <f t="shared" si="86"/>
        <v>0.26083200000000001</v>
      </c>
      <c r="AN141" s="136">
        <f t="shared" si="93"/>
        <v>8.0880564257444776E-2</v>
      </c>
      <c r="AO141" s="133">
        <f t="shared" si="87"/>
        <v>0.40361022922806011</v>
      </c>
      <c r="AP141" s="132">
        <f t="shared" si="71"/>
        <v>0.13378457846674788</v>
      </c>
      <c r="AQ141" s="137">
        <f t="shared" si="72"/>
        <v>0.13712919292841658</v>
      </c>
      <c r="AR141" s="137">
        <f t="shared" si="73"/>
        <v>0.10946348921972657</v>
      </c>
      <c r="AS141" s="1">
        <f t="shared" si="74"/>
        <v>1.9759999999999996E-2</v>
      </c>
      <c r="AT141" s="133">
        <f t="shared" si="88"/>
        <v>0.22208000000000003</v>
      </c>
      <c r="AU141" s="132">
        <f t="shared" si="89"/>
        <v>1.6761581713249334</v>
      </c>
      <c r="AV141" s="1">
        <f t="shared" si="90"/>
        <v>451.2</v>
      </c>
      <c r="AW141" s="133">
        <f t="shared" si="91"/>
        <v>99.62988597631346</v>
      </c>
    </row>
    <row r="142" spans="17:49" x14ac:dyDescent="0.15">
      <c r="Q142">
        <v>135</v>
      </c>
      <c r="R142" s="132">
        <f t="shared" si="64"/>
        <v>60</v>
      </c>
      <c r="S142" s="1">
        <f t="shared" si="65"/>
        <v>7.52</v>
      </c>
      <c r="T142" s="1">
        <f t="shared" si="66"/>
        <v>55.800000000000004</v>
      </c>
      <c r="U142" s="133">
        <f t="shared" si="75"/>
        <v>8.086021505376344</v>
      </c>
      <c r="V142" s="132">
        <f>IF(Calculations!$B$17=3,2,IF((S142*R142/T142)&lt;((T142*(1-(T142/R142)))/(2*Lm*fsw)),1,2))</f>
        <v>2</v>
      </c>
      <c r="W142" s="1">
        <f t="shared" si="76"/>
        <v>6.9999999999999951E-2</v>
      </c>
      <c r="X142" s="133">
        <f t="shared" si="67"/>
        <v>0.93</v>
      </c>
      <c r="Y142" s="132">
        <f t="shared" si="68"/>
        <v>3.0046153846153825</v>
      </c>
      <c r="Z142" s="1">
        <f t="shared" si="77"/>
        <v>9.5883291976840361</v>
      </c>
      <c r="AA142" s="1">
        <f t="shared" si="78"/>
        <v>8.1324075926421902</v>
      </c>
      <c r="AB142" s="1">
        <v>0</v>
      </c>
      <c r="AC142" s="1">
        <f t="shared" si="79"/>
        <v>0.1355789091683719</v>
      </c>
      <c r="AD142" s="133">
        <f t="shared" si="80"/>
        <v>0.1355789091683719</v>
      </c>
      <c r="AE142" s="132">
        <f t="shared" si="92"/>
        <v>0.56602150537634366</v>
      </c>
      <c r="AF142" s="1">
        <f t="shared" si="81"/>
        <v>2.15163280503447</v>
      </c>
      <c r="AG142" s="1">
        <f t="shared" si="69"/>
        <v>4.6295237277005014E-3</v>
      </c>
      <c r="AH142" s="1">
        <f t="shared" si="82"/>
        <v>0.50565672231945535</v>
      </c>
      <c r="AI142" s="133">
        <f t="shared" si="83"/>
        <v>0.51028624604715589</v>
      </c>
      <c r="AJ142" s="132">
        <f t="shared" si="84"/>
        <v>7.5200000000000005</v>
      </c>
      <c r="AK142" s="1">
        <f t="shared" si="85"/>
        <v>7.8426098669488757</v>
      </c>
      <c r="AL142" s="1">
        <f t="shared" si="70"/>
        <v>6.1506529525163861E-2</v>
      </c>
      <c r="AM142" s="1">
        <f t="shared" si="86"/>
        <v>0.26083200000000001</v>
      </c>
      <c r="AN142" s="136">
        <f t="shared" si="93"/>
        <v>7.9774898924731191E-2</v>
      </c>
      <c r="AO142" s="133">
        <f t="shared" si="87"/>
        <v>0.40211342844989506</v>
      </c>
      <c r="AP142" s="132">
        <f t="shared" si="71"/>
        <v>0.13227210650572868</v>
      </c>
      <c r="AQ142" s="137">
        <f t="shared" si="72"/>
        <v>0.1355789091683719</v>
      </c>
      <c r="AR142" s="137">
        <f t="shared" si="73"/>
        <v>9.5438752218789613E-2</v>
      </c>
      <c r="AS142" s="1">
        <f t="shared" si="74"/>
        <v>1.9759999999999996E-2</v>
      </c>
      <c r="AT142" s="133">
        <f t="shared" si="88"/>
        <v>0.22320000000000001</v>
      </c>
      <c r="AU142" s="132">
        <f t="shared" si="89"/>
        <v>1.6542283515583129</v>
      </c>
      <c r="AV142" s="1">
        <f t="shared" si="90"/>
        <v>451.2</v>
      </c>
      <c r="AW142" s="133">
        <f t="shared" si="91"/>
        <v>99.634710631370311</v>
      </c>
    </row>
    <row r="143" spans="17:49" x14ac:dyDescent="0.15">
      <c r="Q143">
        <v>136</v>
      </c>
      <c r="R143" s="132">
        <f t="shared" si="64"/>
        <v>60</v>
      </c>
      <c r="S143" s="1">
        <f t="shared" si="65"/>
        <v>7.52</v>
      </c>
      <c r="T143" s="1">
        <f t="shared" si="66"/>
        <v>56.080000000000005</v>
      </c>
      <c r="U143" s="133">
        <f t="shared" si="75"/>
        <v>8.0456490727532088</v>
      </c>
      <c r="V143" s="132">
        <f>IF(Calculations!$B$17=3,2,IF((S143*R143/T143)&lt;((T143*(1-(T143/R143)))/(2*Lm*fsw)),1,2))</f>
        <v>2</v>
      </c>
      <c r="W143" s="1">
        <f t="shared" si="76"/>
        <v>6.5333333333333243E-2</v>
      </c>
      <c r="X143" s="133">
        <f t="shared" si="67"/>
        <v>0.93466666666666676</v>
      </c>
      <c r="Y143" s="132">
        <f t="shared" si="68"/>
        <v>2.8183794871794836</v>
      </c>
      <c r="Z143" s="1">
        <f t="shared" si="77"/>
        <v>9.4548388163429511</v>
      </c>
      <c r="AA143" s="1">
        <f t="shared" si="78"/>
        <v>8.0866808753472785</v>
      </c>
      <c r="AB143" s="1">
        <v>0</v>
      </c>
      <c r="AC143" s="1">
        <f t="shared" si="79"/>
        <v>0.13405853553840022</v>
      </c>
      <c r="AD143" s="133">
        <f t="shared" si="80"/>
        <v>0.13405853553840022</v>
      </c>
      <c r="AE143" s="132">
        <f t="shared" si="92"/>
        <v>0.52564907275320893</v>
      </c>
      <c r="AF143" s="1">
        <f t="shared" si="81"/>
        <v>2.0669868476942175</v>
      </c>
      <c r="AG143" s="1">
        <f t="shared" si="69"/>
        <v>4.2724346285408785E-3</v>
      </c>
      <c r="AH143" s="1">
        <f t="shared" si="82"/>
        <v>0.5031320453891871</v>
      </c>
      <c r="AI143" s="133">
        <f t="shared" si="83"/>
        <v>0.50740448001772798</v>
      </c>
      <c r="AJ143" s="132">
        <f t="shared" si="84"/>
        <v>7.52</v>
      </c>
      <c r="AK143" s="1">
        <f t="shared" si="85"/>
        <v>7.8180542944626907</v>
      </c>
      <c r="AL143" s="1">
        <f t="shared" si="70"/>
        <v>6.1121972951166517E-2</v>
      </c>
      <c r="AM143" s="1">
        <f t="shared" si="86"/>
        <v>0.26083200000000001</v>
      </c>
      <c r="AN143" s="136">
        <f t="shared" si="93"/>
        <v>7.8664258951973362E-2</v>
      </c>
      <c r="AO143" s="133">
        <f t="shared" si="87"/>
        <v>0.40061823190313989</v>
      </c>
      <c r="AP143" s="132">
        <f t="shared" si="71"/>
        <v>0.13078881515941487</v>
      </c>
      <c r="AQ143" s="137">
        <f t="shared" si="72"/>
        <v>0.13405853553840022</v>
      </c>
      <c r="AR143" s="137">
        <f t="shared" si="73"/>
        <v>8.2356510136972108E-2</v>
      </c>
      <c r="AS143" s="1">
        <f t="shared" si="74"/>
        <v>1.9759999999999996E-2</v>
      </c>
      <c r="AT143" s="133">
        <f t="shared" si="88"/>
        <v>0.22432000000000002</v>
      </c>
      <c r="AU143" s="132">
        <f t="shared" si="89"/>
        <v>1.6333651082940555</v>
      </c>
      <c r="AV143" s="1">
        <f t="shared" si="90"/>
        <v>451.2</v>
      </c>
      <c r="AW143" s="133">
        <f t="shared" si="91"/>
        <v>99.639301068748892</v>
      </c>
    </row>
    <row r="144" spans="17:49" x14ac:dyDescent="0.15">
      <c r="Q144">
        <v>137</v>
      </c>
      <c r="R144" s="132">
        <f t="shared" si="64"/>
        <v>60</v>
      </c>
      <c r="S144" s="1">
        <f t="shared" si="65"/>
        <v>7.52</v>
      </c>
      <c r="T144" s="1">
        <f t="shared" si="66"/>
        <v>56.360000000000007</v>
      </c>
      <c r="U144" s="133">
        <f t="shared" si="75"/>
        <v>8.0056777856635897</v>
      </c>
      <c r="V144" s="132">
        <f>IF(Calculations!$B$17=3,2,IF((S144*R144/T144)&lt;((T144*(1-(T144/R144)))/(2*Lm*fsw)),1,2))</f>
        <v>2</v>
      </c>
      <c r="W144" s="1">
        <f t="shared" si="76"/>
        <v>6.0666666666666536E-2</v>
      </c>
      <c r="X144" s="133">
        <f t="shared" si="67"/>
        <v>0.93933333333333346</v>
      </c>
      <c r="Y144" s="132">
        <f t="shared" si="68"/>
        <v>2.6301333333333279</v>
      </c>
      <c r="Z144" s="1">
        <f t="shared" si="77"/>
        <v>9.3207444523302527</v>
      </c>
      <c r="AA144" s="1">
        <f t="shared" si="78"/>
        <v>8.0416008099834659</v>
      </c>
      <c r="AB144" s="1">
        <v>0</v>
      </c>
      <c r="AC144" s="1">
        <f t="shared" si="79"/>
        <v>0.1325680543536098</v>
      </c>
      <c r="AD144" s="133">
        <f t="shared" si="80"/>
        <v>0.1325680543536098</v>
      </c>
      <c r="AE144" s="132">
        <f t="shared" si="92"/>
        <v>0.48567778566359004</v>
      </c>
      <c r="AF144" s="1">
        <f t="shared" si="81"/>
        <v>1.9806948724170041</v>
      </c>
      <c r="AG144" s="1">
        <f t="shared" si="69"/>
        <v>3.9231521776190124E-3</v>
      </c>
      <c r="AH144" s="1">
        <f t="shared" si="82"/>
        <v>0.50063245396425848</v>
      </c>
      <c r="AI144" s="133">
        <f t="shared" si="83"/>
        <v>0.50455560614187744</v>
      </c>
      <c r="AJ144" s="132">
        <f t="shared" si="84"/>
        <v>7.52</v>
      </c>
      <c r="AK144" s="1">
        <f t="shared" si="85"/>
        <v>7.7938560038986928</v>
      </c>
      <c r="AL144" s="1">
        <f t="shared" si="70"/>
        <v>6.0744191409507702E-2</v>
      </c>
      <c r="AM144" s="1">
        <f t="shared" si="86"/>
        <v>0.26083200000000001</v>
      </c>
      <c r="AN144" s="136">
        <f t="shared" si="93"/>
        <v>7.7548593843387706E-2</v>
      </c>
      <c r="AO144" s="133">
        <f t="shared" si="87"/>
        <v>0.39912478525289541</v>
      </c>
      <c r="AP144" s="132">
        <f t="shared" si="71"/>
        <v>0.12933468717425348</v>
      </c>
      <c r="AQ144" s="137">
        <f t="shared" si="72"/>
        <v>0.1325680543536098</v>
      </c>
      <c r="AR144" s="137">
        <f t="shared" si="73"/>
        <v>7.023085074674025E-2</v>
      </c>
      <c r="AS144" s="1">
        <f t="shared" si="74"/>
        <v>1.9759999999999996E-2</v>
      </c>
      <c r="AT144" s="133">
        <f t="shared" si="88"/>
        <v>0.22544000000000003</v>
      </c>
      <c r="AU144" s="132">
        <f t="shared" si="89"/>
        <v>1.6135820380229862</v>
      </c>
      <c r="AV144" s="1">
        <f t="shared" si="90"/>
        <v>451.2</v>
      </c>
      <c r="AW144" s="133">
        <f t="shared" si="91"/>
        <v>99.643654231668449</v>
      </c>
    </row>
    <row r="145" spans="17:49" x14ac:dyDescent="0.15">
      <c r="Q145">
        <v>138</v>
      </c>
      <c r="R145" s="132">
        <f t="shared" si="64"/>
        <v>60</v>
      </c>
      <c r="S145" s="1">
        <f t="shared" si="65"/>
        <v>7.52</v>
      </c>
      <c r="T145" s="1">
        <f t="shared" si="66"/>
        <v>56.64</v>
      </c>
      <c r="U145" s="133">
        <f t="shared" si="75"/>
        <v>7.9661016949152543</v>
      </c>
      <c r="V145" s="132">
        <f>IF(Calculations!$B$17=3,2,IF((S145*R145/T145)&lt;((T145*(1-(T145/R145)))/(2*Lm*fsw)),1,2))</f>
        <v>2</v>
      </c>
      <c r="W145" s="1">
        <f t="shared" si="76"/>
        <v>5.5999999999999939E-2</v>
      </c>
      <c r="X145" s="133">
        <f t="shared" si="67"/>
        <v>0.94400000000000006</v>
      </c>
      <c r="Y145" s="132">
        <f t="shared" si="68"/>
        <v>2.4398769230769202</v>
      </c>
      <c r="Z145" s="1">
        <f t="shared" si="77"/>
        <v>9.1860401564537142</v>
      </c>
      <c r="AA145" s="1">
        <f t="shared" si="78"/>
        <v>7.9971782209130051</v>
      </c>
      <c r="AB145" s="1">
        <v>0</v>
      </c>
      <c r="AC145" s="1">
        <f t="shared" si="79"/>
        <v>0.13110746196894285</v>
      </c>
      <c r="AD145" s="133">
        <f t="shared" si="80"/>
        <v>0.13110746196894285</v>
      </c>
      <c r="AE145" s="132">
        <f t="shared" si="92"/>
        <v>0.44610169491525375</v>
      </c>
      <c r="AF145" s="1">
        <f t="shared" si="81"/>
        <v>1.8924777757835183</v>
      </c>
      <c r="AG145" s="1">
        <f t="shared" si="69"/>
        <v>3.5814721318345325E-3</v>
      </c>
      <c r="AH145" s="1">
        <f t="shared" si="82"/>
        <v>0.49815757601387034</v>
      </c>
      <c r="AI145" s="133">
        <f t="shared" si="83"/>
        <v>0.50173904814570491</v>
      </c>
      <c r="AJ145" s="132">
        <f t="shared" si="84"/>
        <v>7.5200000000000005</v>
      </c>
      <c r="AK145" s="1">
        <f t="shared" si="85"/>
        <v>7.7700313619193819</v>
      </c>
      <c r="AL145" s="1">
        <f t="shared" si="70"/>
        <v>6.0373387365210772E-2</v>
      </c>
      <c r="AM145" s="1">
        <f t="shared" si="86"/>
        <v>0.26083200000000001</v>
      </c>
      <c r="AN145" s="136">
        <f t="shared" si="93"/>
        <v>7.6427854101694906E-2</v>
      </c>
      <c r="AO145" s="133">
        <f t="shared" si="87"/>
        <v>0.39763324146690565</v>
      </c>
      <c r="AP145" s="132">
        <f t="shared" si="71"/>
        <v>0.12790971899409059</v>
      </c>
      <c r="AQ145" s="137">
        <f t="shared" si="72"/>
        <v>0.13110746196894285</v>
      </c>
      <c r="AR145" s="137">
        <f t="shared" si="73"/>
        <v>5.9073791263034421E-2</v>
      </c>
      <c r="AS145" s="1">
        <f t="shared" si="74"/>
        <v>1.9759999999999996E-2</v>
      </c>
      <c r="AT145" s="133">
        <f t="shared" si="88"/>
        <v>0.22656000000000001</v>
      </c>
      <c r="AU145" s="132">
        <f t="shared" si="89"/>
        <v>1.5948907238076213</v>
      </c>
      <c r="AV145" s="1">
        <f t="shared" si="90"/>
        <v>451.2</v>
      </c>
      <c r="AW145" s="133">
        <f t="shared" si="91"/>
        <v>99.647767508759173</v>
      </c>
    </row>
    <row r="146" spans="17:49" x14ac:dyDescent="0.15">
      <c r="Q146">
        <v>139</v>
      </c>
      <c r="R146" s="132">
        <f t="shared" si="64"/>
        <v>60</v>
      </c>
      <c r="S146" s="1">
        <f t="shared" si="65"/>
        <v>7.52</v>
      </c>
      <c r="T146" s="1">
        <f t="shared" si="66"/>
        <v>56.92</v>
      </c>
      <c r="U146" s="133">
        <f t="shared" si="75"/>
        <v>7.9269149683766686</v>
      </c>
      <c r="V146" s="132">
        <f>IF(Calculations!$B$17=3,2,IF((S146*R146/T146)&lt;((T146*(1-(T146/R146)))/(2*Lm*fsw)),1,2))</f>
        <v>2</v>
      </c>
      <c r="W146" s="1">
        <f t="shared" si="76"/>
        <v>5.1333333333333342E-2</v>
      </c>
      <c r="X146" s="133">
        <f t="shared" si="67"/>
        <v>0.94866666666666666</v>
      </c>
      <c r="Y146" s="132">
        <f t="shared" si="68"/>
        <v>2.2476102564102569</v>
      </c>
      <c r="Z146" s="1">
        <f t="shared" si="77"/>
        <v>9.0507200965817969</v>
      </c>
      <c r="AA146" s="1">
        <f t="shared" si="78"/>
        <v>7.9534244346654939</v>
      </c>
      <c r="AB146" s="1">
        <v>0</v>
      </c>
      <c r="AC146" s="1">
        <f t="shared" si="79"/>
        <v>0.12967676848776494</v>
      </c>
      <c r="AD146" s="133">
        <f t="shared" si="80"/>
        <v>0.12967676848776494</v>
      </c>
      <c r="AE146" s="132">
        <f t="shared" si="92"/>
        <v>0.40691496837666907</v>
      </c>
      <c r="AF146" s="1">
        <f t="shared" si="81"/>
        <v>1.8019962889937609</v>
      </c>
      <c r="AG146" s="1">
        <f t="shared" si="69"/>
        <v>3.2471906255472859E-3</v>
      </c>
      <c r="AH146" s="1">
        <f t="shared" si="82"/>
        <v>0.49570704682757577</v>
      </c>
      <c r="AI146" s="133">
        <f t="shared" si="83"/>
        <v>0.49895423745312306</v>
      </c>
      <c r="AJ146" s="132">
        <f t="shared" si="84"/>
        <v>7.52</v>
      </c>
      <c r="AK146" s="1">
        <f t="shared" si="85"/>
        <v>7.746597292514104</v>
      </c>
      <c r="AL146" s="1">
        <f t="shared" si="70"/>
        <v>6.0009769612386847E-2</v>
      </c>
      <c r="AM146" s="1">
        <f t="shared" si="86"/>
        <v>0.26083200000000001</v>
      </c>
      <c r="AN146" s="136">
        <f t="shared" si="93"/>
        <v>7.5301991203560556E-2</v>
      </c>
      <c r="AO146" s="133">
        <f t="shared" si="87"/>
        <v>0.39614376081594743</v>
      </c>
      <c r="AP146" s="132">
        <f t="shared" si="71"/>
        <v>0.12651392047586826</v>
      </c>
      <c r="AQ146" s="137">
        <f t="shared" si="72"/>
        <v>0.12967676848776494</v>
      </c>
      <c r="AR146" s="137">
        <f t="shared" si="73"/>
        <v>4.8894989124603175E-2</v>
      </c>
      <c r="AS146" s="1">
        <f t="shared" si="74"/>
        <v>1.9759999999999996E-2</v>
      </c>
      <c r="AT146" s="133">
        <f t="shared" si="88"/>
        <v>0.22768000000000002</v>
      </c>
      <c r="AU146" s="132">
        <f t="shared" si="89"/>
        <v>1.5773004448450718</v>
      </c>
      <c r="AV146" s="1">
        <f t="shared" si="90"/>
        <v>451.2</v>
      </c>
      <c r="AW146" s="133">
        <f t="shared" si="91"/>
        <v>99.651638798302073</v>
      </c>
    </row>
    <row r="147" spans="17:49" x14ac:dyDescent="0.15">
      <c r="Q147">
        <v>140</v>
      </c>
      <c r="R147" s="132">
        <f t="shared" si="64"/>
        <v>60</v>
      </c>
      <c r="S147" s="1">
        <f t="shared" si="65"/>
        <v>7.52</v>
      </c>
      <c r="T147" s="1">
        <f t="shared" si="66"/>
        <v>57.2</v>
      </c>
      <c r="U147" s="133">
        <f t="shared" si="75"/>
        <v>7.8881118881118875</v>
      </c>
      <c r="V147" s="132">
        <f>IF(Calculations!$B$17=3,2,IF((S147*R147/T147)&lt;((T147*(1-(T147/R147)))/(2*Lm*fsw)),1,2))</f>
        <v>2</v>
      </c>
      <c r="W147" s="1">
        <f t="shared" si="76"/>
        <v>4.6666666666666634E-2</v>
      </c>
      <c r="X147" s="133">
        <f t="shared" si="67"/>
        <v>0.95333333333333337</v>
      </c>
      <c r="Y147" s="132">
        <f t="shared" si="68"/>
        <v>2.0533333333333319</v>
      </c>
      <c r="Z147" s="1">
        <f t="shared" si="77"/>
        <v>8.9147785547785539</v>
      </c>
      <c r="AA147" s="1">
        <f t="shared" si="78"/>
        <v>7.9103512758612835</v>
      </c>
      <c r="AB147" s="1">
        <v>0</v>
      </c>
      <c r="AC147" s="1">
        <f t="shared" si="79"/>
        <v>0.12827599748041646</v>
      </c>
      <c r="AD147" s="133">
        <f t="shared" si="80"/>
        <v>0.12827599748041646</v>
      </c>
      <c r="AE147" s="132">
        <f t="shared" si="92"/>
        <v>0.36811188811188783</v>
      </c>
      <c r="AF147" s="1">
        <f t="shared" si="81"/>
        <v>1.708831181739225</v>
      </c>
      <c r="AG147" s="1">
        <f t="shared" si="69"/>
        <v>2.9201040076842761E-3</v>
      </c>
      <c r="AH147" s="1">
        <f t="shared" si="82"/>
        <v>0.49328050883611207</v>
      </c>
      <c r="AI147" s="133">
        <f t="shared" si="83"/>
        <v>0.49620061284379635</v>
      </c>
      <c r="AJ147" s="132">
        <f t="shared" si="84"/>
        <v>7.52</v>
      </c>
      <c r="AK147" s="1">
        <f t="shared" si="85"/>
        <v>7.7235712788732629</v>
      </c>
      <c r="AL147" s="1">
        <f t="shared" si="70"/>
        <v>5.9653553299835974E-2</v>
      </c>
      <c r="AM147" s="1">
        <f t="shared" si="86"/>
        <v>0.26083200000000001</v>
      </c>
      <c r="AN147" s="136">
        <f t="shared" si="93"/>
        <v>7.4170957575757576E-2</v>
      </c>
      <c r="AO147" s="133">
        <f t="shared" si="87"/>
        <v>0.39465651087559356</v>
      </c>
      <c r="AP147" s="132">
        <f t="shared" si="71"/>
        <v>0.12514731461504047</v>
      </c>
      <c r="AQ147" s="137">
        <f t="shared" si="72"/>
        <v>0.12827599748041646</v>
      </c>
      <c r="AR147" s="137">
        <f t="shared" si="73"/>
        <v>3.9701393246579841E-2</v>
      </c>
      <c r="AS147" s="1">
        <f t="shared" si="74"/>
        <v>1.9759999999999996E-2</v>
      </c>
      <c r="AT147" s="133">
        <f t="shared" si="88"/>
        <v>0.2288</v>
      </c>
      <c r="AU147" s="132">
        <f t="shared" si="89"/>
        <v>1.5608178265418431</v>
      </c>
      <c r="AV147" s="1">
        <f t="shared" si="90"/>
        <v>451.2</v>
      </c>
      <c r="AW147" s="133">
        <f t="shared" si="91"/>
        <v>99.655266585559573</v>
      </c>
    </row>
    <row r="148" spans="17:49" x14ac:dyDescent="0.15">
      <c r="Q148">
        <v>141</v>
      </c>
      <c r="R148" s="132">
        <f t="shared" si="64"/>
        <v>60</v>
      </c>
      <c r="S148" s="1">
        <f t="shared" si="65"/>
        <v>7.52</v>
      </c>
      <c r="T148" s="1">
        <f t="shared" si="66"/>
        <v>57.480000000000004</v>
      </c>
      <c r="U148" s="133">
        <f t="shared" si="75"/>
        <v>7.8496868475991644</v>
      </c>
      <c r="V148" s="132">
        <f>IF(Calculations!$B$17=3,2,IF((S148*R148/T148)&lt;((T148*(1-(T148/R148)))/(2*Lm*fsw)),1,2))</f>
        <v>2</v>
      </c>
      <c r="W148" s="1">
        <f t="shared" si="76"/>
        <v>4.1999999999999926E-2</v>
      </c>
      <c r="X148" s="133">
        <f t="shared" si="67"/>
        <v>0.95800000000000007</v>
      </c>
      <c r="Y148" s="132">
        <f t="shared" si="68"/>
        <v>1.8570461538461507</v>
      </c>
      <c r="Z148" s="1">
        <f t="shared" si="77"/>
        <v>8.7782099245222405</v>
      </c>
      <c r="AA148" s="1">
        <f t="shared" si="78"/>
        <v>7.8679710624889951</v>
      </c>
      <c r="AB148" s="1">
        <v>0</v>
      </c>
      <c r="AC148" s="1">
        <f t="shared" si="79"/>
        <v>0.12690518571233661</v>
      </c>
      <c r="AD148" s="133">
        <f t="shared" si="80"/>
        <v>0.12690518571233661</v>
      </c>
      <c r="AE148" s="132">
        <f t="shared" si="92"/>
        <v>0.32968684759916433</v>
      </c>
      <c r="AF148" s="1">
        <f t="shared" si="81"/>
        <v>1.6124542421063899</v>
      </c>
      <c r="AG148" s="1">
        <f t="shared" si="69"/>
        <v>2.6000086828868924E-3</v>
      </c>
      <c r="AH148" s="1">
        <f t="shared" si="82"/>
        <v>0.49087761143746722</v>
      </c>
      <c r="AI148" s="133">
        <f t="shared" si="83"/>
        <v>0.49347762012035412</v>
      </c>
      <c r="AJ148" s="132">
        <f t="shared" si="84"/>
        <v>7.5200000000000005</v>
      </c>
      <c r="AK148" s="1">
        <f t="shared" si="85"/>
        <v>7.7009713645278097</v>
      </c>
      <c r="AL148" s="1">
        <f t="shared" si="70"/>
        <v>5.9304959957277317E-2</v>
      </c>
      <c r="AM148" s="1">
        <f t="shared" si="86"/>
        <v>0.26083200000000001</v>
      </c>
      <c r="AN148" s="136">
        <f t="shared" si="93"/>
        <v>7.3034706572025043E-2</v>
      </c>
      <c r="AO148" s="133">
        <f t="shared" si="87"/>
        <v>0.39317166652930235</v>
      </c>
      <c r="AP148" s="132">
        <f t="shared" si="71"/>
        <v>0.12380993728032842</v>
      </c>
      <c r="AQ148" s="137">
        <f t="shared" si="72"/>
        <v>0.12690518571233661</v>
      </c>
      <c r="AR148" s="137">
        <f t="shared" si="73"/>
        <v>3.149681597371045E-2</v>
      </c>
      <c r="AS148" s="1">
        <f t="shared" si="74"/>
        <v>1.9759999999999996E-2</v>
      </c>
      <c r="AT148" s="133">
        <f t="shared" si="88"/>
        <v>0.22992000000000001</v>
      </c>
      <c r="AU148" s="132">
        <f t="shared" si="89"/>
        <v>1.5454464113283684</v>
      </c>
      <c r="AV148" s="1">
        <f t="shared" si="90"/>
        <v>451.2</v>
      </c>
      <c r="AW148" s="133">
        <f t="shared" si="91"/>
        <v>99.658650037547957</v>
      </c>
    </row>
    <row r="149" spans="17:49" x14ac:dyDescent="0.15">
      <c r="Q149">
        <v>142</v>
      </c>
      <c r="R149" s="132">
        <f t="shared" si="64"/>
        <v>60</v>
      </c>
      <c r="S149" s="1">
        <f t="shared" si="65"/>
        <v>7.52</v>
      </c>
      <c r="T149" s="1">
        <f t="shared" si="66"/>
        <v>57.760000000000005</v>
      </c>
      <c r="U149" s="133">
        <f t="shared" si="75"/>
        <v>7.81163434903047</v>
      </c>
      <c r="V149" s="132">
        <f>IF(Calculations!$B$17=3,2,IF((S149*R149/T149)&lt;((T149*(1-(T149/R149)))/(2*Lm*fsw)),1,2))</f>
        <v>2</v>
      </c>
      <c r="W149" s="1">
        <f t="shared" si="76"/>
        <v>3.7333333333333218E-2</v>
      </c>
      <c r="X149" s="133">
        <f t="shared" si="67"/>
        <v>0.96266666666666678</v>
      </c>
      <c r="Y149" s="132">
        <f t="shared" si="68"/>
        <v>1.658748717948713</v>
      </c>
      <c r="Z149" s="1">
        <f t="shared" si="77"/>
        <v>8.6410087080048257</v>
      </c>
      <c r="AA149" s="1">
        <f t="shared" si="78"/>
        <v>7.8262966004827215</v>
      </c>
      <c r="AB149" s="1">
        <v>0</v>
      </c>
      <c r="AC149" s="1">
        <f t="shared" si="79"/>
        <v>0.12556438288139116</v>
      </c>
      <c r="AD149" s="133">
        <f t="shared" si="80"/>
        <v>0.12556438288139116</v>
      </c>
      <c r="AE149" s="132">
        <f t="shared" si="92"/>
        <v>0.29163434903046997</v>
      </c>
      <c r="AF149" s="1">
        <f t="shared" si="81"/>
        <v>1.5121841675335543</v>
      </c>
      <c r="AG149" s="1">
        <f t="shared" si="69"/>
        <v>2.2867009565391487E-3</v>
      </c>
      <c r="AH149" s="1">
        <f t="shared" si="82"/>
        <v>0.48849801082800576</v>
      </c>
      <c r="AI149" s="133">
        <f t="shared" si="83"/>
        <v>0.49078471178454491</v>
      </c>
      <c r="AJ149" s="132">
        <f t="shared" si="84"/>
        <v>7.5200000000000005</v>
      </c>
      <c r="AK149" s="1">
        <f t="shared" si="85"/>
        <v>7.6788161536911561</v>
      </c>
      <c r="AL149" s="1">
        <f t="shared" si="70"/>
        <v>5.8964217522188243E-2</v>
      </c>
      <c r="AM149" s="1">
        <f t="shared" si="86"/>
        <v>0.26083200000000001</v>
      </c>
      <c r="AN149" s="136">
        <f t="shared" si="93"/>
        <v>7.1893192450600163E-2</v>
      </c>
      <c r="AO149" s="133">
        <f t="shared" si="87"/>
        <v>0.39168940997278839</v>
      </c>
      <c r="AP149" s="132">
        <f t="shared" si="71"/>
        <v>0.1225018369574548</v>
      </c>
      <c r="AQ149" s="137">
        <f t="shared" si="72"/>
        <v>0.12556438288139116</v>
      </c>
      <c r="AR149" s="137">
        <f t="shared" si="73"/>
        <v>2.4281396496406791E-2</v>
      </c>
      <c r="AS149" s="1">
        <f t="shared" si="74"/>
        <v>1.9759999999999996E-2</v>
      </c>
      <c r="AT149" s="133">
        <f t="shared" si="88"/>
        <v>0.23104000000000002</v>
      </c>
      <c r="AU149" s="132">
        <f t="shared" si="89"/>
        <v>1.5311861209739772</v>
      </c>
      <c r="AV149" s="1">
        <f t="shared" si="90"/>
        <v>451.2</v>
      </c>
      <c r="AW149" s="133">
        <f t="shared" si="91"/>
        <v>99.661789121687576</v>
      </c>
    </row>
    <row r="150" spans="17:49" x14ac:dyDescent="0.15">
      <c r="Q150">
        <v>143</v>
      </c>
      <c r="R150" s="132">
        <f t="shared" si="64"/>
        <v>60</v>
      </c>
      <c r="S150" s="1">
        <f t="shared" si="65"/>
        <v>7.52</v>
      </c>
      <c r="T150" s="1">
        <f t="shared" si="66"/>
        <v>58.040000000000006</v>
      </c>
      <c r="U150" s="133">
        <f t="shared" si="75"/>
        <v>7.7739490006891785</v>
      </c>
      <c r="V150" s="132">
        <f>IF(Calculations!$B$17=3,2,IF((S150*R150/T150)&lt;((T150*(1-(T150/R150)))/(2*Lm*fsw)),1,2))</f>
        <v>2</v>
      </c>
      <c r="W150" s="1">
        <f t="shared" si="76"/>
        <v>3.2666666666666511E-2</v>
      </c>
      <c r="X150" s="133">
        <f t="shared" si="67"/>
        <v>0.96733333333333349</v>
      </c>
      <c r="Y150" s="132">
        <f t="shared" si="68"/>
        <v>1.4584410256410187</v>
      </c>
      <c r="Z150" s="1">
        <f t="shared" si="77"/>
        <v>8.5031695135096879</v>
      </c>
      <c r="AA150" s="1">
        <f t="shared" si="78"/>
        <v>7.7853411775435815</v>
      </c>
      <c r="AB150" s="1">
        <v>0</v>
      </c>
      <c r="AC150" s="1">
        <f t="shared" si="79"/>
        <v>0.12425365136404913</v>
      </c>
      <c r="AD150" s="133">
        <f t="shared" si="80"/>
        <v>0.12425365136404913</v>
      </c>
      <c r="AE150" s="132">
        <f t="shared" si="92"/>
        <v>0.25394900068917864</v>
      </c>
      <c r="AF150" s="1">
        <f t="shared" si="81"/>
        <v>1.4071165138412227</v>
      </c>
      <c r="AG150" s="1">
        <f t="shared" si="69"/>
        <v>1.9799768835246758E-3</v>
      </c>
      <c r="AH150" s="1">
        <f t="shared" si="82"/>
        <v>0.48614136983848394</v>
      </c>
      <c r="AI150" s="133">
        <f t="shared" si="83"/>
        <v>0.48812134672200863</v>
      </c>
      <c r="AJ150" s="132">
        <f t="shared" si="84"/>
        <v>7.52</v>
      </c>
      <c r="AK150" s="1">
        <f t="shared" si="85"/>
        <v>7.657124810738754</v>
      </c>
      <c r="AL150" s="1">
        <f t="shared" si="70"/>
        <v>5.8631560367230995E-2</v>
      </c>
      <c r="AM150" s="1">
        <f t="shared" si="86"/>
        <v>0.26083200000000001</v>
      </c>
      <c r="AN150" s="136">
        <f t="shared" si="93"/>
        <v>7.0746370352400612E-2</v>
      </c>
      <c r="AO150" s="133">
        <f t="shared" si="87"/>
        <v>0.39020993071963161</v>
      </c>
      <c r="AP150" s="132">
        <f t="shared" si="71"/>
        <v>0.12122307450151136</v>
      </c>
      <c r="AQ150" s="137">
        <f t="shared" si="72"/>
        <v>0.12425365136404913</v>
      </c>
      <c r="AR150" s="137">
        <f t="shared" si="73"/>
        <v>1.8050910791754724E-2</v>
      </c>
      <c r="AS150" s="1">
        <f t="shared" si="74"/>
        <v>1.9759999999999996E-2</v>
      </c>
      <c r="AT150" s="133">
        <f t="shared" si="88"/>
        <v>0.23216000000000003</v>
      </c>
      <c r="AU150" s="132">
        <f t="shared" si="89"/>
        <v>1.5180325654630047</v>
      </c>
      <c r="AV150" s="1">
        <f t="shared" si="90"/>
        <v>451.2</v>
      </c>
      <c r="AW150" s="133">
        <f t="shared" si="91"/>
        <v>99.66468475822343</v>
      </c>
    </row>
    <row r="151" spans="17:49" x14ac:dyDescent="0.15">
      <c r="Q151">
        <v>144</v>
      </c>
      <c r="R151" s="132">
        <f t="shared" si="64"/>
        <v>60</v>
      </c>
      <c r="S151" s="1">
        <f t="shared" si="65"/>
        <v>7.52</v>
      </c>
      <c r="T151" s="1">
        <f t="shared" si="66"/>
        <v>58.320000000000007</v>
      </c>
      <c r="U151" s="133">
        <f t="shared" si="75"/>
        <v>7.7366255144032907</v>
      </c>
      <c r="V151" s="132">
        <f>IF(Calculations!$B$17=3,2,IF((S151*R151/T151)&lt;((T151*(1-(T151/R151)))/(2*Lm*fsw)),1,2))</f>
        <v>2</v>
      </c>
      <c r="W151" s="1">
        <f t="shared" si="76"/>
        <v>2.7999999999999914E-2</v>
      </c>
      <c r="X151" s="133">
        <f t="shared" si="67"/>
        <v>0.97200000000000009</v>
      </c>
      <c r="Y151" s="132">
        <f t="shared" si="68"/>
        <v>1.2561230769230731</v>
      </c>
      <c r="Z151" s="1">
        <f t="shared" si="77"/>
        <v>8.3646870528648272</v>
      </c>
      <c r="AA151" s="1">
        <f t="shared" si="78"/>
        <v>7.745118556149686</v>
      </c>
      <c r="AB151" s="1">
        <v>0</v>
      </c>
      <c r="AC151" s="1">
        <f t="shared" si="79"/>
        <v>0.12297306597006909</v>
      </c>
      <c r="AD151" s="133">
        <f t="shared" si="80"/>
        <v>0.12297306597006909</v>
      </c>
      <c r="AE151" s="132">
        <f t="shared" si="92"/>
        <v>0.21662551440329147</v>
      </c>
      <c r="AF151" s="1">
        <f t="shared" si="81"/>
        <v>1.2960062193395494</v>
      </c>
      <c r="AG151" s="1">
        <f t="shared" si="69"/>
        <v>1.6796321205667924E-3</v>
      </c>
      <c r="AH151" s="1">
        <f t="shared" si="82"/>
        <v>0.48380735777478756</v>
      </c>
      <c r="AI151" s="133">
        <f t="shared" si="83"/>
        <v>0.48548698989535433</v>
      </c>
      <c r="AJ151" s="132">
        <f t="shared" si="84"/>
        <v>7.52</v>
      </c>
      <c r="AK151" s="1">
        <f t="shared" si="85"/>
        <v>7.6359170587590466</v>
      </c>
      <c r="AL151" s="1">
        <f t="shared" si="70"/>
        <v>5.8307229328247411E-2</v>
      </c>
      <c r="AM151" s="1">
        <f t="shared" si="86"/>
        <v>0.26083200000000001</v>
      </c>
      <c r="AN151" s="136">
        <f t="shared" si="93"/>
        <v>6.9594196279835374E-2</v>
      </c>
      <c r="AO151" s="133">
        <f t="shared" si="87"/>
        <v>0.38873342560808277</v>
      </c>
      <c r="AP151" s="132">
        <f t="shared" si="71"/>
        <v>0.11997372289762839</v>
      </c>
      <c r="AQ151" s="137">
        <f t="shared" si="72"/>
        <v>0.12297306597006909</v>
      </c>
      <c r="AR151" s="137">
        <f t="shared" si="73"/>
        <v>1.2795855692471055E-2</v>
      </c>
      <c r="AS151" s="1">
        <f t="shared" si="74"/>
        <v>1.9759999999999996E-2</v>
      </c>
      <c r="AT151" s="133">
        <f t="shared" si="88"/>
        <v>0.23328000000000004</v>
      </c>
      <c r="AU151" s="132">
        <f t="shared" si="89"/>
        <v>1.505976126033675</v>
      </c>
      <c r="AV151" s="1">
        <f t="shared" si="90"/>
        <v>451.2</v>
      </c>
      <c r="AW151" s="133">
        <f t="shared" si="91"/>
        <v>99.667339022356003</v>
      </c>
    </row>
    <row r="152" spans="17:49" x14ac:dyDescent="0.15">
      <c r="Q152">
        <v>145</v>
      </c>
      <c r="R152" s="132">
        <f t="shared" si="64"/>
        <v>60</v>
      </c>
      <c r="S152" s="1">
        <f t="shared" si="65"/>
        <v>7.52</v>
      </c>
      <c r="T152" s="1">
        <f t="shared" si="66"/>
        <v>58.6</v>
      </c>
      <c r="U152" s="133">
        <f t="shared" si="75"/>
        <v>7.6996587030716723</v>
      </c>
      <c r="V152" s="132">
        <f>IF(Calculations!$B$17=3,2,IF((S152*R152/T152)&lt;((T152*(1-(T152/R152)))/(2*Lm*fsw)),1,2))</f>
        <v>2</v>
      </c>
      <c r="W152" s="1">
        <f t="shared" si="76"/>
        <v>2.3333333333333317E-2</v>
      </c>
      <c r="X152" s="133">
        <f t="shared" si="67"/>
        <v>0.97666666666666668</v>
      </c>
      <c r="Y152" s="132">
        <f t="shared" si="68"/>
        <v>1.0517948717948711</v>
      </c>
      <c r="Z152" s="1">
        <f t="shared" si="77"/>
        <v>8.2255561389691074</v>
      </c>
      <c r="AA152" s="1">
        <f t="shared" si="78"/>
        <v>7.7056429656982672</v>
      </c>
      <c r="AB152" s="1">
        <v>0</v>
      </c>
      <c r="AC152" s="1">
        <f t="shared" si="79"/>
        <v>0.12172271370537112</v>
      </c>
      <c r="AD152" s="133">
        <f t="shared" si="80"/>
        <v>0.12172271370537112</v>
      </c>
      <c r="AE152" s="132">
        <f t="shared" si="92"/>
        <v>0.17965870307167223</v>
      </c>
      <c r="AF152" s="1">
        <f t="shared" si="81"/>
        <v>1.1770564056205433</v>
      </c>
      <c r="AG152" s="1">
        <f t="shared" si="69"/>
        <v>1.385461782012353E-3</v>
      </c>
      <c r="AH152" s="1">
        <f t="shared" si="82"/>
        <v>0.48149565026323571</v>
      </c>
      <c r="AI152" s="133">
        <f t="shared" si="83"/>
        <v>0.48288111204524808</v>
      </c>
      <c r="AJ152" s="132">
        <f t="shared" si="84"/>
        <v>7.5200000000000005</v>
      </c>
      <c r="AK152" s="1">
        <f t="shared" si="85"/>
        <v>7.6152131771082292</v>
      </c>
      <c r="AL152" s="1">
        <f t="shared" si="70"/>
        <v>5.7991471732802807E-2</v>
      </c>
      <c r="AM152" s="1">
        <f t="shared" si="86"/>
        <v>0.26083200000000001</v>
      </c>
      <c r="AN152" s="136">
        <f t="shared" si="93"/>
        <v>6.8436627076222986E-2</v>
      </c>
      <c r="AO152" s="133">
        <f t="shared" si="87"/>
        <v>0.38726009880902579</v>
      </c>
      <c r="AP152" s="132">
        <f t="shared" si="71"/>
        <v>0.11875386702963037</v>
      </c>
      <c r="AQ152" s="137">
        <f t="shared" si="72"/>
        <v>0.12172271370537112</v>
      </c>
      <c r="AR152" s="137">
        <f t="shared" si="73"/>
        <v>8.5001833723898513E-3</v>
      </c>
      <c r="AS152" s="1">
        <f t="shared" si="74"/>
        <v>1.9759999999999996E-2</v>
      </c>
      <c r="AT152" s="133">
        <f t="shared" si="88"/>
        <v>0.2344</v>
      </c>
      <c r="AU152" s="132">
        <f t="shared" si="89"/>
        <v>1.4950006886670364</v>
      </c>
      <c r="AV152" s="1">
        <f t="shared" si="90"/>
        <v>451.2</v>
      </c>
      <c r="AW152" s="133">
        <f t="shared" si="91"/>
        <v>99.669755423321931</v>
      </c>
    </row>
    <row r="153" spans="17:49" x14ac:dyDescent="0.15">
      <c r="Q153">
        <v>146</v>
      </c>
      <c r="R153" s="132">
        <f t="shared" si="64"/>
        <v>60</v>
      </c>
      <c r="S153" s="1">
        <f t="shared" si="65"/>
        <v>7.52</v>
      </c>
      <c r="T153" s="1">
        <f t="shared" si="66"/>
        <v>58.88</v>
      </c>
      <c r="U153" s="133">
        <f t="shared" si="75"/>
        <v>7.6630434782608692</v>
      </c>
      <c r="V153" s="132">
        <f>IF(Calculations!$B$17=3,2,IF((S153*R153/T153)&lt;((T153*(1-(T153/R153)))/(2*Lm*fsw)),1,2))</f>
        <v>2</v>
      </c>
      <c r="W153" s="1">
        <f t="shared" si="76"/>
        <v>1.8666666666666609E-2</v>
      </c>
      <c r="X153" s="133">
        <f t="shared" si="67"/>
        <v>0.98133333333333339</v>
      </c>
      <c r="Y153" s="132">
        <f t="shared" si="68"/>
        <v>0.84545641025640761</v>
      </c>
      <c r="Z153" s="1">
        <f t="shared" si="77"/>
        <v>8.0857716833890727</v>
      </c>
      <c r="AA153" s="1">
        <f t="shared" si="78"/>
        <v>7.6669290937236889</v>
      </c>
      <c r="AB153" s="1">
        <v>0</v>
      </c>
      <c r="AC153" s="1">
        <f t="shared" si="79"/>
        <v>0.12050269354278281</v>
      </c>
      <c r="AD153" s="133">
        <f t="shared" si="80"/>
        <v>0.12050269354278281</v>
      </c>
      <c r="AE153" s="132">
        <f t="shared" si="92"/>
        <v>0.14304347826086911</v>
      </c>
      <c r="AF153" s="1">
        <f t="shared" si="81"/>
        <v>1.0475019326598634</v>
      </c>
      <c r="AG153" s="1">
        <f t="shared" si="69"/>
        <v>1.0972602989261489E-3</v>
      </c>
      <c r="AH153" s="1">
        <f t="shared" si="82"/>
        <v>0.47920592910029908</v>
      </c>
      <c r="AI153" s="133">
        <f t="shared" si="83"/>
        <v>0.48030318939922523</v>
      </c>
      <c r="AJ153" s="132">
        <f t="shared" si="84"/>
        <v>7.5200000000000005</v>
      </c>
      <c r="AK153" s="1">
        <f t="shared" si="85"/>
        <v>7.595033997900245</v>
      </c>
      <c r="AL153" s="1">
        <f t="shared" si="70"/>
        <v>5.7684541429260577E-2</v>
      </c>
      <c r="AM153" s="1">
        <f t="shared" si="86"/>
        <v>0.26083200000000001</v>
      </c>
      <c r="AN153" s="136">
        <f t="shared" si="93"/>
        <v>6.7273620405797097E-2</v>
      </c>
      <c r="AO153" s="133">
        <f t="shared" si="87"/>
        <v>0.38579016183505765</v>
      </c>
      <c r="AP153" s="132">
        <f t="shared" si="71"/>
        <v>0.11756360345637348</v>
      </c>
      <c r="AQ153" s="137">
        <f t="shared" si="72"/>
        <v>0.12050269354278281</v>
      </c>
      <c r="AR153" s="137">
        <f t="shared" si="73"/>
        <v>5.1394581231395441E-3</v>
      </c>
      <c r="AS153" s="1">
        <f t="shared" si="74"/>
        <v>1.9759999999999996E-2</v>
      </c>
      <c r="AT153" s="133">
        <f t="shared" si="88"/>
        <v>0.23552000000000001</v>
      </c>
      <c r="AU153" s="132">
        <f t="shared" si="89"/>
        <v>1.4850817998993617</v>
      </c>
      <c r="AV153" s="1">
        <f t="shared" si="90"/>
        <v>451.2</v>
      </c>
      <c r="AW153" s="133">
        <f t="shared" si="91"/>
        <v>99.671939310658388</v>
      </c>
    </row>
    <row r="154" spans="17:49" x14ac:dyDescent="0.15">
      <c r="Q154">
        <v>147</v>
      </c>
      <c r="R154" s="132">
        <f t="shared" si="64"/>
        <v>60</v>
      </c>
      <c r="S154" s="1">
        <f t="shared" si="65"/>
        <v>7.52</v>
      </c>
      <c r="T154" s="1">
        <f t="shared" si="66"/>
        <v>59.160000000000004</v>
      </c>
      <c r="U154" s="133">
        <f t="shared" si="75"/>
        <v>7.6267748478701822</v>
      </c>
      <c r="V154" s="132">
        <f>IF(Calculations!$B$17=3,2,IF((S154*R154/T154)&lt;((T154*(1-(T154/R154)))/(2*Lm*fsw)),1,2))</f>
        <v>2</v>
      </c>
      <c r="W154" s="1">
        <f t="shared" si="76"/>
        <v>1.3999999999999901E-2</v>
      </c>
      <c r="X154" s="133">
        <f t="shared" si="67"/>
        <v>0.9860000000000001</v>
      </c>
      <c r="Y154" s="132">
        <f t="shared" si="68"/>
        <v>0.63710769230768782</v>
      </c>
      <c r="Z154" s="1">
        <f t="shared" si="77"/>
        <v>7.9453286940240258</v>
      </c>
      <c r="AA154" s="1">
        <f t="shared" si="78"/>
        <v>7.6289920761355088</v>
      </c>
      <c r="AB154" s="1">
        <v>0</v>
      </c>
      <c r="AC154" s="1">
        <f t="shared" si="79"/>
        <v>0.11931311620036367</v>
      </c>
      <c r="AD154" s="133">
        <f t="shared" si="80"/>
        <v>0.11931311620036367</v>
      </c>
      <c r="AE154" s="132">
        <f t="shared" si="92"/>
        <v>0.10677484787018179</v>
      </c>
      <c r="AF154" s="1">
        <f t="shared" si="81"/>
        <v>0.90267451574104574</v>
      </c>
      <c r="AG154" s="1">
        <f t="shared" si="69"/>
        <v>8.1482128136833149E-4</v>
      </c>
      <c r="AH154" s="1">
        <f t="shared" si="82"/>
        <v>0.47693788210658578</v>
      </c>
      <c r="AI154" s="133">
        <f t="shared" si="83"/>
        <v>0.47775270338795411</v>
      </c>
      <c r="AJ154" s="132">
        <f t="shared" si="84"/>
        <v>7.5200000000000005</v>
      </c>
      <c r="AK154" s="1">
        <f t="shared" si="85"/>
        <v>7.5754009013629133</v>
      </c>
      <c r="AL154" s="1">
        <f t="shared" si="70"/>
        <v>5.7386698816370041E-2</v>
      </c>
      <c r="AM154" s="1">
        <f t="shared" si="86"/>
        <v>0.26083200000000001</v>
      </c>
      <c r="AN154" s="136">
        <f t="shared" si="93"/>
        <v>6.6105134734279897E-2</v>
      </c>
      <c r="AO154" s="133">
        <f t="shared" si="87"/>
        <v>0.38432383355064992</v>
      </c>
      <c r="AP154" s="132">
        <f t="shared" si="71"/>
        <v>0.11640304019547676</v>
      </c>
      <c r="AQ154" s="137">
        <f t="shared" si="72"/>
        <v>0.11931311620036367</v>
      </c>
      <c r="AR154" s="137">
        <f t="shared" si="73"/>
        <v>2.6779690979925105E-3</v>
      </c>
      <c r="AS154" s="1">
        <f t="shared" si="74"/>
        <v>1.9759999999999996E-2</v>
      </c>
      <c r="AT154" s="133">
        <f t="shared" si="88"/>
        <v>0.23664000000000002</v>
      </c>
      <c r="AU154" s="132">
        <f t="shared" si="89"/>
        <v>1.4761837786328009</v>
      </c>
      <c r="AV154" s="1">
        <f t="shared" si="90"/>
        <v>451.2</v>
      </c>
      <c r="AW154" s="133">
        <f t="shared" si="91"/>
        <v>99.673898510341189</v>
      </c>
    </row>
    <row r="155" spans="17:49" x14ac:dyDescent="0.15">
      <c r="Q155">
        <v>148</v>
      </c>
      <c r="R155" s="132">
        <f t="shared" si="64"/>
        <v>60</v>
      </c>
      <c r="S155" s="1">
        <f t="shared" si="65"/>
        <v>7.52</v>
      </c>
      <c r="T155" s="1">
        <f t="shared" si="66"/>
        <v>59.440000000000005</v>
      </c>
      <c r="U155" s="133">
        <f t="shared" si="75"/>
        <v>7.5908479138627181</v>
      </c>
      <c r="V155" s="132">
        <f>IF(Calculations!$B$17=3,2,IF((S155*R155/T155)&lt;((T155*(1-(T155/R155)))/(2*Lm*fsw)),1,2))</f>
        <v>2</v>
      </c>
      <c r="W155" s="1">
        <f t="shared" si="76"/>
        <v>9.3333333333333046E-3</v>
      </c>
      <c r="X155" s="133">
        <f t="shared" si="67"/>
        <v>0.9906666666666667</v>
      </c>
      <c r="Y155" s="132">
        <f t="shared" si="68"/>
        <v>0.42674871794871666</v>
      </c>
      <c r="Z155" s="1">
        <f t="shared" si="77"/>
        <v>7.8042222728370767</v>
      </c>
      <c r="AA155" s="1">
        <f t="shared" si="78"/>
        <v>7.5918474864214192</v>
      </c>
      <c r="AB155" s="1">
        <v>0</v>
      </c>
      <c r="AC155" s="1">
        <f t="shared" si="79"/>
        <v>0.11815410392702058</v>
      </c>
      <c r="AD155" s="133">
        <f t="shared" si="80"/>
        <v>0.11815410392702058</v>
      </c>
      <c r="AE155" s="132">
        <f t="shared" si="92"/>
        <v>7.0847913862718478E-2</v>
      </c>
      <c r="AF155" s="1">
        <f t="shared" si="81"/>
        <v>0.73344214750229286</v>
      </c>
      <c r="AG155" s="1">
        <f t="shared" si="69"/>
        <v>5.379373837327751E-4</v>
      </c>
      <c r="AH155" s="1">
        <f t="shared" si="82"/>
        <v>0.4746912029849531</v>
      </c>
      <c r="AI155" s="133">
        <f t="shared" si="83"/>
        <v>0.47522914036868585</v>
      </c>
      <c r="AJ155" s="132">
        <f t="shared" si="84"/>
        <v>7.52</v>
      </c>
      <c r="AK155" s="1">
        <f t="shared" si="85"/>
        <v>7.5563358099908751</v>
      </c>
      <c r="AL155" s="1">
        <f t="shared" si="70"/>
        <v>5.7098210873350451E-2</v>
      </c>
      <c r="AM155" s="1">
        <f t="shared" si="86"/>
        <v>0.26083200000000001</v>
      </c>
      <c r="AN155" s="136">
        <f t="shared" si="93"/>
        <v>6.4931129310004485E-2</v>
      </c>
      <c r="AO155" s="133">
        <f t="shared" si="87"/>
        <v>0.38286134018335494</v>
      </c>
      <c r="AP155" s="132">
        <f t="shared" si="71"/>
        <v>0.11527229651416644</v>
      </c>
      <c r="AQ155" s="137">
        <f t="shared" si="72"/>
        <v>0.11815410392702058</v>
      </c>
      <c r="AR155" s="137">
        <f t="shared" si="73"/>
        <v>1.0636921750140913E-3</v>
      </c>
      <c r="AS155" s="1">
        <f t="shared" si="74"/>
        <v>1.9759999999999996E-2</v>
      </c>
      <c r="AT155" s="133">
        <f t="shared" si="88"/>
        <v>0.23776000000000003</v>
      </c>
      <c r="AU155" s="132">
        <f t="shared" si="89"/>
        <v>1.4682546770952625</v>
      </c>
      <c r="AV155" s="1">
        <f t="shared" si="90"/>
        <v>451.2</v>
      </c>
      <c r="AW155" s="133">
        <f t="shared" si="91"/>
        <v>99.675644434544523</v>
      </c>
    </row>
    <row r="156" spans="17:49" x14ac:dyDescent="0.15">
      <c r="Q156">
        <v>149</v>
      </c>
      <c r="R156" s="132">
        <f t="shared" si="64"/>
        <v>60</v>
      </c>
      <c r="S156" s="1">
        <f t="shared" si="65"/>
        <v>7.52</v>
      </c>
      <c r="T156" s="1">
        <f t="shared" si="66"/>
        <v>59.720000000000006</v>
      </c>
      <c r="U156" s="133">
        <f t="shared" si="75"/>
        <v>7.5552578700602799</v>
      </c>
      <c r="V156" s="132">
        <f>IF(Calculations!$B$17=3,2,IF((S156*R156/T156)&lt;((T156*(1-(T156/R156)))/(2*Lm*fsw)),1,2))</f>
        <v>2</v>
      </c>
      <c r="W156" s="1">
        <f t="shared" si="76"/>
        <v>4.6666666666665968E-3</v>
      </c>
      <c r="X156" s="133">
        <f t="shared" si="67"/>
        <v>0.9953333333333334</v>
      </c>
      <c r="Y156" s="132">
        <f t="shared" si="68"/>
        <v>0.21437948717948399</v>
      </c>
      <c r="Z156" s="1">
        <f t="shared" si="77"/>
        <v>7.6624476136500217</v>
      </c>
      <c r="AA156" s="1">
        <f t="shared" si="78"/>
        <v>7.5555113237612677</v>
      </c>
      <c r="AB156" s="1">
        <v>0</v>
      </c>
      <c r="AC156" s="1">
        <f t="shared" si="79"/>
        <v>0.11702579029514372</v>
      </c>
      <c r="AD156" s="133">
        <f t="shared" si="80"/>
        <v>0.11702579029514372</v>
      </c>
      <c r="AE156" s="132">
        <f t="shared" si="92"/>
        <v>3.5257870060280777E-2</v>
      </c>
      <c r="AF156" s="1">
        <f t="shared" si="81"/>
        <v>0.51613968364154228</v>
      </c>
      <c r="AG156" s="1">
        <f t="shared" si="69"/>
        <v>2.6640017302959133E-4</v>
      </c>
      <c r="AH156" s="1">
        <f t="shared" si="82"/>
        <v>0.47246559118261233</v>
      </c>
      <c r="AI156" s="133">
        <f t="shared" si="83"/>
        <v>0.47273199135564192</v>
      </c>
      <c r="AJ156" s="132">
        <f t="shared" si="84"/>
        <v>7.52</v>
      </c>
      <c r="AK156" s="1">
        <f t="shared" si="85"/>
        <v>7.5378611814264094</v>
      </c>
      <c r="AL156" s="1">
        <f t="shared" si="70"/>
        <v>5.6819351190455149E-2</v>
      </c>
      <c r="AM156" s="1">
        <f t="shared" si="86"/>
        <v>0.26083200000000001</v>
      </c>
      <c r="AN156" s="136">
        <f t="shared" si="93"/>
        <v>6.3751564145568193E-2</v>
      </c>
      <c r="AO156" s="133">
        <f t="shared" si="87"/>
        <v>0.38140291533602338</v>
      </c>
      <c r="AP156" s="132">
        <f t="shared" si="71"/>
        <v>0.11417150272696949</v>
      </c>
      <c r="AQ156" s="137">
        <f t="shared" si="72"/>
        <v>0.11702579029514372</v>
      </c>
      <c r="AR156" s="137">
        <f t="shared" si="73"/>
        <v>2.1774355765540518E-4</v>
      </c>
      <c r="AS156" s="1">
        <f t="shared" si="74"/>
        <v>1.9759999999999996E-2</v>
      </c>
      <c r="AT156" s="133">
        <f t="shared" si="88"/>
        <v>0.23888000000000004</v>
      </c>
      <c r="AU156" s="132">
        <f t="shared" si="89"/>
        <v>1.4612157335665776</v>
      </c>
      <c r="AV156" s="1">
        <f t="shared" si="90"/>
        <v>451.2</v>
      </c>
      <c r="AW156" s="133">
        <f t="shared" si="91"/>
        <v>99.677194404385062</v>
      </c>
    </row>
    <row r="157" spans="17:49" ht="14.25" thickBot="1" x14ac:dyDescent="0.2">
      <c r="Q157">
        <v>150</v>
      </c>
      <c r="R157" s="138">
        <f t="shared" si="64"/>
        <v>60</v>
      </c>
      <c r="S157" s="1">
        <f t="shared" si="65"/>
        <v>7.52</v>
      </c>
      <c r="T157" s="1">
        <f t="shared" si="66"/>
        <v>60.000000000000007</v>
      </c>
      <c r="U157" s="140">
        <f t="shared" si="75"/>
        <v>7.5199999999999987</v>
      </c>
      <c r="V157" s="132">
        <f>IF(Calculations!$B$17=3,2,IF((S157*R157/T157)&lt;((T157*(1-(T157/R157)))/(2*Lm*fsw)),1,2))</f>
        <v>2</v>
      </c>
      <c r="W157" s="139">
        <f t="shared" si="76"/>
        <v>-2.2204460492503131E-16</v>
      </c>
      <c r="X157" s="133">
        <f t="shared" si="67"/>
        <v>1.0000000000000002</v>
      </c>
      <c r="Y157" s="138">
        <f t="shared" si="68"/>
        <v>-1.0248212535001446E-14</v>
      </c>
      <c r="Z157" s="139">
        <f t="shared" si="77"/>
        <v>7.5199999999999934</v>
      </c>
      <c r="AA157" s="139">
        <f t="shared" si="78"/>
        <v>7.5199999999999987</v>
      </c>
      <c r="AB157" s="139">
        <v>0</v>
      </c>
      <c r="AC157" s="139">
        <f t="shared" si="79"/>
        <v>0.11592831999999995</v>
      </c>
      <c r="AD157" s="140">
        <f t="shared" si="80"/>
        <v>0.11592831999999995</v>
      </c>
      <c r="AE157" s="138">
        <f t="shared" si="92"/>
        <v>-1.6697754290362351E-15</v>
      </c>
      <c r="AF157" s="1" t="e">
        <f t="shared" si="81"/>
        <v>#NUM!</v>
      </c>
      <c r="AG157" s="139" t="e">
        <f t="shared" si="69"/>
        <v>#NUM!</v>
      </c>
      <c r="AH157" s="139">
        <f t="shared" si="82"/>
        <v>0.47026075175709353</v>
      </c>
      <c r="AI157" s="140" t="e">
        <f t="shared" si="83"/>
        <v>#NUM!</v>
      </c>
      <c r="AJ157" s="138">
        <f>X157*U157</f>
        <v>7.5200000000000005</v>
      </c>
      <c r="AK157" s="139">
        <f t="shared" si="85"/>
        <v>7.52</v>
      </c>
      <c r="AL157" s="1">
        <f t="shared" si="70"/>
        <v>5.6550400000000001E-2</v>
      </c>
      <c r="AM157" s="1">
        <f t="shared" si="86"/>
        <v>0.26083200000000001</v>
      </c>
      <c r="AN157" s="136">
        <f t="shared" si="93"/>
        <v>6.2566399999999953E-2</v>
      </c>
      <c r="AO157" s="133">
        <f t="shared" si="87"/>
        <v>0.37994879999999998</v>
      </c>
      <c r="AP157" s="132">
        <f t="shared" si="71"/>
        <v>0.11310079999999996</v>
      </c>
      <c r="AQ157" s="137">
        <f t="shared" si="72"/>
        <v>0.11592831999999995</v>
      </c>
      <c r="AR157" s="137" t="e">
        <f t="shared" si="73"/>
        <v>#NUM!</v>
      </c>
      <c r="AS157" s="1">
        <f t="shared" si="74"/>
        <v>1.9759999999999996E-2</v>
      </c>
      <c r="AT157" s="140">
        <f t="shared" si="88"/>
        <v>0.24000000000000005</v>
      </c>
      <c r="AU157" s="132" t="e">
        <f t="shared" si="89"/>
        <v>#NUM!</v>
      </c>
      <c r="AV157" s="139">
        <f t="shared" si="90"/>
        <v>451.2</v>
      </c>
      <c r="AW157" s="140" t="e">
        <f>(AV157/(AV157+AU157))*100</f>
        <v>#NUM!</v>
      </c>
    </row>
  </sheetData>
  <mergeCells count="7">
    <mergeCell ref="AP5:AT5"/>
    <mergeCell ref="A1:M1"/>
    <mergeCell ref="R5:U5"/>
    <mergeCell ref="V5:X5"/>
    <mergeCell ref="Y5:AD5"/>
    <mergeCell ref="AE5:AI5"/>
    <mergeCell ref="AJ5:AO5"/>
  </mergeCells>
  <phoneticPr fontId="48"/>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CF750-34DE-4F19-A8B5-17AFAB543C4D}">
  <dimension ref="A1:A5"/>
  <sheetViews>
    <sheetView workbookViewId="0">
      <selection activeCell="B1" sqref="B1"/>
    </sheetView>
  </sheetViews>
  <sheetFormatPr defaultRowHeight="13.5" x14ac:dyDescent="0.15"/>
  <cols>
    <col min="2" max="2" width="154.25" customWidth="1"/>
  </cols>
  <sheetData>
    <row r="1" spans="1:1" x14ac:dyDescent="0.15">
      <c r="A1" t="str">
        <f>IF(Calculations!B20=1, "EFF_IOUT", "EFF_VIN")</f>
        <v>EFF_IOUT</v>
      </c>
    </row>
    <row r="3" spans="1:1" ht="390" customHeight="1" x14ac:dyDescent="0.15"/>
    <row r="5" spans="1:1" ht="393.75" customHeight="1" x14ac:dyDescent="0.15"/>
  </sheetData>
  <phoneticPr fontId="48"/>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234"/>
  <sheetViews>
    <sheetView zoomScale="85" zoomScaleNormal="85" workbookViewId="0">
      <pane ySplit="1" topLeftCell="A152" activePane="bottomLeft" state="frozen"/>
      <selection pane="bottomLeft" activeCell="B180" sqref="B180"/>
    </sheetView>
  </sheetViews>
  <sheetFormatPr defaultRowHeight="13.5" x14ac:dyDescent="0.15"/>
  <cols>
    <col min="1" max="1" width="53" customWidth="1"/>
    <col min="2" max="2" width="13.875" customWidth="1"/>
    <col min="3" max="3" width="8.375" customWidth="1"/>
    <col min="4" max="4" width="44.625" customWidth="1"/>
    <col min="5" max="5" width="20.375" customWidth="1"/>
    <col min="6" max="6" width="15.875" customWidth="1"/>
  </cols>
  <sheetData>
    <row r="1" spans="1:5" x14ac:dyDescent="0.15">
      <c r="A1" t="s">
        <v>220</v>
      </c>
      <c r="C1" t="s">
        <v>236</v>
      </c>
      <c r="D1" t="s">
        <v>221</v>
      </c>
      <c r="E1" t="s">
        <v>194</v>
      </c>
    </row>
    <row r="2" spans="1:5" ht="21" x14ac:dyDescent="0.2">
      <c r="A2" s="20" t="s">
        <v>227</v>
      </c>
    </row>
    <row r="3" spans="1:5" ht="16.5" x14ac:dyDescent="0.25">
      <c r="A3" t="s">
        <v>229</v>
      </c>
      <c r="B3" s="22">
        <f>LM5122_Quickstart!I7</f>
        <v>18</v>
      </c>
      <c r="C3" t="s">
        <v>34</v>
      </c>
      <c r="D3" s="19" t="s">
        <v>181</v>
      </c>
      <c r="E3">
        <f>IF(OR(VIN_MIN&gt;VIN_TYP,VIN_MIN&lt;EC_Table!E8,VIN_MIN&lt;EC_Table!E7),1,0)</f>
        <v>0</v>
      </c>
    </row>
    <row r="4" spans="1:5" ht="16.5" x14ac:dyDescent="0.25">
      <c r="A4" t="s">
        <v>243</v>
      </c>
      <c r="B4" s="22">
        <f>LM5122_Quickstart!I8</f>
        <v>20</v>
      </c>
      <c r="C4" t="s">
        <v>34</v>
      </c>
      <c r="D4" s="19" t="s">
        <v>180</v>
      </c>
      <c r="E4">
        <f>IF(VIN_TYP&gt;VIN_MAX,1,0)</f>
        <v>0</v>
      </c>
    </row>
    <row r="5" spans="1:5" ht="16.5" x14ac:dyDescent="0.25">
      <c r="A5" t="s">
        <v>230</v>
      </c>
      <c r="B5" s="22">
        <f>LM5122_Quickstart!I9</f>
        <v>60</v>
      </c>
      <c r="C5" t="s">
        <v>34</v>
      </c>
      <c r="D5" s="19" t="s">
        <v>179</v>
      </c>
      <c r="E5">
        <f>IF(VIN_MAX&gt;VOUT,1,0)</f>
        <v>0</v>
      </c>
    </row>
    <row r="6" spans="1:5" x14ac:dyDescent="0.15">
      <c r="A6" t="s">
        <v>226</v>
      </c>
      <c r="B6" s="22">
        <f>LM5122_Quickstart!I17*1000</f>
        <v>130000</v>
      </c>
      <c r="C6" t="s">
        <v>70</v>
      </c>
      <c r="D6" s="19" t="s">
        <v>219</v>
      </c>
      <c r="E6">
        <f>IF(OR(fsw&lt;EC_Table!C43,fsw&gt;EC_Table!E43),1,0)</f>
        <v>0</v>
      </c>
    </row>
    <row r="7" spans="1:5" ht="15" x14ac:dyDescent="0.25">
      <c r="A7" t="s">
        <v>228</v>
      </c>
      <c r="B7">
        <v>0.94</v>
      </c>
      <c r="D7" s="102" t="s">
        <v>261</v>
      </c>
      <c r="E7" s="59"/>
    </row>
    <row r="8" spans="1:5" x14ac:dyDescent="0.15">
      <c r="A8" t="s">
        <v>670</v>
      </c>
      <c r="B8" s="36">
        <v>1</v>
      </c>
      <c r="D8" s="102" t="s">
        <v>671</v>
      </c>
      <c r="E8" s="59"/>
    </row>
    <row r="9" spans="1:5" ht="16.5" x14ac:dyDescent="0.25">
      <c r="A9" t="s">
        <v>222</v>
      </c>
      <c r="B9" s="22">
        <f>LM5122_Quickstart!I10</f>
        <v>60</v>
      </c>
      <c r="C9" t="s">
        <v>34</v>
      </c>
      <c r="D9" s="19" t="s">
        <v>182</v>
      </c>
      <c r="E9">
        <f>IF(VOUT&gt;EC_Table!E119-5,1,0)</f>
        <v>0</v>
      </c>
    </row>
    <row r="10" spans="1:5" ht="16.5" x14ac:dyDescent="0.25">
      <c r="A10" t="s">
        <v>223</v>
      </c>
      <c r="B10" s="22">
        <f>LM5122_Quickstart!I11</f>
        <v>7.52</v>
      </c>
      <c r="C10" t="s">
        <v>33</v>
      </c>
      <c r="D10" s="19" t="s">
        <v>186</v>
      </c>
    </row>
    <row r="11" spans="1:5" ht="16.5" x14ac:dyDescent="0.25">
      <c r="A11" t="s">
        <v>224</v>
      </c>
      <c r="B11" s="22">
        <f>LM5122_Quickstart!I12</f>
        <v>2</v>
      </c>
      <c r="D11" s="19" t="s">
        <v>183</v>
      </c>
    </row>
    <row r="12" spans="1:5" ht="16.5" x14ac:dyDescent="0.25">
      <c r="A12" t="s">
        <v>225</v>
      </c>
      <c r="B12" s="23">
        <f>B10/B11</f>
        <v>3.76</v>
      </c>
      <c r="C12" t="s">
        <v>33</v>
      </c>
      <c r="D12" s="19" t="s">
        <v>187</v>
      </c>
    </row>
    <row r="14" spans="1:5" x14ac:dyDescent="0.15">
      <c r="A14" t="s">
        <v>231</v>
      </c>
      <c r="B14" s="21">
        <f>EC_Table!D10</f>
        <v>7.6</v>
      </c>
      <c r="C14" t="s">
        <v>34</v>
      </c>
      <c r="D14" s="19" t="s">
        <v>217</v>
      </c>
      <c r="E14">
        <f>IF(OR(VCC&lt;EC_Table!E17,VCC&gt;EC_Table!E123),1,0)</f>
        <v>0</v>
      </c>
    </row>
    <row r="15" spans="1:5" x14ac:dyDescent="0.15">
      <c r="A15" t="s">
        <v>233</v>
      </c>
      <c r="D15" s="19" t="s">
        <v>218</v>
      </c>
    </row>
    <row r="16" spans="1:5" x14ac:dyDescent="0.15">
      <c r="D16" s="19"/>
    </row>
    <row r="17" spans="1:12" x14ac:dyDescent="0.15">
      <c r="A17" t="s">
        <v>564</v>
      </c>
      <c r="B17">
        <f>IF(LM5122_Quickstart!I13="FPWM",3,IF(LM5122_Quickstart!I13="DEM",2,1))</f>
        <v>3</v>
      </c>
      <c r="D17" t="s">
        <v>562</v>
      </c>
      <c r="K17" t="s">
        <v>565</v>
      </c>
    </row>
    <row r="18" spans="1:12" x14ac:dyDescent="0.15">
      <c r="D18" s="19"/>
      <c r="K18" t="s">
        <v>566</v>
      </c>
    </row>
    <row r="19" spans="1:12" x14ac:dyDescent="0.15">
      <c r="D19" s="19"/>
      <c r="K19" t="s">
        <v>567</v>
      </c>
    </row>
    <row r="20" spans="1:12" ht="14.25" x14ac:dyDescent="0.2">
      <c r="A20" t="s">
        <v>715</v>
      </c>
      <c r="B20">
        <v>1</v>
      </c>
      <c r="D20" t="s">
        <v>716</v>
      </c>
      <c r="K20" s="218" t="s">
        <v>719</v>
      </c>
      <c r="L20" s="19">
        <v>1</v>
      </c>
    </row>
    <row r="21" spans="1:12" ht="14.25" x14ac:dyDescent="0.2">
      <c r="B21" t="str">
        <f>IF(B20=1,CONCATENATE("V   = ",VIN_TYP,"V"),"")</f>
        <v>V   = 20V</v>
      </c>
      <c r="C21" t="str">
        <f>IF(B20=1,"IN","")</f>
        <v>IN</v>
      </c>
      <c r="D21" s="19"/>
      <c r="K21" s="218" t="s">
        <v>718</v>
      </c>
      <c r="L21" s="19">
        <v>2</v>
      </c>
    </row>
    <row r="22" spans="1:12" ht="21" x14ac:dyDescent="0.2">
      <c r="A22" s="20" t="s">
        <v>232</v>
      </c>
      <c r="D22" s="19"/>
    </row>
    <row r="23" spans="1:12" ht="33" customHeight="1" x14ac:dyDescent="0.15">
      <c r="A23" s="19" t="s">
        <v>238</v>
      </c>
      <c r="B23" s="26">
        <f>(VIN_MIN/(VOUT*EC_Table!E61))</f>
        <v>750000</v>
      </c>
      <c r="C23" t="s">
        <v>70</v>
      </c>
      <c r="D23" s="25" t="s">
        <v>239</v>
      </c>
      <c r="E23">
        <f>IF(B23&lt;fsw,1,0)</f>
        <v>0</v>
      </c>
    </row>
    <row r="24" spans="1:12" x14ac:dyDescent="0.15">
      <c r="A24" s="19" t="s">
        <v>235</v>
      </c>
      <c r="B24" s="23">
        <f>(9*(10^9))/fsw</f>
        <v>69230.769230769234</v>
      </c>
      <c r="C24" t="s">
        <v>96</v>
      </c>
      <c r="D24" t="s">
        <v>234</v>
      </c>
    </row>
    <row r="25" spans="1:12" x14ac:dyDescent="0.15">
      <c r="A25" s="19"/>
    </row>
    <row r="26" spans="1:12" x14ac:dyDescent="0.15">
      <c r="A26" s="19" t="s">
        <v>191</v>
      </c>
      <c r="B26" s="23">
        <f>fsw*1.4</f>
        <v>182000</v>
      </c>
      <c r="C26" t="s">
        <v>70</v>
      </c>
      <c r="D26" t="s">
        <v>237</v>
      </c>
    </row>
    <row r="27" spans="1:12" x14ac:dyDescent="0.15">
      <c r="A27" s="19" t="s">
        <v>192</v>
      </c>
      <c r="B27" s="23">
        <f>0.8*fsw</f>
        <v>104000</v>
      </c>
      <c r="C27" t="s">
        <v>70</v>
      </c>
      <c r="D27" t="s">
        <v>237</v>
      </c>
    </row>
    <row r="28" spans="1:12" x14ac:dyDescent="0.15">
      <c r="A28" s="19"/>
    </row>
    <row r="29" spans="1:12" x14ac:dyDescent="0.15">
      <c r="A29" s="19"/>
    </row>
    <row r="30" spans="1:12" ht="21" x14ac:dyDescent="0.2">
      <c r="A30" s="24" t="s">
        <v>193</v>
      </c>
    </row>
    <row r="31" spans="1:12" x14ac:dyDescent="0.15">
      <c r="A31" s="19" t="s">
        <v>197</v>
      </c>
      <c r="B31" s="23">
        <f>1-(VIN_MIN/VOUT)</f>
        <v>0.7</v>
      </c>
      <c r="C31" t="s">
        <v>188</v>
      </c>
    </row>
    <row r="32" spans="1:12" x14ac:dyDescent="0.15">
      <c r="A32" s="19" t="s">
        <v>195</v>
      </c>
      <c r="B32" s="27">
        <f>B31/fsw</f>
        <v>5.3846153846153847E-6</v>
      </c>
      <c r="C32" t="s">
        <v>71</v>
      </c>
      <c r="D32" t="s">
        <v>253</v>
      </c>
    </row>
    <row r="33" spans="1:5" x14ac:dyDescent="0.15">
      <c r="A33" s="19" t="s">
        <v>196</v>
      </c>
      <c r="B33" s="27">
        <f>(1/fsw)-B32</f>
        <v>2.3076923076923072E-6</v>
      </c>
      <c r="C33" t="s">
        <v>71</v>
      </c>
      <c r="D33" t="s">
        <v>252</v>
      </c>
      <c r="E33">
        <f>IF(B33&lt;EC_Table!E61,1,0)</f>
        <v>0</v>
      </c>
    </row>
    <row r="34" spans="1:5" x14ac:dyDescent="0.15">
      <c r="A34" s="19" t="s">
        <v>198</v>
      </c>
      <c r="B34" s="23">
        <f>1-(VIN_MAX/VOUT)</f>
        <v>0</v>
      </c>
      <c r="C34" t="s">
        <v>188</v>
      </c>
    </row>
    <row r="35" spans="1:5" x14ac:dyDescent="0.15">
      <c r="A35" s="19" t="s">
        <v>199</v>
      </c>
      <c r="B35" s="23">
        <f>B34/fsw</f>
        <v>0</v>
      </c>
      <c r="C35" t="s">
        <v>71</v>
      </c>
      <c r="D35" t="s">
        <v>250</v>
      </c>
    </row>
    <row r="36" spans="1:5" x14ac:dyDescent="0.15">
      <c r="A36" s="19" t="s">
        <v>200</v>
      </c>
      <c r="B36" s="23">
        <f>(1/fsw)-B35</f>
        <v>7.6923076923076919E-6</v>
      </c>
      <c r="C36" t="s">
        <v>71</v>
      </c>
      <c r="D36" t="s">
        <v>251</v>
      </c>
    </row>
    <row r="38" spans="1:5" ht="21" x14ac:dyDescent="0.2">
      <c r="A38" s="20" t="s">
        <v>288</v>
      </c>
    </row>
    <row r="39" spans="1:5" ht="21" x14ac:dyDescent="0.2">
      <c r="A39" s="20"/>
    </row>
    <row r="40" spans="1:5" x14ac:dyDescent="0.15">
      <c r="A40" s="19" t="s">
        <v>241</v>
      </c>
      <c r="B40" s="22">
        <f>LM5122_Quickstart!I25/100</f>
        <v>0.3</v>
      </c>
      <c r="C40" t="s">
        <v>188</v>
      </c>
      <c r="D40" t="s">
        <v>242</v>
      </c>
    </row>
    <row r="41" spans="1:5" x14ac:dyDescent="0.15">
      <c r="A41" s="19" t="s">
        <v>245</v>
      </c>
      <c r="B41" s="28">
        <f>(VIN_TYP*(1-(VIN_TYP/VOUT)))/(((VOUT*IOUT_np)/(eta*VIN_TYP))*RR*fsw)</f>
        <v>2.8490028490028492E-5</v>
      </c>
      <c r="C41" t="s">
        <v>246</v>
      </c>
      <c r="D41" t="s">
        <v>244</v>
      </c>
    </row>
    <row r="42" spans="1:5" x14ac:dyDescent="0.15">
      <c r="A42" s="19" t="s">
        <v>247</v>
      </c>
      <c r="B42" s="33">
        <f>LM5122_Quickstart!I27/(10^6)</f>
        <v>1.0000000000000001E-5</v>
      </c>
      <c r="C42" t="s">
        <v>246</v>
      </c>
      <c r="D42" t="s">
        <v>248</v>
      </c>
    </row>
    <row r="43" spans="1:5" x14ac:dyDescent="0.15">
      <c r="A43" s="19" t="s">
        <v>254</v>
      </c>
      <c r="B43" s="22">
        <f>LM5122_Quickstart!I28/1000</f>
        <v>2.0499999999999997E-3</v>
      </c>
      <c r="C43" t="s">
        <v>96</v>
      </c>
      <c r="D43" t="s">
        <v>255</v>
      </c>
    </row>
    <row r="44" spans="1:5" x14ac:dyDescent="0.15">
      <c r="A44" s="19"/>
    </row>
    <row r="45" spans="1:5" x14ac:dyDescent="0.15">
      <c r="A45" s="19" t="s">
        <v>271</v>
      </c>
      <c r="B45" s="38">
        <f>(VOUT*IOUT_np)/(VIN_MIN*eta)</f>
        <v>13.333333333333334</v>
      </c>
      <c r="C45" t="s">
        <v>33</v>
      </c>
      <c r="D45" s="34" t="s">
        <v>281</v>
      </c>
    </row>
    <row r="46" spans="1:5" x14ac:dyDescent="0.15">
      <c r="A46" s="19" t="s">
        <v>272</v>
      </c>
      <c r="B46" s="38">
        <f>(VOUT*IOUT_np)/(VIN_TYP*eta)</f>
        <v>12.000000000000002</v>
      </c>
      <c r="C46" t="s">
        <v>33</v>
      </c>
      <c r="D46" s="34" t="s">
        <v>281</v>
      </c>
    </row>
    <row r="47" spans="1:5" x14ac:dyDescent="0.15">
      <c r="A47" s="19" t="s">
        <v>273</v>
      </c>
      <c r="B47" s="38">
        <f>(VOUT*IOUT_np)/(VIN_MAX*eta)</f>
        <v>4</v>
      </c>
      <c r="C47" t="s">
        <v>33</v>
      </c>
      <c r="D47" s="34" t="s">
        <v>281</v>
      </c>
      <c r="E47">
        <f>(VIN_MAX/Lm)*((1-(VIN_MAX/VOUT))/(2*fsw))</f>
        <v>0</v>
      </c>
    </row>
    <row r="48" spans="1:5" x14ac:dyDescent="0.15">
      <c r="E48">
        <f>SQRT((2*Lm*fsw*(VOUT-VIN_MAX)*((VOUT/VIN_MAX)*IOUT_np))/(VIN_MAX*VOUT))</f>
        <v>0</v>
      </c>
    </row>
    <row r="49" spans="1:5" x14ac:dyDescent="0.15">
      <c r="A49" s="19" t="s">
        <v>278</v>
      </c>
      <c r="B49" s="39">
        <f>IF((VIN_MIN/Lm)*((1-(VIN_MIN/VOUT))/(2*fsw))&lt;B45,(1-(VIN_MIN/VOUT)),SQRT((2*Lm*fsw*(VOUT-VIN_MIN)*((VOUT/VIN_MIN)*IOUT_np))/(VIN_MIN*VOUT)))</f>
        <v>0.7</v>
      </c>
      <c r="C49" t="s">
        <v>188</v>
      </c>
      <c r="D49" s="34" t="s">
        <v>281</v>
      </c>
      <c r="E49">
        <f>(VIN_MAX/VOUT)</f>
        <v>1</v>
      </c>
    </row>
    <row r="50" spans="1:5" x14ac:dyDescent="0.15">
      <c r="A50" s="19" t="s">
        <v>279</v>
      </c>
      <c r="B50" s="39">
        <f>IF((VIN_TYP/Lm)*((1-(VIN_TYP/VOUT))/(2*fsw))&lt;B46,(1-(VIN_TYP/VOUT)),SQRT((2*Lm*fsw*(VOUT-VIN_TYP)*((VOUT/VIN_TYP)*IOUT_np))/(VIN_TYP*VOUT)))</f>
        <v>0.66666666666666674</v>
      </c>
      <c r="C50" t="s">
        <v>188</v>
      </c>
      <c r="D50" s="34" t="s">
        <v>281</v>
      </c>
    </row>
    <row r="51" spans="1:5" x14ac:dyDescent="0.15">
      <c r="A51" s="19" t="s">
        <v>280</v>
      </c>
      <c r="B51" s="39">
        <f>IF((VIN_MAX/Lm)*((1-(VIN_MAX/VOUT))/(2*fsw))&lt;B47,(1-(VIN_MAX/VOUT)),SQRT((2*Lm*fsw*(VOUT-VIN_MAX)*((VOUT/VIN_MAX)*IOUT_np))/(VIN_MAX*VOUT)))</f>
        <v>0</v>
      </c>
      <c r="C51" t="s">
        <v>188</v>
      </c>
      <c r="D51" s="34" t="s">
        <v>281</v>
      </c>
    </row>
    <row r="52" spans="1:5" x14ac:dyDescent="0.15">
      <c r="A52" s="19"/>
      <c r="B52" s="32"/>
      <c r="D52" s="34"/>
    </row>
    <row r="53" spans="1:5" x14ac:dyDescent="0.15">
      <c r="A53" s="19" t="s">
        <v>275</v>
      </c>
      <c r="B53" s="38">
        <f>B49*VIN_MIN/(Lm*fsw)</f>
        <v>9.6923076923076916</v>
      </c>
      <c r="C53" t="s">
        <v>33</v>
      </c>
      <c r="D53" s="34" t="s">
        <v>281</v>
      </c>
    </row>
    <row r="54" spans="1:5" x14ac:dyDescent="0.15">
      <c r="A54" s="19" t="s">
        <v>276</v>
      </c>
      <c r="B54" s="38">
        <f>B50*VIN_TYP/(Lm*fsw)</f>
        <v>10.256410256410257</v>
      </c>
      <c r="C54" t="s">
        <v>33</v>
      </c>
      <c r="D54" s="34" t="s">
        <v>281</v>
      </c>
    </row>
    <row r="55" spans="1:5" x14ac:dyDescent="0.15">
      <c r="A55" s="19" t="s">
        <v>277</v>
      </c>
      <c r="B55" s="38">
        <f>B51*VIN_MAX/(Lm*fsw)</f>
        <v>0</v>
      </c>
      <c r="C55" t="s">
        <v>33</v>
      </c>
      <c r="D55" s="34" t="s">
        <v>281</v>
      </c>
    </row>
    <row r="56" spans="1:5" x14ac:dyDescent="0.15">
      <c r="A56" s="19"/>
      <c r="B56" s="37"/>
      <c r="D56" s="34"/>
    </row>
    <row r="57" spans="1:5" x14ac:dyDescent="0.15">
      <c r="A57" s="19" t="s">
        <v>256</v>
      </c>
      <c r="B57" s="38">
        <f>B45+(B53/2)</f>
        <v>18.179487179487179</v>
      </c>
      <c r="C57" t="s">
        <v>33</v>
      </c>
      <c r="D57" s="34" t="s">
        <v>281</v>
      </c>
    </row>
    <row r="58" spans="1:5" x14ac:dyDescent="0.15">
      <c r="A58" s="19" t="s">
        <v>274</v>
      </c>
      <c r="B58" s="38">
        <f>B46+(B54/2)</f>
        <v>17.128205128205131</v>
      </c>
      <c r="C58" t="s">
        <v>33</v>
      </c>
      <c r="D58" s="34" t="s">
        <v>281</v>
      </c>
    </row>
    <row r="59" spans="1:5" x14ac:dyDescent="0.15">
      <c r="A59" s="19" t="s">
        <v>257</v>
      </c>
      <c r="B59" s="38">
        <f>B47+(B55/2)</f>
        <v>4</v>
      </c>
      <c r="C59" t="s">
        <v>33</v>
      </c>
      <c r="D59" s="34" t="s">
        <v>281</v>
      </c>
    </row>
    <row r="60" spans="1:5" x14ac:dyDescent="0.15">
      <c r="A60" s="19"/>
      <c r="B60" s="37"/>
      <c r="D60" s="34"/>
    </row>
    <row r="61" spans="1:5" x14ac:dyDescent="0.15">
      <c r="A61" s="19"/>
      <c r="B61" s="37"/>
      <c r="D61" s="34"/>
    </row>
    <row r="62" spans="1:5" x14ac:dyDescent="0.15">
      <c r="A62" s="19"/>
      <c r="B62" s="37"/>
      <c r="D62" s="34"/>
    </row>
    <row r="63" spans="1:5" x14ac:dyDescent="0.15">
      <c r="A63" s="19"/>
      <c r="B63" s="37"/>
      <c r="D63" s="34"/>
    </row>
    <row r="64" spans="1:5" x14ac:dyDescent="0.15">
      <c r="A64" s="19"/>
      <c r="B64" s="37"/>
      <c r="D64" s="34"/>
    </row>
    <row r="65" spans="1:4" x14ac:dyDescent="0.15">
      <c r="A65" s="19"/>
      <c r="B65" s="37"/>
      <c r="D65" s="34"/>
    </row>
    <row r="66" spans="1:4" x14ac:dyDescent="0.15">
      <c r="A66" s="19"/>
      <c r="B66" s="37"/>
      <c r="D66" s="34"/>
    </row>
    <row r="67" spans="1:4" x14ac:dyDescent="0.15">
      <c r="A67" s="19"/>
      <c r="B67" s="37"/>
      <c r="D67" s="34"/>
    </row>
    <row r="68" spans="1:4" x14ac:dyDescent="0.15">
      <c r="A68" s="19"/>
      <c r="B68" s="37"/>
      <c r="D68" s="34"/>
    </row>
    <row r="69" spans="1:4" x14ac:dyDescent="0.15">
      <c r="A69" s="19"/>
      <c r="B69" s="37"/>
      <c r="D69" s="34"/>
    </row>
    <row r="70" spans="1:4" x14ac:dyDescent="0.15">
      <c r="A70" s="19"/>
      <c r="B70" s="37"/>
      <c r="D70" s="34"/>
    </row>
    <row r="71" spans="1:4" x14ac:dyDescent="0.15">
      <c r="A71" s="19"/>
      <c r="B71" s="37"/>
      <c r="D71" s="34"/>
    </row>
    <row r="72" spans="1:4" x14ac:dyDescent="0.15">
      <c r="A72" s="19"/>
      <c r="B72" s="37"/>
      <c r="D72" s="34"/>
    </row>
    <row r="73" spans="1:4" x14ac:dyDescent="0.15">
      <c r="A73" s="19"/>
      <c r="B73" s="37"/>
      <c r="D73" s="34"/>
    </row>
    <row r="74" spans="1:4" x14ac:dyDescent="0.15">
      <c r="A74" s="19"/>
      <c r="B74" s="37"/>
      <c r="D74" s="34"/>
    </row>
    <row r="75" spans="1:4" x14ac:dyDescent="0.15">
      <c r="A75" s="19"/>
      <c r="B75" s="37"/>
      <c r="D75" s="34"/>
    </row>
    <row r="76" spans="1:4" x14ac:dyDescent="0.15">
      <c r="A76" s="19"/>
      <c r="B76" s="37"/>
      <c r="D76" s="34"/>
    </row>
    <row r="77" spans="1:4" x14ac:dyDescent="0.15">
      <c r="A77" s="19"/>
      <c r="B77" s="37"/>
      <c r="D77" s="34"/>
    </row>
    <row r="78" spans="1:4" x14ac:dyDescent="0.15">
      <c r="A78" s="19"/>
      <c r="B78" s="37"/>
      <c r="D78" s="34"/>
    </row>
    <row r="79" spans="1:4" x14ac:dyDescent="0.15">
      <c r="A79" s="19"/>
      <c r="B79" s="37"/>
      <c r="D79" s="34"/>
    </row>
    <row r="81" spans="1:5" ht="21" x14ac:dyDescent="0.2">
      <c r="A81" s="20" t="s">
        <v>294</v>
      </c>
    </row>
    <row r="82" spans="1:5" x14ac:dyDescent="0.15">
      <c r="A82" s="19" t="s">
        <v>297</v>
      </c>
      <c r="B82" s="22">
        <f>LM5122_Quickstart!I39/100</f>
        <v>0.25</v>
      </c>
      <c r="D82" t="s">
        <v>295</v>
      </c>
    </row>
    <row r="83" spans="1:5" x14ac:dyDescent="0.15">
      <c r="A83" s="19" t="s">
        <v>296</v>
      </c>
      <c r="B83" s="38">
        <f>MAX(B57:B59)*(1+M_LIMIT)</f>
        <v>22.724358974358974</v>
      </c>
      <c r="C83" t="s">
        <v>33</v>
      </c>
      <c r="D83" t="s">
        <v>298</v>
      </c>
    </row>
    <row r="84" spans="1:5" x14ac:dyDescent="0.15">
      <c r="A84" s="19" t="s">
        <v>336</v>
      </c>
      <c r="B84" s="40">
        <f>EC_Table!D72</f>
        <v>10</v>
      </c>
      <c r="D84" t="s">
        <v>337</v>
      </c>
    </row>
    <row r="85" spans="1:5" x14ac:dyDescent="0.15">
      <c r="A85" s="19" t="s">
        <v>338</v>
      </c>
      <c r="B85" s="40">
        <f>EC_Table!D68</f>
        <v>7.4999999999999997E-2</v>
      </c>
      <c r="D85" t="s">
        <v>339</v>
      </c>
    </row>
    <row r="86" spans="1:5" x14ac:dyDescent="0.15">
      <c r="A86" s="19" t="s">
        <v>299</v>
      </c>
      <c r="B86" s="38">
        <f>VCL/B83</f>
        <v>3.3004231311706627E-3</v>
      </c>
      <c r="C86" t="s">
        <v>96</v>
      </c>
      <c r="D86" t="s">
        <v>300</v>
      </c>
    </row>
    <row r="87" spans="1:5" x14ac:dyDescent="0.15">
      <c r="A87" s="19" t="s">
        <v>301</v>
      </c>
      <c r="B87" s="22">
        <f>LM5122_Quickstart!I42/1000</f>
        <v>2E-3</v>
      </c>
      <c r="C87" t="s">
        <v>96</v>
      </c>
      <c r="D87" t="s">
        <v>302</v>
      </c>
    </row>
    <row r="88" spans="1:5" x14ac:dyDescent="0.15">
      <c r="A88" s="19"/>
    </row>
    <row r="89" spans="1:5" x14ac:dyDescent="0.15">
      <c r="A89" s="19" t="s">
        <v>256</v>
      </c>
      <c r="B89" s="23">
        <f>VCL/Rcs</f>
        <v>37.5</v>
      </c>
      <c r="C89" t="s">
        <v>33</v>
      </c>
      <c r="D89" t="s">
        <v>308</v>
      </c>
      <c r="E89">
        <f>IF(B89&lt;B57,1,0)</f>
        <v>0</v>
      </c>
    </row>
    <row r="90" spans="1:5" x14ac:dyDescent="0.15">
      <c r="A90" s="19" t="s">
        <v>274</v>
      </c>
      <c r="B90" s="23">
        <f>VCL/Rcs</f>
        <v>37.5</v>
      </c>
      <c r="C90" t="s">
        <v>33</v>
      </c>
      <c r="D90" t="s">
        <v>309</v>
      </c>
      <c r="E90">
        <f>IF(B90&lt;B58,1,0)</f>
        <v>0</v>
      </c>
    </row>
    <row r="91" spans="1:5" x14ac:dyDescent="0.15">
      <c r="A91" s="19" t="s">
        <v>257</v>
      </c>
      <c r="B91" s="23">
        <f>VCL/Rcs</f>
        <v>37.5</v>
      </c>
      <c r="C91" t="s">
        <v>33</v>
      </c>
      <c r="D91" t="s">
        <v>310</v>
      </c>
      <c r="E91">
        <f>IF(B91&lt;B59,1,0)</f>
        <v>0</v>
      </c>
    </row>
    <row r="93" spans="1:5" x14ac:dyDescent="0.15">
      <c r="A93" s="19" t="s">
        <v>315</v>
      </c>
      <c r="B93" s="38">
        <f>(VIN_MIN*(B89-(B53/2))*np)/(VOUT)</f>
        <v>19.592307692307692</v>
      </c>
      <c r="C93" t="s">
        <v>33</v>
      </c>
      <c r="D93" t="s">
        <v>312</v>
      </c>
    </row>
    <row r="94" spans="1:5" x14ac:dyDescent="0.15">
      <c r="A94" s="19" t="s">
        <v>316</v>
      </c>
      <c r="B94" s="38">
        <f>(VIN_TYP*(B90-(B54/2))*np)/(VOUT)</f>
        <v>21.581196581196579</v>
      </c>
      <c r="C94" t="s">
        <v>33</v>
      </c>
      <c r="D94" t="s">
        <v>314</v>
      </c>
    </row>
    <row r="95" spans="1:5" x14ac:dyDescent="0.15">
      <c r="A95" s="19" t="s">
        <v>317</v>
      </c>
      <c r="B95" s="38">
        <f>(VIN_MAX*(B91-(B55/2))*np)/(VOUT)</f>
        <v>75</v>
      </c>
      <c r="C95" t="s">
        <v>33</v>
      </c>
      <c r="D95" t="s">
        <v>313</v>
      </c>
    </row>
    <row r="97" spans="1:5" ht="21" x14ac:dyDescent="0.2">
      <c r="A97" s="24" t="s">
        <v>321</v>
      </c>
    </row>
    <row r="98" spans="1:5" x14ac:dyDescent="0.15">
      <c r="A98" s="19" t="s">
        <v>325</v>
      </c>
      <c r="B98" s="22">
        <f>LM5122_Quickstart!I50</f>
        <v>1</v>
      </c>
      <c r="D98" t="s">
        <v>322</v>
      </c>
    </row>
    <row r="99" spans="1:5" x14ac:dyDescent="0.15">
      <c r="A99" s="19" t="s">
        <v>328</v>
      </c>
      <c r="B99" s="23">
        <f>((5.7*10^9)/fsw)*(1.2-(VIN_MIN/VOUT))</f>
        <v>39461.538461538454</v>
      </c>
      <c r="C99" t="s">
        <v>96</v>
      </c>
      <c r="D99" t="s">
        <v>329</v>
      </c>
    </row>
    <row r="100" spans="1:5" x14ac:dyDescent="0.15">
      <c r="A100" s="19" t="s">
        <v>326</v>
      </c>
      <c r="B100" s="23">
        <f>(Lm*(6*10^9))/(((k_slope_selected*VOUT)-VIN_MIN)*Rcs*EC_Table!D72)</f>
        <v>71428.571428571435</v>
      </c>
      <c r="C100" t="s">
        <v>96</v>
      </c>
      <c r="D100" t="s">
        <v>327</v>
      </c>
    </row>
    <row r="101" spans="1:5" x14ac:dyDescent="0.15">
      <c r="A101" s="19" t="s">
        <v>331</v>
      </c>
      <c r="B101" s="22">
        <f>LM5122_Quickstart!I53*1000</f>
        <v>40200</v>
      </c>
      <c r="C101" t="s">
        <v>96</v>
      </c>
      <c r="D101" t="s">
        <v>332</v>
      </c>
      <c r="E101">
        <f>IF(B101&lt;B99,1,0)</f>
        <v>0</v>
      </c>
    </row>
    <row r="103" spans="1:5" x14ac:dyDescent="0.15">
      <c r="A103" s="19" t="s">
        <v>333</v>
      </c>
      <c r="B103" s="23">
        <f>(1+(Lm*6*10^9/(VIN_MIN*Rcs*ACS*Rslope)))*(VIN_MIN/VOUT)</f>
        <v>1.5437810945273631</v>
      </c>
      <c r="D103" t="s">
        <v>340</v>
      </c>
    </row>
    <row r="104" spans="1:5" x14ac:dyDescent="0.15">
      <c r="A104" s="19" t="s">
        <v>343</v>
      </c>
      <c r="D104" t="s">
        <v>346</v>
      </c>
    </row>
    <row r="105" spans="1:5" x14ac:dyDescent="0.15">
      <c r="A105" s="19" t="s">
        <v>334</v>
      </c>
      <c r="B105" s="41">
        <f>(1+(Lm*6*10^9/(VIN_TYP*Rcs*ACS*Rslope)))*(VIN_TYP/VOUT)</f>
        <v>1.5771144278606966</v>
      </c>
      <c r="D105" t="s">
        <v>342</v>
      </c>
    </row>
    <row r="106" spans="1:5" x14ac:dyDescent="0.15">
      <c r="A106" s="19" t="s">
        <v>344</v>
      </c>
      <c r="B106" s="36"/>
      <c r="D106" t="s">
        <v>346</v>
      </c>
    </row>
    <row r="107" spans="1:5" x14ac:dyDescent="0.15">
      <c r="A107" s="19" t="s">
        <v>335</v>
      </c>
      <c r="B107" s="41">
        <f>(1+(Lm*6*10^9/(VIN_MAX*Rcs*ACS*Rslope)))*(VIN_MAX/VOUT)</f>
        <v>2.2437810945273631</v>
      </c>
      <c r="D107" t="s">
        <v>341</v>
      </c>
    </row>
    <row r="108" spans="1:5" x14ac:dyDescent="0.15">
      <c r="A108" s="19" t="s">
        <v>345</v>
      </c>
      <c r="D108" t="s">
        <v>346</v>
      </c>
    </row>
    <row r="110" spans="1:5" ht="21" x14ac:dyDescent="0.2">
      <c r="A110" s="24" t="s">
        <v>347</v>
      </c>
    </row>
    <row r="111" spans="1:5" x14ac:dyDescent="0.15">
      <c r="A111" s="19" t="s">
        <v>350</v>
      </c>
      <c r="B111" s="22">
        <f>LM5122_Quickstart!I56/1000</f>
        <v>2.4E-2</v>
      </c>
      <c r="C111" t="s">
        <v>34</v>
      </c>
      <c r="D111" t="s">
        <v>353</v>
      </c>
    </row>
    <row r="112" spans="1:5" x14ac:dyDescent="0.15">
      <c r="A112" s="19" t="s">
        <v>684</v>
      </c>
      <c r="B112" s="103">
        <f>(IOUT*1-(VIN_MIN/VOUT))/(B111*fsw)</f>
        <v>2.3141025641025639E-3</v>
      </c>
      <c r="C112" t="s">
        <v>354</v>
      </c>
      <c r="D112" t="s">
        <v>687</v>
      </c>
    </row>
    <row r="113" spans="1:5" x14ac:dyDescent="0.15">
      <c r="A113" s="19" t="s">
        <v>551</v>
      </c>
      <c r="B113" s="103">
        <f>1/((((VIN_MIN*B111)/(VOUT*IOUT))-RESR)*4*fsw)</f>
        <v>-1.3694638694638695E-4</v>
      </c>
      <c r="C113" t="s">
        <v>354</v>
      </c>
      <c r="D113" t="s">
        <v>686</v>
      </c>
    </row>
    <row r="114" spans="1:5" x14ac:dyDescent="0.15">
      <c r="A114" s="19" t="s">
        <v>681</v>
      </c>
      <c r="B114" s="103">
        <f>(IOUT-0.5*IOUT)/(B111*(w_RHP/5))</f>
        <v>5.4543209876543207E-3</v>
      </c>
      <c r="C114" t="s">
        <v>354</v>
      </c>
      <c r="D114" t="s">
        <v>682</v>
      </c>
    </row>
    <row r="115" spans="1:5" x14ac:dyDescent="0.15">
      <c r="A115" s="19" t="s">
        <v>356</v>
      </c>
      <c r="B115" s="22">
        <f>LM5122_Quickstart!I58/(10^6)</f>
        <v>3.64E-3</v>
      </c>
      <c r="C115" t="s">
        <v>354</v>
      </c>
      <c r="D115" t="s">
        <v>358</v>
      </c>
    </row>
    <row r="116" spans="1:5" x14ac:dyDescent="0.15">
      <c r="A116" s="19"/>
    </row>
    <row r="117" spans="1:5" x14ac:dyDescent="0.15">
      <c r="A117" s="19" t="s">
        <v>357</v>
      </c>
      <c r="B117" s="22">
        <f>LM5122_Quickstart!I59/1000</f>
        <v>1.4999999999999999E-2</v>
      </c>
      <c r="C117" t="s">
        <v>96</v>
      </c>
      <c r="D117" t="s">
        <v>359</v>
      </c>
    </row>
    <row r="120" spans="1:5" ht="21" x14ac:dyDescent="0.2">
      <c r="A120" s="24" t="s">
        <v>371</v>
      </c>
    </row>
    <row r="121" spans="1:5" x14ac:dyDescent="0.15">
      <c r="A121" t="s">
        <v>362</v>
      </c>
      <c r="B121" s="23">
        <f>((VOUT/IOUT_np)*((VIN_MIN/VOUT)^2))/Lm</f>
        <v>143617.02127659574</v>
      </c>
      <c r="C121" t="s">
        <v>363</v>
      </c>
      <c r="D121" t="s">
        <v>690</v>
      </c>
    </row>
    <row r="122" spans="1:5" x14ac:dyDescent="0.15">
      <c r="A122" t="s">
        <v>423</v>
      </c>
      <c r="B122" s="23">
        <f>w_RHP/(2*PI())</f>
        <v>22857.358848304117</v>
      </c>
      <c r="C122" t="s">
        <v>70</v>
      </c>
    </row>
    <row r="123" spans="1:5" x14ac:dyDescent="0.15">
      <c r="A123" t="s">
        <v>364</v>
      </c>
      <c r="B123" s="23">
        <f>1/(COUT*RESR)</f>
        <v>18315.018315018315</v>
      </c>
      <c r="C123" t="s">
        <v>363</v>
      </c>
      <c r="D123" t="s">
        <v>365</v>
      </c>
    </row>
    <row r="124" spans="1:5" x14ac:dyDescent="0.15">
      <c r="A124" t="s">
        <v>424</v>
      </c>
      <c r="B124" s="23">
        <f>w_Z_ESR/(2*PI())</f>
        <v>2914.9256976537608</v>
      </c>
      <c r="C124" t="s">
        <v>70</v>
      </c>
    </row>
    <row r="125" spans="1:5" x14ac:dyDescent="0.15">
      <c r="A125" t="s">
        <v>366</v>
      </c>
      <c r="B125" s="23">
        <f>2/(COUT*(VOUT/IOUT_np))</f>
        <v>34.432234432234431</v>
      </c>
      <c r="C125" t="s">
        <v>363</v>
      </c>
      <c r="D125" t="s">
        <v>416</v>
      </c>
    </row>
    <row r="126" spans="1:5" x14ac:dyDescent="0.15">
      <c r="A126" t="s">
        <v>425</v>
      </c>
      <c r="B126" s="23">
        <f>w_p_low/(2*PI())</f>
        <v>5.48006031158907</v>
      </c>
      <c r="C126" t="s">
        <v>70</v>
      </c>
    </row>
    <row r="127" spans="1:5" x14ac:dyDescent="0.15">
      <c r="A127" t="s">
        <v>367</v>
      </c>
      <c r="B127" s="23">
        <f>Gcomp*(VIN_MIN/IOUT_np)/(2*Rcs*ACS)</f>
        <v>89.760638297872347</v>
      </c>
      <c r="C127" t="s">
        <v>118</v>
      </c>
      <c r="D127" t="s">
        <v>368</v>
      </c>
      <c r="E127" t="s">
        <v>417</v>
      </c>
    </row>
    <row r="128" spans="1:5" x14ac:dyDescent="0.15">
      <c r="A128" t="s">
        <v>369</v>
      </c>
      <c r="B128" s="23">
        <f>1/(PI()*(B103-0.5))</f>
        <v>0.30495847055739717</v>
      </c>
      <c r="D128" t="s">
        <v>370</v>
      </c>
    </row>
    <row r="130" spans="1:5" x14ac:dyDescent="0.15">
      <c r="A130" t="s">
        <v>520</v>
      </c>
      <c r="B130" s="38">
        <f>(Rcs*ACS/(2*Lm*fsw))*(1-(VIN_MIN/VOUT))*(VIN_MIN/VOUT)</f>
        <v>1.6153846153846153E-3</v>
      </c>
      <c r="E130" t="s">
        <v>474</v>
      </c>
    </row>
    <row r="131" spans="1:5" x14ac:dyDescent="0.15">
      <c r="A131" t="s">
        <v>521</v>
      </c>
      <c r="B131" s="38">
        <f>1/((0.5-(1-(VIN_MIN/VOUT)))*(Rcs*ACS/(Lm*fsw))+(Vslo*ACS/VOUT))</f>
        <v>5.078125</v>
      </c>
      <c r="E131" t="s">
        <v>474</v>
      </c>
    </row>
    <row r="132" spans="1:5" x14ac:dyDescent="0.15">
      <c r="A132" t="s">
        <v>522</v>
      </c>
      <c r="B132" s="38">
        <f>2+((VOUT*((VIN_MIN/VOUT)^2))/(IOUT_np*Rcs*ACS))*((1/Km_VINmin)+(Kex_VINmin/(VIN_MIN/VOUT)))</f>
        <v>16.527414075286412</v>
      </c>
      <c r="E132" t="s">
        <v>474</v>
      </c>
    </row>
    <row r="133" spans="1:5" x14ac:dyDescent="0.15">
      <c r="A133" s="98"/>
      <c r="B133" s="37"/>
    </row>
    <row r="134" spans="1:5" x14ac:dyDescent="0.15">
      <c r="A134" s="98"/>
      <c r="B134" s="37"/>
    </row>
    <row r="135" spans="1:5" x14ac:dyDescent="0.15">
      <c r="A135" s="98"/>
      <c r="B135" s="37"/>
    </row>
    <row r="136" spans="1:5" x14ac:dyDescent="0.15">
      <c r="A136" t="s">
        <v>523</v>
      </c>
      <c r="B136" s="38">
        <f>((VIN_MIN/VOUT)*(VOUT/IOUT_np))/(Kd_VINmin*Rcs*ACS)</f>
        <v>14.482707399796999</v>
      </c>
    </row>
    <row r="137" spans="1:5" x14ac:dyDescent="0.15">
      <c r="B137" s="37"/>
    </row>
    <row r="138" spans="1:5" x14ac:dyDescent="0.15">
      <c r="A138" t="s">
        <v>524</v>
      </c>
      <c r="B138" s="38">
        <f>Kd_VINmin/(COUT*(VOUT/IOUT_np))</f>
        <v>284.53789799943638</v>
      </c>
      <c r="C138" t="s">
        <v>525</v>
      </c>
      <c r="E138" t="s">
        <v>526</v>
      </c>
    </row>
    <row r="139" spans="1:5" x14ac:dyDescent="0.15">
      <c r="A139" t="s">
        <v>527</v>
      </c>
      <c r="B139" s="38">
        <f>B138/(2*PI())</f>
        <v>45.285612963587816</v>
      </c>
      <c r="C139" t="s">
        <v>70</v>
      </c>
      <c r="E139" t="s">
        <v>528</v>
      </c>
    </row>
    <row r="140" spans="1:5" ht="73.5" customHeight="1" x14ac:dyDescent="0.15">
      <c r="B140" s="37"/>
    </row>
    <row r="141" spans="1:5" x14ac:dyDescent="0.15">
      <c r="A141" t="s">
        <v>529</v>
      </c>
      <c r="B141" s="38">
        <f>1/(COUT*RESR)</f>
        <v>18315.018315018315</v>
      </c>
      <c r="C141" t="s">
        <v>530</v>
      </c>
      <c r="E141" t="s">
        <v>531</v>
      </c>
    </row>
    <row r="142" spans="1:5" ht="15.75" customHeight="1" x14ac:dyDescent="0.15">
      <c r="A142" t="s">
        <v>532</v>
      </c>
      <c r="B142" s="38">
        <f>B141/(2*PI())</f>
        <v>2914.9256976537608</v>
      </c>
      <c r="C142" t="s">
        <v>70</v>
      </c>
      <c r="E142" t="s">
        <v>533</v>
      </c>
    </row>
    <row r="143" spans="1:5" ht="15.75" customHeight="1" x14ac:dyDescent="0.15">
      <c r="B143" s="37"/>
    </row>
    <row r="144" spans="1:5" x14ac:dyDescent="0.15">
      <c r="A144" t="s">
        <v>534</v>
      </c>
      <c r="B144" s="38">
        <f>((VOUT/IOUT_np)*((VIN_MIN/VOUT)^2))/(Lm)</f>
        <v>143617.02127659574</v>
      </c>
      <c r="E144" t="s">
        <v>535</v>
      </c>
    </row>
    <row r="145" spans="1:5" x14ac:dyDescent="0.15">
      <c r="A145" t="s">
        <v>536</v>
      </c>
      <c r="B145" s="38">
        <f>B144/(2*PI())</f>
        <v>22857.358848304117</v>
      </c>
      <c r="C145" t="s">
        <v>70</v>
      </c>
      <c r="E145" t="s">
        <v>537</v>
      </c>
    </row>
    <row r="146" spans="1:5" x14ac:dyDescent="0.15">
      <c r="B146" s="38">
        <f>fsw/10</f>
        <v>13000</v>
      </c>
      <c r="C146" t="s">
        <v>70</v>
      </c>
      <c r="E146" t="s">
        <v>538</v>
      </c>
    </row>
    <row r="147" spans="1:5" x14ac:dyDescent="0.15">
      <c r="B147" s="26">
        <f>IF((B145/5)&lt;(B146),0,1)</f>
        <v>0</v>
      </c>
      <c r="E147" t="s">
        <v>539</v>
      </c>
    </row>
    <row r="148" spans="1:5" x14ac:dyDescent="0.15">
      <c r="B148" s="37"/>
    </row>
    <row r="149" spans="1:5" x14ac:dyDescent="0.15">
      <c r="A149" t="s">
        <v>540</v>
      </c>
      <c r="B149" s="38">
        <f>(Vslo*fsw)</f>
        <v>156000</v>
      </c>
      <c r="C149" t="s">
        <v>118</v>
      </c>
      <c r="E149" t="s">
        <v>541</v>
      </c>
    </row>
    <row r="150" spans="1:5" x14ac:dyDescent="0.15">
      <c r="A150" t="s">
        <v>542</v>
      </c>
      <c r="B150" s="38">
        <f>(Rcs*VIN_MIN)/Lm</f>
        <v>3600</v>
      </c>
      <c r="C150" t="s">
        <v>118</v>
      </c>
      <c r="E150" t="s">
        <v>488</v>
      </c>
    </row>
    <row r="151" spans="1:5" x14ac:dyDescent="0.15">
      <c r="B151" s="37"/>
    </row>
    <row r="152" spans="1:5" x14ac:dyDescent="0.15">
      <c r="A152" t="s">
        <v>543</v>
      </c>
      <c r="B152" s="38">
        <f>2*PI()*fsw</f>
        <v>816814.08993334626</v>
      </c>
      <c r="C152" t="s">
        <v>489</v>
      </c>
      <c r="E152" t="s">
        <v>544</v>
      </c>
    </row>
    <row r="153" spans="1:5" x14ac:dyDescent="0.15">
      <c r="A153" t="s">
        <v>545</v>
      </c>
      <c r="B153" s="38">
        <f>1/(PI()*(((VIN_MIN/VOUT)*(1+(B149/B150)))-0.5))</f>
        <v>2.4867959858108649E-2</v>
      </c>
      <c r="E153" t="s">
        <v>546</v>
      </c>
    </row>
    <row r="154" spans="1:5" x14ac:dyDescent="0.15">
      <c r="B154" s="37"/>
    </row>
    <row r="159" spans="1:5" ht="21" x14ac:dyDescent="0.2">
      <c r="A159" s="24" t="s">
        <v>376</v>
      </c>
    </row>
    <row r="160" spans="1:5" x14ac:dyDescent="0.15">
      <c r="A160" t="s">
        <v>377</v>
      </c>
      <c r="B160" s="29">
        <f>LM5122_Quickstart!I62*1000</f>
        <v>28800</v>
      </c>
      <c r="C160" t="s">
        <v>96</v>
      </c>
      <c r="D160" t="s">
        <v>382</v>
      </c>
    </row>
    <row r="161" spans="1:6" x14ac:dyDescent="0.15">
      <c r="A161" t="s">
        <v>378</v>
      </c>
      <c r="B161" s="23">
        <f>(RFB_TOP*VREF)/(VOUT-VREF)</f>
        <v>587.75510204081638</v>
      </c>
      <c r="C161" t="s">
        <v>96</v>
      </c>
      <c r="D161" t="s">
        <v>379</v>
      </c>
    </row>
    <row r="162" spans="1:6" x14ac:dyDescent="0.15">
      <c r="A162" t="s">
        <v>380</v>
      </c>
      <c r="B162" s="29">
        <f>LM5122_Quickstart!I64*1000</f>
        <v>576</v>
      </c>
      <c r="C162" t="s">
        <v>96</v>
      </c>
      <c r="D162" t="s">
        <v>381</v>
      </c>
    </row>
    <row r="163" spans="1:6" x14ac:dyDescent="0.15">
      <c r="A163" t="s">
        <v>383</v>
      </c>
      <c r="B163" s="23">
        <f>((RFB_TOP/B162)+1)*1.2</f>
        <v>61.199999999999996</v>
      </c>
      <c r="C163" t="s">
        <v>34</v>
      </c>
      <c r="D163" t="s">
        <v>385</v>
      </c>
    </row>
    <row r="164" spans="1:6" x14ac:dyDescent="0.15">
      <c r="A164" t="s">
        <v>384</v>
      </c>
      <c r="B164" s="23">
        <f>1000*B163/(B162+RFB_TOP)</f>
        <v>2.083333333333333</v>
      </c>
      <c r="C164" t="s">
        <v>422</v>
      </c>
      <c r="D164" t="s">
        <v>386</v>
      </c>
    </row>
    <row r="165" spans="1:6" ht="27" customHeight="1" x14ac:dyDescent="0.15">
      <c r="E165" s="165" t="s">
        <v>415</v>
      </c>
    </row>
    <row r="166" spans="1:6" ht="21" x14ac:dyDescent="0.2">
      <c r="A166" s="20" t="s">
        <v>387</v>
      </c>
    </row>
    <row r="167" spans="1:6" x14ac:dyDescent="0.15">
      <c r="A167" t="s">
        <v>388</v>
      </c>
      <c r="B167" s="23">
        <f>IF(fsw/10&lt;RHP_freq/5,fsw/10,RHP_freq/5)</f>
        <v>4571.4717696608232</v>
      </c>
      <c r="C167" t="s">
        <v>70</v>
      </c>
      <c r="D167" t="s">
        <v>426</v>
      </c>
    </row>
    <row r="168" spans="1:6" x14ac:dyDescent="0.15">
      <c r="A168" t="s">
        <v>508</v>
      </c>
      <c r="B168" s="29">
        <f>LM5122_Quickstart!I80*1000</f>
        <v>1360</v>
      </c>
      <c r="C168" t="s">
        <v>70</v>
      </c>
    </row>
    <row r="169" spans="1:6" x14ac:dyDescent="0.15">
      <c r="A169" t="s">
        <v>389</v>
      </c>
      <c r="B169" s="23">
        <f>Fcross*3.1415*Rcs*RFB_TOP*20*COUT*(VOUT/E169)</f>
        <v>53746.611609600004</v>
      </c>
      <c r="C169" t="s">
        <v>390</v>
      </c>
      <c r="D169" t="s">
        <v>688</v>
      </c>
      <c r="E169" s="29">
        <f>LM5122_Quickstart!I82</f>
        <v>20</v>
      </c>
      <c r="F169" t="s">
        <v>689</v>
      </c>
    </row>
    <row r="170" spans="1:6" x14ac:dyDescent="0.15">
      <c r="A170" t="s">
        <v>391</v>
      </c>
      <c r="B170" s="23">
        <f>((VOUT/IOUT_np)*COUT)/(2*Rcomp)</f>
        <v>5.4036063524238798E-7</v>
      </c>
      <c r="C170" t="s">
        <v>354</v>
      </c>
    </row>
    <row r="171" spans="1:6" x14ac:dyDescent="0.15">
      <c r="A171" t="s">
        <v>392</v>
      </c>
      <c r="B171" s="23">
        <f>(RESR*COUT*Ccomp)/(Rcomp*Ccomp-(RESR*COUT))</f>
        <v>1.0177914421669633E-9</v>
      </c>
      <c r="C171" t="s">
        <v>354</v>
      </c>
    </row>
    <row r="172" spans="1:6" x14ac:dyDescent="0.15">
      <c r="A172" t="s">
        <v>418</v>
      </c>
      <c r="B172" s="23">
        <f>1/(RFB_TOP*(Ccomp+CHF))</f>
        <v>64.136693504511996</v>
      </c>
      <c r="C172" t="s">
        <v>118</v>
      </c>
    </row>
    <row r="173" spans="1:6" x14ac:dyDescent="0.15">
      <c r="A173" t="s">
        <v>419</v>
      </c>
      <c r="B173" s="23">
        <f>Rcomp/RFB_TOP</f>
        <v>1.8662017920000002</v>
      </c>
      <c r="C173" t="s">
        <v>118</v>
      </c>
    </row>
    <row r="174" spans="1:6" x14ac:dyDescent="0.15">
      <c r="A174" t="s">
        <v>420</v>
      </c>
      <c r="B174" s="23">
        <f>(1/(Rcomp*Ccomp))/(2*PI())</f>
        <v>5.48006031158907</v>
      </c>
      <c r="C174" t="s">
        <v>70</v>
      </c>
    </row>
    <row r="175" spans="1:6" x14ac:dyDescent="0.15">
      <c r="A175" t="s">
        <v>421</v>
      </c>
      <c r="B175" s="23">
        <f>(1/(Rcomp*CHF))/(2*PI())</f>
        <v>2909.4456373421717</v>
      </c>
      <c r="C175" t="s">
        <v>70</v>
      </c>
    </row>
    <row r="177" spans="1:7" x14ac:dyDescent="0.15">
      <c r="A177" t="s">
        <v>427</v>
      </c>
      <c r="B177" s="29">
        <f>LM5122_Quickstart!I80</f>
        <v>1.36</v>
      </c>
    </row>
    <row r="178" spans="1:7" x14ac:dyDescent="0.15">
      <c r="A178" t="s">
        <v>393</v>
      </c>
      <c r="B178" s="29">
        <f>LM5122_Quickstart!I85*1000</f>
        <v>56000</v>
      </c>
      <c r="C178" t="s">
        <v>390</v>
      </c>
    </row>
    <row r="179" spans="1:7" x14ac:dyDescent="0.15">
      <c r="A179" t="s">
        <v>428</v>
      </c>
      <c r="B179" s="29">
        <f>LM5122_Quickstart!I86*0.000000001</f>
        <v>4.7000000000000005E-7</v>
      </c>
      <c r="C179" t="s">
        <v>354</v>
      </c>
    </row>
    <row r="180" spans="1:7" x14ac:dyDescent="0.15">
      <c r="A180" t="s">
        <v>392</v>
      </c>
      <c r="B180" s="29">
        <f>LM5122_Quickstart!I87*0.000000000001</f>
        <v>1.0000000000000001E-9</v>
      </c>
      <c r="C180" t="s">
        <v>354</v>
      </c>
    </row>
    <row r="181" spans="1:7" ht="21" x14ac:dyDescent="0.2">
      <c r="A181" s="20" t="s">
        <v>396</v>
      </c>
    </row>
    <row r="182" spans="1:7" x14ac:dyDescent="0.15">
      <c r="A182" s="15" t="s">
        <v>398</v>
      </c>
      <c r="B182" s="29">
        <f>LM5122_Quickstart!I67</f>
        <v>2</v>
      </c>
      <c r="C182" s="43">
        <f>pTSSmin*10^-3</f>
        <v>2E-3</v>
      </c>
    </row>
    <row r="183" spans="1:7" ht="16.5" x14ac:dyDescent="0.25">
      <c r="A183" s="42" t="s">
        <v>399</v>
      </c>
      <c r="B183" s="23" t="e">
        <f>rCss*10^9</f>
        <v>#DIV/0!</v>
      </c>
      <c r="C183" s="43" t="e">
        <f>ISS*TSSmin/(1.2*(VOUT-VIN_MAX)/VOUT)</f>
        <v>#DIV/0!</v>
      </c>
      <c r="F183" t="s">
        <v>401</v>
      </c>
      <c r="G183">
        <f>10*10^-6</f>
        <v>9.9999999999999991E-6</v>
      </c>
    </row>
    <row r="184" spans="1:7" ht="16.5" x14ac:dyDescent="0.25">
      <c r="A184" s="42" t="s">
        <v>400</v>
      </c>
      <c r="B184" s="23" t="e">
        <f>TSSmax*1000</f>
        <v>#DIV/0!</v>
      </c>
      <c r="C184" s="43" t="e">
        <f>rCss*1.2/ISS*(1-VIN_MIN/VOUT)</f>
        <v>#DIV/0!</v>
      </c>
      <c r="F184" t="s">
        <v>404</v>
      </c>
      <c r="G184">
        <v>1.0000000000000001E-5</v>
      </c>
    </row>
    <row r="185" spans="1:7" x14ac:dyDescent="0.15">
      <c r="F185" t="s">
        <v>405</v>
      </c>
      <c r="G185">
        <v>1.2</v>
      </c>
    </row>
    <row r="186" spans="1:7" ht="21" x14ac:dyDescent="0.2">
      <c r="A186" s="20" t="s">
        <v>397</v>
      </c>
      <c r="F186" t="s">
        <v>406</v>
      </c>
      <c r="G186">
        <f>0.000007</f>
        <v>6.9999999999999999E-6</v>
      </c>
    </row>
    <row r="187" spans="1:7" ht="16.5" x14ac:dyDescent="0.25">
      <c r="A187" s="15" t="s">
        <v>402</v>
      </c>
      <c r="B187" s="29">
        <f>LM5122_Quickstart!I72</f>
        <v>8.3000000000000007</v>
      </c>
      <c r="F187" t="s">
        <v>407</v>
      </c>
      <c r="G187">
        <v>1.1639999999999999</v>
      </c>
    </row>
    <row r="188" spans="1:7" ht="16.5" x14ac:dyDescent="0.25">
      <c r="A188" s="15" t="s">
        <v>409</v>
      </c>
      <c r="B188" s="29">
        <f>LM5122_Quickstart!I73</f>
        <v>7.85</v>
      </c>
      <c r="F188" t="s">
        <v>411</v>
      </c>
      <c r="G188">
        <v>0.4</v>
      </c>
    </row>
    <row r="189" spans="1:7" ht="16.5" x14ac:dyDescent="0.25">
      <c r="A189" s="15" t="s">
        <v>408</v>
      </c>
      <c r="B189" s="23">
        <f>LO-UVLO_OFF</f>
        <v>0.45000000000000107</v>
      </c>
      <c r="F189" t="s">
        <v>412</v>
      </c>
      <c r="G189">
        <v>0.1</v>
      </c>
    </row>
    <row r="190" spans="1:7" ht="16.5" x14ac:dyDescent="0.25">
      <c r="A190" s="15" t="s">
        <v>413</v>
      </c>
      <c r="B190" s="23">
        <f>RUV_upper/1000</f>
        <v>45.000000000000099</v>
      </c>
      <c r="C190">
        <f>VHYS/IHYS</f>
        <v>45000.000000000102</v>
      </c>
    </row>
    <row r="191" spans="1:7" ht="16.5" x14ac:dyDescent="0.25">
      <c r="A191" s="15" t="s">
        <v>414</v>
      </c>
      <c r="B191" s="23">
        <f>RUV_lower/1000</f>
        <v>8.0281690140845061</v>
      </c>
      <c r="C191">
        <f>UVth*RUV_upper_SEL/(VINSTARTUP-UVth)</f>
        <v>8028.1690140845067</v>
      </c>
    </row>
    <row r="192" spans="1:7" ht="16.5" x14ac:dyDescent="0.25">
      <c r="A192" s="15" t="s">
        <v>410</v>
      </c>
      <c r="B192" s="29">
        <f>LM5122_Quickstart!I75</f>
        <v>47.5</v>
      </c>
      <c r="C192">
        <f>B192*1000</f>
        <v>47500</v>
      </c>
    </row>
    <row r="193" spans="1:8" x14ac:dyDescent="0.15">
      <c r="A193" s="15"/>
    </row>
    <row r="194" spans="1:8" ht="16.5" x14ac:dyDescent="0.25">
      <c r="A194" s="15" t="s">
        <v>403</v>
      </c>
      <c r="B194" s="23">
        <f>Uvthmin*(RUV_upper+RUV_lower)/RUV_lower-RUV_upper*(IHYSmin)</f>
        <v>7.3735263157894879</v>
      </c>
    </row>
    <row r="195" spans="1:8" ht="21" x14ac:dyDescent="0.2">
      <c r="A195" s="20"/>
    </row>
    <row r="197" spans="1:8" ht="21" x14ac:dyDescent="0.2">
      <c r="A197" s="143" t="s">
        <v>455</v>
      </c>
    </row>
    <row r="198" spans="1:8" x14ac:dyDescent="0.15">
      <c r="A198" s="142" t="s">
        <v>636</v>
      </c>
    </row>
    <row r="199" spans="1:8" x14ac:dyDescent="0.15">
      <c r="A199" s="141" t="s">
        <v>637</v>
      </c>
      <c r="E199" t="s">
        <v>638</v>
      </c>
    </row>
    <row r="202" spans="1:8" x14ac:dyDescent="0.15">
      <c r="A202" s="142" t="s">
        <v>639</v>
      </c>
    </row>
    <row r="203" spans="1:8" ht="15.75" x14ac:dyDescent="0.3">
      <c r="A203" t="s">
        <v>640</v>
      </c>
      <c r="B203" s="147">
        <f>LM5122_Quickstart!H93*(10^-3)</f>
        <v>1E-3</v>
      </c>
      <c r="C203" s="70" t="s">
        <v>459</v>
      </c>
      <c r="E203" s="144" t="s">
        <v>641</v>
      </c>
    </row>
    <row r="204" spans="1:8" ht="15.75" x14ac:dyDescent="0.3">
      <c r="A204" t="s">
        <v>642</v>
      </c>
      <c r="B204" s="148">
        <f>LM5122_Quickstart!H94*(10^-9)</f>
        <v>1E-8</v>
      </c>
      <c r="C204" t="s">
        <v>354</v>
      </c>
      <c r="E204" s="144" t="s">
        <v>643</v>
      </c>
    </row>
    <row r="205" spans="1:8" ht="15.75" x14ac:dyDescent="0.3">
      <c r="A205" t="s">
        <v>644</v>
      </c>
      <c r="B205" s="148">
        <f>LM5122_Quickstart!H95*(10^-9)</f>
        <v>2.4E-9</v>
      </c>
      <c r="C205" t="s">
        <v>354</v>
      </c>
      <c r="E205" s="144" t="s">
        <v>645</v>
      </c>
    </row>
    <row r="206" spans="1:8" ht="15.75" x14ac:dyDescent="0.3">
      <c r="A206" t="s">
        <v>646</v>
      </c>
      <c r="B206" s="148">
        <f>LM5122_Quickstart!H96*(10^-9)</f>
        <v>4.5000000000000006E-9</v>
      </c>
      <c r="C206" t="s">
        <v>354</v>
      </c>
      <c r="E206" s="144" t="s">
        <v>647</v>
      </c>
    </row>
    <row r="207" spans="1:8" ht="15.75" x14ac:dyDescent="0.3">
      <c r="A207" t="s">
        <v>648</v>
      </c>
      <c r="B207" s="29">
        <f>LM5122_Quickstart!H97</f>
        <v>0</v>
      </c>
      <c r="C207" s="70" t="s">
        <v>459</v>
      </c>
      <c r="E207" s="144" t="s">
        <v>649</v>
      </c>
    </row>
    <row r="208" spans="1:8" ht="15" x14ac:dyDescent="0.25">
      <c r="A208" t="s">
        <v>650</v>
      </c>
      <c r="B208" s="21">
        <v>5</v>
      </c>
      <c r="C208" s="70"/>
      <c r="E208" s="167" t="s">
        <v>651</v>
      </c>
      <c r="H208" s="166"/>
    </row>
    <row r="209" spans="1:8" ht="15" x14ac:dyDescent="0.25">
      <c r="A209" t="s">
        <v>652</v>
      </c>
      <c r="B209" s="145">
        <v>50</v>
      </c>
      <c r="C209" s="70" t="s">
        <v>653</v>
      </c>
      <c r="E209" s="167" t="s">
        <v>691</v>
      </c>
      <c r="H209" s="166"/>
    </row>
    <row r="210" spans="1:8" ht="15.75" x14ac:dyDescent="0.3">
      <c r="A210" t="s">
        <v>655</v>
      </c>
      <c r="B210" s="29">
        <f>LM5122_Quickstart!H98</f>
        <v>1.7</v>
      </c>
      <c r="C210" s="70" t="s">
        <v>34</v>
      </c>
      <c r="E210" s="144" t="s">
        <v>656</v>
      </c>
    </row>
    <row r="211" spans="1:8" ht="15" x14ac:dyDescent="0.25">
      <c r="A211" t="s">
        <v>231</v>
      </c>
      <c r="B211" s="21">
        <f>VCC</f>
        <v>7.6</v>
      </c>
      <c r="C211" s="70" t="s">
        <v>34</v>
      </c>
      <c r="E211" s="144" t="s">
        <v>657</v>
      </c>
    </row>
    <row r="212" spans="1:8" ht="15" x14ac:dyDescent="0.25">
      <c r="C212" s="70"/>
      <c r="E212" s="144"/>
    </row>
    <row r="213" spans="1:8" ht="15" x14ac:dyDescent="0.25">
      <c r="C213" s="70"/>
      <c r="E213" s="144"/>
    </row>
    <row r="214" spans="1:8" ht="15" x14ac:dyDescent="0.25">
      <c r="A214" t="s">
        <v>658</v>
      </c>
      <c r="B214" s="39">
        <f>vth+(((VOUT*IOUT_np)/VIN_MIN)/gfs)</f>
        <v>1.9506666666666665</v>
      </c>
      <c r="C214" s="70" t="s">
        <v>34</v>
      </c>
      <c r="E214" s="144" t="s">
        <v>659</v>
      </c>
    </row>
    <row r="215" spans="1:8" ht="15" x14ac:dyDescent="0.25">
      <c r="A215" t="s">
        <v>660</v>
      </c>
      <c r="B215" s="23">
        <f>(Qgd+(Qgs/2))*((Rgate+B208)/(VCC-B214))</f>
        <v>4.1155298560302105E-9</v>
      </c>
      <c r="C215" s="70" t="s">
        <v>71</v>
      </c>
      <c r="E215" s="144" t="s">
        <v>661</v>
      </c>
    </row>
    <row r="216" spans="1:8" ht="15" thickBot="1" x14ac:dyDescent="0.25">
      <c r="A216" t="s">
        <v>662</v>
      </c>
      <c r="B216" s="23">
        <f>(Qgd+(Qgs/2))*((B208+Rgate)/B214)</f>
        <v>1.1919002050580999E-8</v>
      </c>
      <c r="C216" t="s">
        <v>71</v>
      </c>
      <c r="E216" s="146" t="s">
        <v>663</v>
      </c>
    </row>
    <row r="219" spans="1:8" x14ac:dyDescent="0.15">
      <c r="A219" s="142" t="s">
        <v>664</v>
      </c>
    </row>
    <row r="220" spans="1:8" ht="15.75" x14ac:dyDescent="0.3">
      <c r="A220" t="s">
        <v>640</v>
      </c>
      <c r="B220" s="29">
        <f>LM5122_Quickstart!H101*(10^-3)</f>
        <v>1E-3</v>
      </c>
      <c r="C220" s="70" t="s">
        <v>459</v>
      </c>
      <c r="E220" s="144" t="s">
        <v>641</v>
      </c>
    </row>
    <row r="221" spans="1:8" ht="15.75" x14ac:dyDescent="0.3">
      <c r="A221" t="s">
        <v>642</v>
      </c>
      <c r="B221" s="29">
        <f>LM5122_Quickstart!H102*(10^-9)</f>
        <v>1E-8</v>
      </c>
      <c r="C221" t="s">
        <v>354</v>
      </c>
      <c r="E221" s="144" t="s">
        <v>643</v>
      </c>
    </row>
    <row r="222" spans="1:8" ht="15.75" x14ac:dyDescent="0.3">
      <c r="A222" t="s">
        <v>644</v>
      </c>
      <c r="B222" s="29">
        <f>LM5122_Quickstart!H103*(10^-9)</f>
        <v>2.4E-9</v>
      </c>
      <c r="C222" t="s">
        <v>354</v>
      </c>
      <c r="E222" s="144" t="s">
        <v>645</v>
      </c>
    </row>
    <row r="223" spans="1:8" ht="15.75" x14ac:dyDescent="0.3">
      <c r="A223" t="s">
        <v>646</v>
      </c>
      <c r="B223" s="29">
        <f>LM5122_Quickstart!H104*(10^-9)</f>
        <v>4.5000000000000006E-9</v>
      </c>
      <c r="C223" t="s">
        <v>354</v>
      </c>
      <c r="E223" s="144" t="s">
        <v>647</v>
      </c>
    </row>
    <row r="224" spans="1:8" ht="15.75" x14ac:dyDescent="0.3">
      <c r="A224" t="s">
        <v>648</v>
      </c>
      <c r="B224" s="29">
        <f>LM5122_Quickstart!H105</f>
        <v>0</v>
      </c>
      <c r="C224" s="70" t="s">
        <v>459</v>
      </c>
      <c r="E224" s="144" t="s">
        <v>649</v>
      </c>
    </row>
    <row r="225" spans="1:5" ht="15" x14ac:dyDescent="0.25">
      <c r="A225" t="s">
        <v>650</v>
      </c>
      <c r="B225" s="21">
        <v>5</v>
      </c>
      <c r="C225" s="70"/>
      <c r="E225" s="144" t="s">
        <v>651</v>
      </c>
    </row>
    <row r="226" spans="1:5" ht="15.75" x14ac:dyDescent="0.3">
      <c r="A226" t="s">
        <v>652</v>
      </c>
      <c r="B226" s="145">
        <v>50</v>
      </c>
      <c r="C226" s="70" t="s">
        <v>653</v>
      </c>
      <c r="E226" s="144" t="s">
        <v>654</v>
      </c>
    </row>
    <row r="227" spans="1:5" ht="15.75" x14ac:dyDescent="0.3">
      <c r="A227" t="s">
        <v>655</v>
      </c>
      <c r="B227" s="29">
        <f>LM5122_Quickstart!H106</f>
        <v>1.7</v>
      </c>
      <c r="C227" s="70" t="s">
        <v>34</v>
      </c>
      <c r="E227" s="144" t="s">
        <v>656</v>
      </c>
    </row>
    <row r="228" spans="1:5" ht="15" x14ac:dyDescent="0.25">
      <c r="A228" t="s">
        <v>231</v>
      </c>
      <c r="B228" s="21">
        <f>VCC</f>
        <v>7.6</v>
      </c>
      <c r="C228" s="70" t="s">
        <v>34</v>
      </c>
      <c r="E228" s="144" t="s">
        <v>657</v>
      </c>
    </row>
    <row r="229" spans="1:5" x14ac:dyDescent="0.15">
      <c r="A229" t="s">
        <v>665</v>
      </c>
      <c r="B229" s="29">
        <f>LM5122_Quickstart!H107*10^-9</f>
        <v>3.3000000000000004E-8</v>
      </c>
      <c r="C229" t="s">
        <v>666</v>
      </c>
      <c r="E229" t="s">
        <v>667</v>
      </c>
    </row>
    <row r="230" spans="1:5" x14ac:dyDescent="0.15">
      <c r="A230" t="s">
        <v>668</v>
      </c>
      <c r="B230" s="29">
        <f>LM5122_Quickstart!H108</f>
        <v>0.8</v>
      </c>
      <c r="C230" t="s">
        <v>34</v>
      </c>
      <c r="E230" t="s">
        <v>669</v>
      </c>
    </row>
    <row r="231" spans="1:5" ht="15" x14ac:dyDescent="0.25">
      <c r="C231" s="70"/>
      <c r="E231" s="144"/>
    </row>
    <row r="232" spans="1:5" ht="15" x14ac:dyDescent="0.25">
      <c r="A232" t="s">
        <v>658</v>
      </c>
      <c r="B232" s="39">
        <f>vth+(((VOUT*IOUT_np)/VIN_MIN)/B226)</f>
        <v>1.9506666666666665</v>
      </c>
      <c r="C232" s="70" t="s">
        <v>34</v>
      </c>
      <c r="E232" s="144" t="s">
        <v>659</v>
      </c>
    </row>
    <row r="233" spans="1:5" ht="15" x14ac:dyDescent="0.25">
      <c r="A233" t="s">
        <v>660</v>
      </c>
      <c r="B233" s="23">
        <f>(B222+(B223/2))*((B224+B225)/(VCC-B232))</f>
        <v>4.1155298560302105E-9</v>
      </c>
      <c r="C233" s="70" t="s">
        <v>71</v>
      </c>
      <c r="E233" s="144" t="s">
        <v>661</v>
      </c>
    </row>
    <row r="234" spans="1:5" ht="15" thickBot="1" x14ac:dyDescent="0.25">
      <c r="A234" t="s">
        <v>662</v>
      </c>
      <c r="B234" s="23">
        <f>(Qgd+(Qgs/2))*((B225+Rgate)/B232)</f>
        <v>1.1919002050580999E-8</v>
      </c>
      <c r="C234" t="s">
        <v>71</v>
      </c>
      <c r="E234" s="146" t="s">
        <v>663</v>
      </c>
    </row>
  </sheetData>
  <phoneticPr fontId="48"/>
  <pageMargins left="0.7" right="0.7" top="0.75" bottom="0.75" header="0.3" footer="0.3"/>
  <pageSetup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125"/>
  <sheetViews>
    <sheetView workbookViewId="0">
      <selection activeCell="G44" sqref="G44"/>
    </sheetView>
  </sheetViews>
  <sheetFormatPr defaultRowHeight="13.5" x14ac:dyDescent="0.15"/>
  <cols>
    <col min="1" max="1" width="43" customWidth="1"/>
    <col min="2" max="2" width="42.25" customWidth="1"/>
    <col min="3" max="3" width="11.75" bestFit="1" customWidth="1"/>
    <col min="4" max="5" width="12" bestFit="1" customWidth="1"/>
  </cols>
  <sheetData>
    <row r="1" spans="1:8" s="16" customFormat="1" x14ac:dyDescent="0.15">
      <c r="A1" s="252" t="s">
        <v>136</v>
      </c>
      <c r="B1" s="252"/>
      <c r="C1" s="252"/>
      <c r="D1" s="252"/>
      <c r="E1" s="252"/>
      <c r="F1" s="252"/>
      <c r="G1" s="18"/>
      <c r="H1" s="16" t="s">
        <v>202</v>
      </c>
    </row>
    <row r="2" spans="1:8" s="16" customFormat="1" x14ac:dyDescent="0.15">
      <c r="A2" s="253"/>
      <c r="B2" s="253"/>
      <c r="C2" s="253"/>
      <c r="D2" s="253"/>
      <c r="E2" s="253"/>
      <c r="F2" s="253"/>
    </row>
    <row r="3" spans="1:8" x14ac:dyDescent="0.15">
      <c r="A3" s="1" t="s">
        <v>0</v>
      </c>
      <c r="B3" s="1" t="s">
        <v>1</v>
      </c>
      <c r="C3" s="1" t="s">
        <v>2</v>
      </c>
      <c r="D3" s="1" t="s">
        <v>3</v>
      </c>
      <c r="E3" s="1" t="s">
        <v>4</v>
      </c>
      <c r="F3" s="1" t="s">
        <v>5</v>
      </c>
    </row>
    <row r="4" spans="1:8" x14ac:dyDescent="0.15">
      <c r="A4" s="251" t="s">
        <v>7</v>
      </c>
      <c r="B4" s="251"/>
      <c r="C4" s="251"/>
      <c r="D4" s="251"/>
      <c r="E4" s="251"/>
      <c r="F4" s="251"/>
    </row>
    <row r="5" spans="1:8" x14ac:dyDescent="0.15">
      <c r="A5" s="1" t="s">
        <v>6</v>
      </c>
      <c r="B5" s="1" t="s">
        <v>9</v>
      </c>
      <c r="C5" s="1"/>
      <c r="D5" s="1">
        <f>9*(10^-6)</f>
        <v>9.0000000000000002E-6</v>
      </c>
      <c r="E5" s="1">
        <f>17*(10^-6)</f>
        <v>1.7E-5</v>
      </c>
      <c r="F5" s="1" t="s">
        <v>33</v>
      </c>
    </row>
    <row r="6" spans="1:8" x14ac:dyDescent="0.15">
      <c r="A6" s="1" t="s">
        <v>8</v>
      </c>
      <c r="B6" s="1" t="s">
        <v>10</v>
      </c>
      <c r="C6" s="1"/>
      <c r="D6" s="1">
        <f>4*(10^-3)</f>
        <v>4.0000000000000001E-3</v>
      </c>
      <c r="E6" s="1">
        <f>5*(10^-3)</f>
        <v>5.0000000000000001E-3</v>
      </c>
      <c r="F6" s="1" t="s">
        <v>33</v>
      </c>
    </row>
    <row r="7" spans="1:8" x14ac:dyDescent="0.15">
      <c r="A7" s="17" t="s">
        <v>203</v>
      </c>
      <c r="B7" s="17"/>
      <c r="C7" s="17"/>
      <c r="D7" s="17"/>
      <c r="E7" s="17">
        <v>3</v>
      </c>
      <c r="F7" s="17" t="s">
        <v>34</v>
      </c>
    </row>
    <row r="8" spans="1:8" x14ac:dyDescent="0.15">
      <c r="A8" s="17" t="s">
        <v>204</v>
      </c>
      <c r="B8" s="17"/>
      <c r="C8" s="17"/>
      <c r="D8" s="17"/>
      <c r="E8" s="17">
        <v>4.5</v>
      </c>
      <c r="F8" s="17" t="s">
        <v>34</v>
      </c>
    </row>
    <row r="9" spans="1:8" x14ac:dyDescent="0.15">
      <c r="A9" s="251" t="s">
        <v>11</v>
      </c>
      <c r="B9" s="251"/>
      <c r="C9" s="251"/>
      <c r="D9" s="251"/>
      <c r="E9" s="251"/>
      <c r="F9" s="251"/>
    </row>
    <row r="10" spans="1:8" x14ac:dyDescent="0.15">
      <c r="A10" s="1" t="s">
        <v>12</v>
      </c>
      <c r="B10" s="1" t="s">
        <v>23</v>
      </c>
      <c r="C10" s="1">
        <v>6.9</v>
      </c>
      <c r="D10" s="1">
        <v>7.6</v>
      </c>
      <c r="E10" s="1">
        <v>8.3000000000000007</v>
      </c>
      <c r="F10" s="1" t="s">
        <v>34</v>
      </c>
    </row>
    <row r="11" spans="1:8" x14ac:dyDescent="0.15">
      <c r="A11" s="250" t="s">
        <v>13</v>
      </c>
      <c r="B11" s="1" t="s">
        <v>24</v>
      </c>
      <c r="C11" s="1"/>
      <c r="D11" s="1"/>
      <c r="E11" s="1">
        <v>0.25</v>
      </c>
      <c r="F11" s="1" t="s">
        <v>34</v>
      </c>
    </row>
    <row r="12" spans="1:8" x14ac:dyDescent="0.15">
      <c r="A12" s="250"/>
      <c r="B12" s="1" t="s">
        <v>25</v>
      </c>
      <c r="C12" s="1"/>
      <c r="D12" s="1">
        <v>0.28000000000000003</v>
      </c>
      <c r="E12" s="1">
        <v>0.5</v>
      </c>
      <c r="F12" s="1" t="s">
        <v>34</v>
      </c>
    </row>
    <row r="13" spans="1:8" x14ac:dyDescent="0.15">
      <c r="A13" s="1" t="s">
        <v>14</v>
      </c>
      <c r="B13" s="1" t="s">
        <v>26</v>
      </c>
      <c r="C13" s="1">
        <f>50*(10^-3)</f>
        <v>0.05</v>
      </c>
      <c r="D13" s="1">
        <f>62*(10^-3)</f>
        <v>6.2E-2</v>
      </c>
      <c r="E13" s="1"/>
      <c r="F13" s="1" t="s">
        <v>33</v>
      </c>
    </row>
    <row r="14" spans="1:8" x14ac:dyDescent="0.15">
      <c r="A14" s="250" t="s">
        <v>15</v>
      </c>
      <c r="B14" s="1" t="s">
        <v>27</v>
      </c>
      <c r="C14" s="1"/>
      <c r="D14" s="1">
        <f>3.5*(10^-3)</f>
        <v>3.5000000000000001E-3</v>
      </c>
      <c r="E14" s="1">
        <f>5*(10^-3)</f>
        <v>5.0000000000000001E-3</v>
      </c>
      <c r="F14" s="1" t="s">
        <v>33</v>
      </c>
    </row>
    <row r="15" spans="1:8" x14ac:dyDescent="0.15">
      <c r="A15" s="250"/>
      <c r="B15" s="1" t="s">
        <v>28</v>
      </c>
      <c r="C15" s="1"/>
      <c r="D15" s="1">
        <f>4.5*(10^-3)</f>
        <v>4.5000000000000005E-3</v>
      </c>
      <c r="E15" s="1">
        <f>8*(10^-3)</f>
        <v>8.0000000000000002E-3</v>
      </c>
      <c r="F15" s="1" t="s">
        <v>33</v>
      </c>
    </row>
    <row r="16" spans="1:8" x14ac:dyDescent="0.15">
      <c r="A16" s="250" t="s">
        <v>16</v>
      </c>
      <c r="B16" s="1" t="s">
        <v>29</v>
      </c>
      <c r="C16" s="1">
        <v>3.9</v>
      </c>
      <c r="D16" s="1">
        <v>4</v>
      </c>
      <c r="E16" s="1">
        <v>4.0999999999999996</v>
      </c>
      <c r="F16" s="1" t="s">
        <v>34</v>
      </c>
    </row>
    <row r="17" spans="1:6" x14ac:dyDescent="0.15">
      <c r="A17" s="250"/>
      <c r="B17" s="1" t="s">
        <v>30</v>
      </c>
      <c r="C17" s="1"/>
      <c r="D17" s="1"/>
      <c r="E17" s="1">
        <v>3.7</v>
      </c>
      <c r="F17" s="1" t="s">
        <v>34</v>
      </c>
    </row>
    <row r="18" spans="1:6" x14ac:dyDescent="0.15">
      <c r="A18" s="1" t="s">
        <v>17</v>
      </c>
      <c r="B18" s="1"/>
      <c r="C18" s="1"/>
      <c r="D18" s="1">
        <v>0.38500000000000001</v>
      </c>
      <c r="E18" s="1"/>
      <c r="F18" s="1" t="s">
        <v>34</v>
      </c>
    </row>
    <row r="19" spans="1:6" x14ac:dyDescent="0.15">
      <c r="A19" s="251" t="s">
        <v>18</v>
      </c>
      <c r="B19" s="251"/>
      <c r="C19" s="251"/>
      <c r="D19" s="251"/>
      <c r="E19" s="251"/>
      <c r="F19" s="251"/>
    </row>
    <row r="20" spans="1:6" x14ac:dyDescent="0.15">
      <c r="A20" s="1" t="s">
        <v>19</v>
      </c>
      <c r="B20" s="1" t="s">
        <v>31</v>
      </c>
      <c r="C20" s="1">
        <v>1.17</v>
      </c>
      <c r="D20" s="1">
        <v>1.2</v>
      </c>
      <c r="E20" s="1">
        <v>1.23</v>
      </c>
      <c r="F20" s="1" t="s">
        <v>34</v>
      </c>
    </row>
    <row r="21" spans="1:6" x14ac:dyDescent="0.15">
      <c r="A21" s="1" t="s">
        <v>20</v>
      </c>
      <c r="B21" s="1" t="s">
        <v>32</v>
      </c>
      <c r="C21" s="1">
        <f>7.5*(10^-6)</f>
        <v>7.4999999999999993E-6</v>
      </c>
      <c r="D21" s="1">
        <f>10*(10^-6)</f>
        <v>9.9999999999999991E-6</v>
      </c>
      <c r="E21" s="1">
        <f>13*(10^-6)</f>
        <v>1.2999999999999999E-5</v>
      </c>
      <c r="F21" s="1" t="s">
        <v>33</v>
      </c>
    </row>
    <row r="22" spans="1:6" x14ac:dyDescent="0.15">
      <c r="A22" s="1" t="s">
        <v>21</v>
      </c>
      <c r="B22" s="1" t="s">
        <v>31</v>
      </c>
      <c r="C22" s="1">
        <v>0.3</v>
      </c>
      <c r="D22" s="1">
        <v>0.4</v>
      </c>
      <c r="E22" s="1">
        <v>0.5</v>
      </c>
      <c r="F22" s="1" t="s">
        <v>34</v>
      </c>
    </row>
    <row r="23" spans="1:6" x14ac:dyDescent="0.15">
      <c r="A23" s="1" t="s">
        <v>22</v>
      </c>
      <c r="B23" s="1"/>
      <c r="C23" s="1"/>
      <c r="D23" s="1">
        <v>0.1</v>
      </c>
      <c r="E23" s="1">
        <v>0.125</v>
      </c>
      <c r="F23" s="1" t="s">
        <v>34</v>
      </c>
    </row>
    <row r="24" spans="1:6" x14ac:dyDescent="0.15">
      <c r="A24" s="251" t="s">
        <v>35</v>
      </c>
      <c r="B24" s="251"/>
      <c r="C24" s="251"/>
      <c r="D24" s="251"/>
      <c r="E24" s="251"/>
      <c r="F24" s="251"/>
    </row>
    <row r="25" spans="1:6" x14ac:dyDescent="0.15">
      <c r="A25" s="1" t="s">
        <v>36</v>
      </c>
      <c r="B25" s="1" t="s">
        <v>51</v>
      </c>
      <c r="C25" s="1">
        <v>1.2</v>
      </c>
      <c r="D25" s="1">
        <v>1.24</v>
      </c>
      <c r="E25" s="1">
        <v>1.28</v>
      </c>
      <c r="F25" s="1" t="s">
        <v>34</v>
      </c>
    </row>
    <row r="26" spans="1:6" x14ac:dyDescent="0.15">
      <c r="A26" s="1" t="s">
        <v>37</v>
      </c>
      <c r="B26" s="1"/>
      <c r="C26" s="1"/>
      <c r="D26" s="1">
        <v>0.1</v>
      </c>
      <c r="E26" s="1"/>
      <c r="F26" s="1" t="s">
        <v>34</v>
      </c>
    </row>
    <row r="27" spans="1:6" x14ac:dyDescent="0.15">
      <c r="A27" s="1" t="s">
        <v>38</v>
      </c>
      <c r="B27" s="1"/>
      <c r="C27" s="1">
        <f>145*(10^-3)</f>
        <v>0.14499999999999999</v>
      </c>
      <c r="D27" s="1">
        <f>155*(10^-3)</f>
        <v>0.155</v>
      </c>
      <c r="E27" s="1">
        <f>170*(10^-3)</f>
        <v>0.17</v>
      </c>
      <c r="F27" s="1" t="s">
        <v>34</v>
      </c>
    </row>
    <row r="28" spans="1:6" x14ac:dyDescent="0.15">
      <c r="A28" s="250" t="s">
        <v>39</v>
      </c>
      <c r="B28" s="1" t="s">
        <v>40</v>
      </c>
      <c r="C28" s="1"/>
      <c r="D28" s="1">
        <v>1.29</v>
      </c>
      <c r="E28" s="1"/>
      <c r="F28" s="1" t="s">
        <v>34</v>
      </c>
    </row>
    <row r="29" spans="1:6" x14ac:dyDescent="0.15">
      <c r="A29" s="250"/>
      <c r="B29" s="1" t="s">
        <v>41</v>
      </c>
      <c r="C29" s="1"/>
      <c r="D29" s="1">
        <v>1.2450000000000001</v>
      </c>
      <c r="E29" s="1"/>
      <c r="F29" s="1" t="s">
        <v>34</v>
      </c>
    </row>
    <row r="30" spans="1:6" x14ac:dyDescent="0.15">
      <c r="A30" s="1" t="s">
        <v>42</v>
      </c>
      <c r="B30" s="1"/>
      <c r="C30" s="1"/>
      <c r="D30" s="1">
        <f>40*(10^-3)</f>
        <v>0.04</v>
      </c>
      <c r="E30" s="1"/>
      <c r="F30" s="1" t="s">
        <v>34</v>
      </c>
    </row>
    <row r="31" spans="1:6" x14ac:dyDescent="0.15">
      <c r="A31" s="251" t="s">
        <v>43</v>
      </c>
      <c r="B31" s="251"/>
      <c r="C31" s="251"/>
      <c r="D31" s="251"/>
      <c r="E31" s="251"/>
      <c r="F31" s="251"/>
    </row>
    <row r="32" spans="1:6" x14ac:dyDescent="0.15">
      <c r="A32" s="1" t="s">
        <v>44</v>
      </c>
      <c r="B32" s="1" t="s">
        <v>52</v>
      </c>
      <c r="C32" s="1">
        <v>1.1879999999999999</v>
      </c>
      <c r="D32" s="1">
        <v>1.2</v>
      </c>
      <c r="E32" s="1">
        <v>1.212</v>
      </c>
      <c r="F32" s="1" t="s">
        <v>34</v>
      </c>
    </row>
    <row r="33" spans="1:6" x14ac:dyDescent="0.15">
      <c r="A33" s="1" t="s">
        <v>45</v>
      </c>
      <c r="B33" s="1" t="s">
        <v>53</v>
      </c>
      <c r="C33" s="1"/>
      <c r="D33" s="1">
        <f>5*(10^-9)</f>
        <v>5.0000000000000001E-9</v>
      </c>
      <c r="E33" s="1"/>
      <c r="F33" s="1" t="s">
        <v>33</v>
      </c>
    </row>
    <row r="34" spans="1:6" x14ac:dyDescent="0.15">
      <c r="A34" s="250" t="s">
        <v>46</v>
      </c>
      <c r="B34" s="1" t="s">
        <v>54</v>
      </c>
      <c r="C34" s="1">
        <v>2.75</v>
      </c>
      <c r="D34" s="1"/>
      <c r="E34" s="1"/>
      <c r="F34" s="1" t="s">
        <v>34</v>
      </c>
    </row>
    <row r="35" spans="1:6" x14ac:dyDescent="0.15">
      <c r="A35" s="250"/>
      <c r="B35" s="1" t="s">
        <v>55</v>
      </c>
      <c r="C35" s="1">
        <v>3.4</v>
      </c>
      <c r="D35" s="1"/>
      <c r="E35" s="1"/>
      <c r="F35" s="1" t="s">
        <v>34</v>
      </c>
    </row>
    <row r="36" spans="1:6" x14ac:dyDescent="0.15">
      <c r="A36" s="1" t="s">
        <v>47</v>
      </c>
      <c r="B36" s="1" t="s">
        <v>56</v>
      </c>
      <c r="C36" s="1"/>
      <c r="D36" s="1"/>
      <c r="E36" s="1">
        <v>0.25</v>
      </c>
      <c r="F36" s="1" t="s">
        <v>34</v>
      </c>
    </row>
    <row r="37" spans="1:6" x14ac:dyDescent="0.15">
      <c r="A37" s="1" t="s">
        <v>48</v>
      </c>
      <c r="B37" s="1"/>
      <c r="C37" s="1"/>
      <c r="D37" s="1">
        <v>80</v>
      </c>
      <c r="E37" s="1"/>
      <c r="F37" s="1" t="s">
        <v>69</v>
      </c>
    </row>
    <row r="38" spans="1:6" x14ac:dyDescent="0.15">
      <c r="A38" s="1" t="s">
        <v>49</v>
      </c>
      <c r="B38" s="1"/>
      <c r="C38" s="1"/>
      <c r="D38" s="1">
        <f>3*(10^6)</f>
        <v>3000000</v>
      </c>
      <c r="E38" s="1"/>
      <c r="F38" s="1" t="s">
        <v>70</v>
      </c>
    </row>
    <row r="39" spans="1:6" x14ac:dyDescent="0.15">
      <c r="A39" s="1" t="s">
        <v>50</v>
      </c>
      <c r="B39" s="1" t="s">
        <v>57</v>
      </c>
      <c r="C39" s="1"/>
      <c r="D39" s="1">
        <v>2.7</v>
      </c>
      <c r="E39" s="1">
        <v>3.4</v>
      </c>
      <c r="F39" s="1" t="s">
        <v>34</v>
      </c>
    </row>
    <row r="40" spans="1:6" x14ac:dyDescent="0.15">
      <c r="A40" s="251" t="s">
        <v>58</v>
      </c>
      <c r="B40" s="251"/>
      <c r="C40" s="251"/>
      <c r="D40" s="251"/>
      <c r="E40" s="251"/>
      <c r="F40" s="251"/>
    </row>
    <row r="41" spans="1:6" x14ac:dyDescent="0.15">
      <c r="A41" s="1" t="s">
        <v>59</v>
      </c>
      <c r="B41" s="1" t="s">
        <v>65</v>
      </c>
      <c r="C41" s="1">
        <f>400*(10^3)</f>
        <v>400000</v>
      </c>
      <c r="D41" s="1">
        <f>450*(10^3)</f>
        <v>450000</v>
      </c>
      <c r="E41" s="1">
        <f>500*(10^3)</f>
        <v>500000</v>
      </c>
      <c r="F41" s="1" t="s">
        <v>70</v>
      </c>
    </row>
    <row r="42" spans="1:6" x14ac:dyDescent="0.15">
      <c r="A42" s="1" t="s">
        <v>60</v>
      </c>
      <c r="B42" s="1" t="s">
        <v>66</v>
      </c>
      <c r="C42" s="1">
        <f>775*(10^3)</f>
        <v>775000</v>
      </c>
      <c r="D42" s="1">
        <f>875*(10^3)</f>
        <v>875000</v>
      </c>
      <c r="E42" s="1">
        <f>975*(10^3)</f>
        <v>975000</v>
      </c>
      <c r="F42" s="1" t="s">
        <v>70</v>
      </c>
    </row>
    <row r="43" spans="1:6" x14ac:dyDescent="0.15">
      <c r="A43" s="17" t="s">
        <v>201</v>
      </c>
      <c r="B43" s="17"/>
      <c r="C43" s="17">
        <v>25000</v>
      </c>
      <c r="D43" s="17"/>
      <c r="E43" s="17">
        <f>1*(10^6)</f>
        <v>1000000</v>
      </c>
      <c r="F43" s="17" t="s">
        <v>70</v>
      </c>
    </row>
    <row r="44" spans="1:6" x14ac:dyDescent="0.15">
      <c r="A44" s="1" t="s">
        <v>61</v>
      </c>
      <c r="B44" s="1"/>
      <c r="C44" s="1"/>
      <c r="D44" s="1">
        <v>1.2</v>
      </c>
      <c r="E44" s="1"/>
      <c r="F44" s="1" t="s">
        <v>34</v>
      </c>
    </row>
    <row r="45" spans="1:6" x14ac:dyDescent="0.15">
      <c r="A45" s="1" t="s">
        <v>62</v>
      </c>
      <c r="B45" s="1" t="s">
        <v>67</v>
      </c>
      <c r="C45" s="1"/>
      <c r="D45" s="1">
        <v>2.5</v>
      </c>
      <c r="E45" s="1">
        <v>2.9</v>
      </c>
      <c r="F45" s="1" t="s">
        <v>34</v>
      </c>
    </row>
    <row r="46" spans="1:6" x14ac:dyDescent="0.15">
      <c r="A46" s="1" t="s">
        <v>63</v>
      </c>
      <c r="B46" s="1" t="s">
        <v>68</v>
      </c>
      <c r="C46" s="1">
        <v>1.6</v>
      </c>
      <c r="D46" s="1">
        <v>2</v>
      </c>
      <c r="E46" s="1"/>
      <c r="F46" s="1" t="s">
        <v>34</v>
      </c>
    </row>
    <row r="47" spans="1:6" x14ac:dyDescent="0.15">
      <c r="A47" s="1" t="s">
        <v>64</v>
      </c>
      <c r="B47" s="1"/>
      <c r="C47" s="1">
        <f>100*(10^-9)</f>
        <v>1.0000000000000001E-7</v>
      </c>
      <c r="D47" s="1"/>
      <c r="E47" s="1"/>
      <c r="F47" s="1" t="s">
        <v>71</v>
      </c>
    </row>
    <row r="48" spans="1:6" x14ac:dyDescent="0.15">
      <c r="A48" s="251" t="s">
        <v>79</v>
      </c>
      <c r="B48" s="251"/>
      <c r="C48" s="251"/>
      <c r="D48" s="251"/>
      <c r="E48" s="251"/>
      <c r="F48" s="251"/>
    </row>
    <row r="49" spans="1:6" x14ac:dyDescent="0.15">
      <c r="A49" s="1" t="s">
        <v>80</v>
      </c>
      <c r="B49" s="1" t="s">
        <v>82</v>
      </c>
      <c r="C49" s="1">
        <v>3.3</v>
      </c>
      <c r="D49" s="1">
        <v>4.3</v>
      </c>
      <c r="E49" s="1"/>
      <c r="F49" s="1" t="s">
        <v>34</v>
      </c>
    </row>
    <row r="50" spans="1:6" x14ac:dyDescent="0.15">
      <c r="A50" s="1" t="s">
        <v>81</v>
      </c>
      <c r="B50" s="1" t="s">
        <v>83</v>
      </c>
      <c r="C50" s="1"/>
      <c r="D50" s="1">
        <v>0.15</v>
      </c>
      <c r="E50" s="1">
        <v>0.25</v>
      </c>
      <c r="F50" s="1" t="s">
        <v>34</v>
      </c>
    </row>
    <row r="51" spans="1:6" x14ac:dyDescent="0.15">
      <c r="A51" s="251" t="s">
        <v>84</v>
      </c>
      <c r="B51" s="251"/>
      <c r="C51" s="251"/>
      <c r="D51" s="251"/>
      <c r="E51" s="251"/>
      <c r="F51" s="251"/>
    </row>
    <row r="52" spans="1:6" x14ac:dyDescent="0.15">
      <c r="A52" s="1" t="s">
        <v>85</v>
      </c>
      <c r="B52" s="1" t="s">
        <v>86</v>
      </c>
      <c r="C52" s="1">
        <v>2</v>
      </c>
      <c r="D52" s="1">
        <v>3</v>
      </c>
      <c r="E52" s="1">
        <v>4</v>
      </c>
      <c r="F52" s="1" t="s">
        <v>34</v>
      </c>
    </row>
    <row r="53" spans="1:6" x14ac:dyDescent="0.15">
      <c r="A53" s="251" t="s">
        <v>87</v>
      </c>
      <c r="B53" s="251"/>
      <c r="C53" s="251"/>
      <c r="D53" s="251"/>
      <c r="E53" s="251"/>
      <c r="F53" s="251"/>
    </row>
    <row r="54" spans="1:6" x14ac:dyDescent="0.15">
      <c r="A54" s="1" t="s">
        <v>88</v>
      </c>
      <c r="B54" s="1"/>
      <c r="C54" s="1">
        <v>1.17</v>
      </c>
      <c r="D54" s="1">
        <v>1.2</v>
      </c>
      <c r="E54" s="1">
        <v>1.23</v>
      </c>
      <c r="F54" s="1" t="s">
        <v>34</v>
      </c>
    </row>
    <row r="55" spans="1:6" x14ac:dyDescent="0.15">
      <c r="A55" s="250" t="s">
        <v>89</v>
      </c>
      <c r="B55" s="1" t="s">
        <v>90</v>
      </c>
      <c r="C55" s="1">
        <v>1.375</v>
      </c>
      <c r="D55" s="1">
        <v>1.65</v>
      </c>
      <c r="E55" s="1">
        <v>1.925</v>
      </c>
      <c r="F55" s="1" t="s">
        <v>34</v>
      </c>
    </row>
    <row r="56" spans="1:6" x14ac:dyDescent="0.15">
      <c r="A56" s="250"/>
      <c r="B56" s="1" t="s">
        <v>91</v>
      </c>
      <c r="C56" s="1">
        <v>1.4</v>
      </c>
      <c r="D56" s="1">
        <v>1.65</v>
      </c>
      <c r="E56" s="1">
        <v>1.9</v>
      </c>
      <c r="F56" s="1" t="s">
        <v>34</v>
      </c>
    </row>
    <row r="57" spans="1:6" x14ac:dyDescent="0.15">
      <c r="A57" s="251" t="s">
        <v>92</v>
      </c>
      <c r="B57" s="251"/>
      <c r="C57" s="251"/>
      <c r="D57" s="251"/>
      <c r="E57" s="251"/>
      <c r="F57" s="251"/>
    </row>
    <row r="58" spans="1:6" x14ac:dyDescent="0.15">
      <c r="A58" s="1" t="s">
        <v>93</v>
      </c>
      <c r="B58" s="1" t="s">
        <v>95</v>
      </c>
      <c r="C58" s="1">
        <f>7.5*(10^-6)</f>
        <v>7.4999999999999993E-6</v>
      </c>
      <c r="D58" s="1">
        <f>10*(10^-6)</f>
        <v>9.9999999999999991E-6</v>
      </c>
      <c r="E58" s="1">
        <f>12*(10^-6)</f>
        <v>1.2E-5</v>
      </c>
      <c r="F58" s="1" t="s">
        <v>33</v>
      </c>
    </row>
    <row r="59" spans="1:6" x14ac:dyDescent="0.15">
      <c r="A59" s="1" t="s">
        <v>94</v>
      </c>
      <c r="B59" s="1"/>
      <c r="C59" s="1"/>
      <c r="D59" s="1">
        <v>13</v>
      </c>
      <c r="E59" s="1"/>
      <c r="F59" s="1" t="s">
        <v>96</v>
      </c>
    </row>
    <row r="60" spans="1:6" x14ac:dyDescent="0.15">
      <c r="A60" s="251" t="s">
        <v>97</v>
      </c>
      <c r="B60" s="251"/>
      <c r="C60" s="251"/>
      <c r="D60" s="251"/>
      <c r="E60" s="251"/>
      <c r="F60" s="251"/>
    </row>
    <row r="61" spans="1:6" x14ac:dyDescent="0.15">
      <c r="A61" s="250" t="s">
        <v>98</v>
      </c>
      <c r="B61" s="1" t="s">
        <v>100</v>
      </c>
      <c r="C61" s="1"/>
      <c r="D61" s="1">
        <f>300*(10^-9)</f>
        <v>3.0000000000000004E-7</v>
      </c>
      <c r="E61" s="1">
        <f>400*(10^-9)</f>
        <v>4.0000000000000003E-7</v>
      </c>
      <c r="F61" s="1" t="s">
        <v>71</v>
      </c>
    </row>
    <row r="62" spans="1:6" x14ac:dyDescent="0.15">
      <c r="A62" s="250"/>
      <c r="B62" s="1" t="s">
        <v>101</v>
      </c>
      <c r="C62" s="1"/>
      <c r="D62" s="1">
        <f>560*(10^-9)</f>
        <v>5.6000000000000004E-7</v>
      </c>
      <c r="E62" s="1">
        <f>750*(10^-9)</f>
        <v>7.5000000000000002E-7</v>
      </c>
      <c r="F62" s="1" t="s">
        <v>71</v>
      </c>
    </row>
    <row r="63" spans="1:6" x14ac:dyDescent="0.15">
      <c r="A63" s="250" t="s">
        <v>99</v>
      </c>
      <c r="B63" s="1" t="s">
        <v>102</v>
      </c>
      <c r="C63" s="1"/>
      <c r="D63" s="1">
        <f>150*(10^-9)</f>
        <v>1.5000000000000002E-7</v>
      </c>
      <c r="E63" s="1"/>
      <c r="F63" s="1" t="s">
        <v>71</v>
      </c>
    </row>
    <row r="64" spans="1:6" x14ac:dyDescent="0.15">
      <c r="A64" s="250"/>
      <c r="B64" s="1" t="s">
        <v>103</v>
      </c>
      <c r="C64" s="1"/>
      <c r="D64" s="1">
        <f>300*(10^-9)</f>
        <v>3.0000000000000004E-7</v>
      </c>
      <c r="E64" s="1"/>
      <c r="F64" s="1" t="s">
        <v>71</v>
      </c>
    </row>
    <row r="65" spans="1:6" x14ac:dyDescent="0.15">
      <c r="A65" s="250" t="s">
        <v>99</v>
      </c>
      <c r="B65" s="1" t="s">
        <v>104</v>
      </c>
      <c r="C65" s="1">
        <v>0.95</v>
      </c>
      <c r="D65" s="1">
        <v>1.1000000000000001</v>
      </c>
      <c r="E65" s="1">
        <v>1.25</v>
      </c>
      <c r="F65" s="1" t="s">
        <v>34</v>
      </c>
    </row>
    <row r="66" spans="1:6" x14ac:dyDescent="0.15">
      <c r="A66" s="250"/>
      <c r="B66" s="1" t="s">
        <v>105</v>
      </c>
      <c r="C66" s="1">
        <v>1</v>
      </c>
      <c r="D66" s="1">
        <v>1.1000000000000001</v>
      </c>
      <c r="E66" s="1">
        <v>1.2</v>
      </c>
      <c r="F66" s="1" t="s">
        <v>34</v>
      </c>
    </row>
    <row r="67" spans="1:6" x14ac:dyDescent="0.15">
      <c r="A67" s="251" t="s">
        <v>72</v>
      </c>
      <c r="B67" s="251"/>
      <c r="C67" s="251"/>
      <c r="D67" s="251"/>
      <c r="E67" s="251"/>
      <c r="F67" s="251"/>
    </row>
    <row r="68" spans="1:6" x14ac:dyDescent="0.15">
      <c r="A68" s="250" t="s">
        <v>106</v>
      </c>
      <c r="B68" s="1" t="s">
        <v>112</v>
      </c>
      <c r="C68" s="1">
        <f>65.5*(10^-3)</f>
        <v>6.5500000000000003E-2</v>
      </c>
      <c r="D68" s="1">
        <f>75*(10^-3)</f>
        <v>7.4999999999999997E-2</v>
      </c>
      <c r="E68" s="1">
        <f>87.5*(10^-3)</f>
        <v>8.7500000000000008E-2</v>
      </c>
      <c r="F68" s="1" t="s">
        <v>34</v>
      </c>
    </row>
    <row r="69" spans="1:6" x14ac:dyDescent="0.15">
      <c r="A69" s="250"/>
      <c r="B69" s="1" t="s">
        <v>113</v>
      </c>
      <c r="C69" s="1">
        <f>67*(10^-3)</f>
        <v>6.7000000000000004E-2</v>
      </c>
      <c r="D69" s="1">
        <f>75*(10^-3)</f>
        <v>7.4999999999999997E-2</v>
      </c>
      <c r="E69" s="1">
        <f>86*(10^-3)</f>
        <v>8.6000000000000007E-2</v>
      </c>
      <c r="F69" s="1" t="s">
        <v>34</v>
      </c>
    </row>
    <row r="70" spans="1:6" x14ac:dyDescent="0.15">
      <c r="A70" s="250" t="s">
        <v>107</v>
      </c>
      <c r="B70" s="1" t="s">
        <v>114</v>
      </c>
      <c r="C70" s="1"/>
      <c r="D70" s="1">
        <f>7*(10^-3)</f>
        <v>7.0000000000000001E-3</v>
      </c>
      <c r="E70" s="1"/>
      <c r="F70" s="1" t="s">
        <v>34</v>
      </c>
    </row>
    <row r="71" spans="1:6" x14ac:dyDescent="0.15">
      <c r="A71" s="250"/>
      <c r="B71" s="1" t="s">
        <v>115</v>
      </c>
      <c r="C71" s="1">
        <f>5*(10^-3)</f>
        <v>5.0000000000000001E-3</v>
      </c>
      <c r="D71" s="1">
        <f>6*(10^-3)</f>
        <v>6.0000000000000001E-3</v>
      </c>
      <c r="E71" s="1">
        <f>12*(10^-3)</f>
        <v>1.2E-2</v>
      </c>
      <c r="F71" s="1" t="s">
        <v>34</v>
      </c>
    </row>
    <row r="72" spans="1:6" x14ac:dyDescent="0.15">
      <c r="A72" s="1" t="s">
        <v>108</v>
      </c>
      <c r="B72" s="1"/>
      <c r="C72" s="1"/>
      <c r="D72" s="1">
        <v>10</v>
      </c>
      <c r="E72" s="1"/>
      <c r="F72" s="1" t="s">
        <v>118</v>
      </c>
    </row>
    <row r="73" spans="1:6" x14ac:dyDescent="0.15">
      <c r="A73" s="1" t="s">
        <v>109</v>
      </c>
      <c r="B73" s="1"/>
      <c r="C73" s="1"/>
      <c r="D73" s="1">
        <f>12*(10^-6)</f>
        <v>1.2E-5</v>
      </c>
      <c r="E73" s="1"/>
      <c r="F73" s="1" t="s">
        <v>33</v>
      </c>
    </row>
    <row r="74" spans="1:6" x14ac:dyDescent="0.15">
      <c r="A74" s="1" t="s">
        <v>110</v>
      </c>
      <c r="B74" s="1"/>
      <c r="C74" s="1"/>
      <c r="D74" s="1">
        <f>11*(10^-6)</f>
        <v>1.1E-5</v>
      </c>
      <c r="E74" s="1"/>
      <c r="F74" s="1" t="s">
        <v>33</v>
      </c>
    </row>
    <row r="75" spans="1:6" x14ac:dyDescent="0.15">
      <c r="A75" s="1" t="s">
        <v>73</v>
      </c>
      <c r="B75" s="1" t="s">
        <v>116</v>
      </c>
      <c r="C75" s="1">
        <f>-1.75*(10^-6)</f>
        <v>-1.75E-6</v>
      </c>
      <c r="D75" s="1">
        <f>1*(10^-6)</f>
        <v>9.9999999999999995E-7</v>
      </c>
      <c r="E75" s="1">
        <f>3.75*(10^-6)</f>
        <v>3.7499999999999997E-6</v>
      </c>
      <c r="F75" s="1" t="s">
        <v>33</v>
      </c>
    </row>
    <row r="76" spans="1:6" x14ac:dyDescent="0.15">
      <c r="A76" s="1" t="s">
        <v>111</v>
      </c>
      <c r="B76" s="1" t="s">
        <v>117</v>
      </c>
      <c r="C76" s="1"/>
      <c r="D76" s="1">
        <f>150*(10^-9)</f>
        <v>1.5000000000000002E-7</v>
      </c>
      <c r="E76" s="1"/>
      <c r="F76" s="1" t="s">
        <v>71</v>
      </c>
    </row>
    <row r="77" spans="1:6" x14ac:dyDescent="0.15">
      <c r="A77" s="251" t="s">
        <v>74</v>
      </c>
      <c r="B77" s="251"/>
      <c r="C77" s="251"/>
      <c r="D77" s="251"/>
      <c r="E77" s="251"/>
      <c r="F77" s="251"/>
    </row>
    <row r="78" spans="1:6" x14ac:dyDescent="0.15">
      <c r="A78" s="1" t="s">
        <v>119</v>
      </c>
      <c r="B78" s="1" t="s">
        <v>127</v>
      </c>
      <c r="C78" s="1">
        <v>1.1499999999999999</v>
      </c>
      <c r="D78" s="1">
        <v>1.2</v>
      </c>
      <c r="E78" s="1">
        <v>1.25</v>
      </c>
      <c r="F78" s="1" t="s">
        <v>34</v>
      </c>
    </row>
    <row r="79" spans="1:6" x14ac:dyDescent="0.15">
      <c r="A79" s="250" t="s">
        <v>75</v>
      </c>
      <c r="B79" s="1" t="s">
        <v>127</v>
      </c>
      <c r="C79" s="1"/>
      <c r="D79" s="1">
        <v>4.2</v>
      </c>
      <c r="E79" s="1"/>
      <c r="F79" s="1" t="s">
        <v>34</v>
      </c>
    </row>
    <row r="80" spans="1:6" x14ac:dyDescent="0.15">
      <c r="A80" s="250"/>
      <c r="B80" s="1" t="s">
        <v>128</v>
      </c>
      <c r="C80" s="1"/>
      <c r="D80" s="1">
        <v>3.6</v>
      </c>
      <c r="E80" s="1"/>
      <c r="F80" s="1" t="s">
        <v>34</v>
      </c>
    </row>
    <row r="81" spans="1:6" x14ac:dyDescent="0.15">
      <c r="A81" s="250" t="s">
        <v>76</v>
      </c>
      <c r="B81" s="1" t="s">
        <v>129</v>
      </c>
      <c r="C81" s="1"/>
      <c r="D81" s="1">
        <v>2.15</v>
      </c>
      <c r="E81" s="1"/>
      <c r="F81" s="1" t="s">
        <v>34</v>
      </c>
    </row>
    <row r="82" spans="1:6" x14ac:dyDescent="0.15">
      <c r="A82" s="250"/>
      <c r="B82" s="1" t="s">
        <v>130</v>
      </c>
      <c r="C82" s="1"/>
      <c r="D82" s="1">
        <v>1.85</v>
      </c>
      <c r="E82" s="1"/>
      <c r="F82" s="1" t="s">
        <v>34</v>
      </c>
    </row>
    <row r="83" spans="1:6" x14ac:dyDescent="0.15">
      <c r="A83" s="1" t="s">
        <v>120</v>
      </c>
      <c r="B83" s="1" t="s">
        <v>131</v>
      </c>
      <c r="C83" s="1">
        <f>20*(10^-6)</f>
        <v>1.9999999999999998E-5</v>
      </c>
      <c r="D83" s="1">
        <f>30*(10^-6)</f>
        <v>2.9999999999999997E-5</v>
      </c>
      <c r="E83" s="1">
        <f>40*(10^-6)</f>
        <v>3.9999999999999996E-5</v>
      </c>
      <c r="F83" s="1" t="s">
        <v>33</v>
      </c>
    </row>
    <row r="84" spans="1:6" x14ac:dyDescent="0.15">
      <c r="A84" s="1" t="s">
        <v>121</v>
      </c>
      <c r="B84" s="1" t="s">
        <v>132</v>
      </c>
      <c r="C84" s="1"/>
      <c r="D84" s="1">
        <f>5*(10^-6)</f>
        <v>4.9999999999999996E-6</v>
      </c>
      <c r="E84" s="1"/>
      <c r="F84" s="1" t="s">
        <v>33</v>
      </c>
    </row>
    <row r="85" spans="1:6" x14ac:dyDescent="0.15">
      <c r="A85" s="1" t="s">
        <v>122</v>
      </c>
      <c r="B85" s="1" t="s">
        <v>133</v>
      </c>
      <c r="C85" s="1"/>
      <c r="D85" s="1">
        <f>10*(10^-6)</f>
        <v>9.9999999999999991E-6</v>
      </c>
      <c r="E85" s="1"/>
      <c r="F85" s="1" t="s">
        <v>33</v>
      </c>
    </row>
    <row r="86" spans="1:6" x14ac:dyDescent="0.15">
      <c r="A86" s="1" t="s">
        <v>123</v>
      </c>
      <c r="B86" s="1" t="s">
        <v>134</v>
      </c>
      <c r="C86" s="1"/>
      <c r="D86" s="1">
        <f>5*(10^-6)</f>
        <v>4.9999999999999996E-6</v>
      </c>
      <c r="E86" s="1"/>
      <c r="F86" s="1" t="s">
        <v>33</v>
      </c>
    </row>
    <row r="87" spans="1:6" x14ac:dyDescent="0.15">
      <c r="A87" s="1" t="s">
        <v>124</v>
      </c>
      <c r="B87" s="1"/>
      <c r="C87" s="1"/>
      <c r="D87" s="1">
        <v>8</v>
      </c>
      <c r="E87" s="1"/>
      <c r="F87" s="1" t="s">
        <v>135</v>
      </c>
    </row>
    <row r="88" spans="1:6" x14ac:dyDescent="0.15">
      <c r="A88" s="1" t="s">
        <v>125</v>
      </c>
      <c r="B88" s="1"/>
      <c r="C88" s="1"/>
      <c r="D88" s="1">
        <v>40</v>
      </c>
      <c r="E88" s="1"/>
      <c r="F88" s="1" t="s">
        <v>96</v>
      </c>
    </row>
    <row r="89" spans="1:6" x14ac:dyDescent="0.15">
      <c r="A89" s="1" t="s">
        <v>126</v>
      </c>
      <c r="B89" s="1"/>
      <c r="C89" s="1"/>
      <c r="D89" s="1">
        <v>122</v>
      </c>
      <c r="E89" s="1"/>
      <c r="F89" s="1"/>
    </row>
    <row r="90" spans="1:6" x14ac:dyDescent="0.15">
      <c r="A90" s="251" t="s">
        <v>77</v>
      </c>
      <c r="B90" s="251"/>
      <c r="C90" s="251"/>
      <c r="D90" s="251"/>
      <c r="E90" s="251"/>
      <c r="F90" s="251"/>
    </row>
    <row r="91" spans="1:6" x14ac:dyDescent="0.15">
      <c r="A91" s="1" t="s">
        <v>137</v>
      </c>
      <c r="B91" s="1" t="s">
        <v>146</v>
      </c>
      <c r="C91" s="1"/>
      <c r="D91" s="1">
        <v>0.15</v>
      </c>
      <c r="E91" s="1">
        <v>0.24</v>
      </c>
      <c r="F91" s="1" t="s">
        <v>34</v>
      </c>
    </row>
    <row r="92" spans="1:6" x14ac:dyDescent="0.15">
      <c r="A92" s="1" t="s">
        <v>138</v>
      </c>
      <c r="B92" s="1" t="s">
        <v>147</v>
      </c>
      <c r="C92" s="1"/>
      <c r="D92" s="1">
        <v>0.1</v>
      </c>
      <c r="E92" s="1">
        <v>0.18</v>
      </c>
      <c r="F92" s="1" t="s">
        <v>34</v>
      </c>
    </row>
    <row r="93" spans="1:6" x14ac:dyDescent="0.15">
      <c r="A93" s="1" t="s">
        <v>139</v>
      </c>
      <c r="B93" s="1" t="s">
        <v>148</v>
      </c>
      <c r="C93" s="1"/>
      <c r="D93" s="1">
        <f>25*(10^-9)</f>
        <v>2.5000000000000002E-8</v>
      </c>
      <c r="E93" s="1"/>
      <c r="F93" s="1" t="s">
        <v>71</v>
      </c>
    </row>
    <row r="94" spans="1:6" x14ac:dyDescent="0.15">
      <c r="A94" s="1" t="s">
        <v>140</v>
      </c>
      <c r="B94" s="1" t="s">
        <v>148</v>
      </c>
      <c r="C94" s="1"/>
      <c r="D94" s="1">
        <f>20*(10^-9)</f>
        <v>2E-8</v>
      </c>
      <c r="E94" s="1"/>
      <c r="F94" s="1" t="s">
        <v>71</v>
      </c>
    </row>
    <row r="95" spans="1:6" x14ac:dyDescent="0.15">
      <c r="A95" s="250" t="s">
        <v>141</v>
      </c>
      <c r="B95" s="1" t="s">
        <v>149</v>
      </c>
      <c r="C95" s="1"/>
      <c r="D95" s="1">
        <v>0.8</v>
      </c>
      <c r="E95" s="1"/>
      <c r="F95" s="1" t="s">
        <v>33</v>
      </c>
    </row>
    <row r="96" spans="1:6" x14ac:dyDescent="0.15">
      <c r="A96" s="250"/>
      <c r="B96" s="1" t="s">
        <v>150</v>
      </c>
      <c r="C96" s="1"/>
      <c r="D96" s="1">
        <v>1.9</v>
      </c>
      <c r="E96" s="1"/>
      <c r="F96" s="1" t="s">
        <v>33</v>
      </c>
    </row>
    <row r="97" spans="1:6" x14ac:dyDescent="0.15">
      <c r="A97" s="250" t="s">
        <v>142</v>
      </c>
      <c r="B97" s="1" t="s">
        <v>151</v>
      </c>
      <c r="C97" s="1"/>
      <c r="D97" s="1">
        <v>1.9</v>
      </c>
      <c r="E97" s="1"/>
      <c r="F97" s="1" t="s">
        <v>33</v>
      </c>
    </row>
    <row r="98" spans="1:6" x14ac:dyDescent="0.15">
      <c r="A98" s="250"/>
      <c r="B98" s="1" t="s">
        <v>152</v>
      </c>
      <c r="C98" s="1"/>
      <c r="D98" s="1">
        <v>3.2</v>
      </c>
      <c r="E98" s="1"/>
      <c r="F98" s="1" t="s">
        <v>33</v>
      </c>
    </row>
    <row r="99" spans="1:6" x14ac:dyDescent="0.15">
      <c r="A99" s="1" t="s">
        <v>143</v>
      </c>
      <c r="B99" s="1" t="s">
        <v>153</v>
      </c>
      <c r="C99" s="1">
        <f>100*(10^-6)</f>
        <v>9.9999999999999991E-5</v>
      </c>
      <c r="D99" s="1">
        <f>200*(10^-6)</f>
        <v>1.9999999999999998E-4</v>
      </c>
      <c r="E99" s="1"/>
      <c r="F99" s="1" t="s">
        <v>33</v>
      </c>
    </row>
    <row r="100" spans="1:6" x14ac:dyDescent="0.15">
      <c r="A100" s="250" t="s">
        <v>78</v>
      </c>
      <c r="B100" s="1" t="s">
        <v>154</v>
      </c>
      <c r="C100" s="1">
        <v>5.3</v>
      </c>
      <c r="D100" s="1">
        <v>6.2</v>
      </c>
      <c r="E100" s="1">
        <v>6.75</v>
      </c>
      <c r="F100" s="1" t="s">
        <v>34</v>
      </c>
    </row>
    <row r="101" spans="1:6" x14ac:dyDescent="0.15">
      <c r="A101" s="250"/>
      <c r="B101" s="1" t="s">
        <v>155</v>
      </c>
      <c r="C101" s="1">
        <v>7</v>
      </c>
      <c r="D101" s="1">
        <v>8.5</v>
      </c>
      <c r="E101" s="1">
        <v>9</v>
      </c>
      <c r="F101" s="1" t="s">
        <v>34</v>
      </c>
    </row>
    <row r="102" spans="1:6" x14ac:dyDescent="0.15">
      <c r="A102" s="1" t="s">
        <v>144</v>
      </c>
      <c r="B102" s="1"/>
      <c r="C102" s="1">
        <v>2</v>
      </c>
      <c r="D102" s="1">
        <v>3</v>
      </c>
      <c r="E102" s="1">
        <v>3.5</v>
      </c>
      <c r="F102" s="1" t="s">
        <v>34</v>
      </c>
    </row>
    <row r="103" spans="1:6" x14ac:dyDescent="0.15">
      <c r="A103" s="1" t="s">
        <v>145</v>
      </c>
      <c r="B103" s="1" t="s">
        <v>156</v>
      </c>
      <c r="C103" s="1"/>
      <c r="D103" s="1">
        <f>30*(10^-6)</f>
        <v>2.9999999999999997E-5</v>
      </c>
      <c r="E103" s="1">
        <f>45*(10^-6)</f>
        <v>4.4999999999999996E-5</v>
      </c>
      <c r="F103" s="1" t="s">
        <v>33</v>
      </c>
    </row>
    <row r="104" spans="1:6" x14ac:dyDescent="0.15">
      <c r="A104" s="255" t="s">
        <v>157</v>
      </c>
      <c r="B104" s="256"/>
      <c r="C104" s="256"/>
      <c r="D104" s="256"/>
      <c r="E104" s="256"/>
      <c r="F104" s="257"/>
    </row>
    <row r="105" spans="1:6" x14ac:dyDescent="0.15">
      <c r="A105" s="1" t="s">
        <v>158</v>
      </c>
      <c r="B105" s="1" t="s">
        <v>164</v>
      </c>
      <c r="C105" s="1"/>
      <c r="D105" s="1">
        <v>0.15</v>
      </c>
      <c r="E105" s="1">
        <v>2.5000000000000001E-2</v>
      </c>
      <c r="F105" s="1" t="s">
        <v>34</v>
      </c>
    </row>
    <row r="106" spans="1:6" x14ac:dyDescent="0.15">
      <c r="A106" s="1" t="s">
        <v>159</v>
      </c>
      <c r="B106" s="1" t="s">
        <v>165</v>
      </c>
      <c r="C106" s="1"/>
      <c r="D106" s="1">
        <v>0.1</v>
      </c>
      <c r="E106" s="1">
        <v>0.17</v>
      </c>
      <c r="F106" s="1" t="s">
        <v>34</v>
      </c>
    </row>
    <row r="107" spans="1:6" x14ac:dyDescent="0.15">
      <c r="A107" s="1" t="s">
        <v>160</v>
      </c>
      <c r="B107" s="1" t="s">
        <v>166</v>
      </c>
      <c r="C107" s="1"/>
      <c r="D107" s="1">
        <f>25*(10^-9)</f>
        <v>2.5000000000000002E-8</v>
      </c>
      <c r="E107" s="1"/>
      <c r="F107" s="1" t="s">
        <v>71</v>
      </c>
    </row>
    <row r="108" spans="1:6" x14ac:dyDescent="0.15">
      <c r="A108" s="1" t="s">
        <v>161</v>
      </c>
      <c r="B108" s="1" t="s">
        <v>166</v>
      </c>
      <c r="C108" s="1"/>
      <c r="D108" s="1">
        <f>20*(10^-9)</f>
        <v>2E-8</v>
      </c>
      <c r="E108" s="1"/>
      <c r="F108" s="1" t="s">
        <v>71</v>
      </c>
    </row>
    <row r="109" spans="1:6" x14ac:dyDescent="0.15">
      <c r="A109" s="250" t="s">
        <v>162</v>
      </c>
      <c r="B109" s="1" t="s">
        <v>167</v>
      </c>
      <c r="C109" s="1"/>
      <c r="D109" s="1">
        <v>0.8</v>
      </c>
      <c r="E109" s="1"/>
      <c r="F109" s="1" t="s">
        <v>33</v>
      </c>
    </row>
    <row r="110" spans="1:6" x14ac:dyDescent="0.15">
      <c r="A110" s="250"/>
      <c r="B110" s="1" t="s">
        <v>168</v>
      </c>
      <c r="C110" s="1"/>
      <c r="D110" s="1">
        <v>2</v>
      </c>
      <c r="E110" s="1"/>
      <c r="F110" s="1" t="s">
        <v>33</v>
      </c>
    </row>
    <row r="111" spans="1:6" x14ac:dyDescent="0.15">
      <c r="A111" s="250" t="s">
        <v>163</v>
      </c>
      <c r="B111" s="1" t="s">
        <v>169</v>
      </c>
      <c r="C111" s="1"/>
      <c r="D111" s="1">
        <v>1.8</v>
      </c>
      <c r="E111" s="1"/>
      <c r="F111" s="1" t="s">
        <v>33</v>
      </c>
    </row>
    <row r="112" spans="1:6" x14ac:dyDescent="0.15">
      <c r="A112" s="250"/>
      <c r="B112" s="1" t="s">
        <v>170</v>
      </c>
      <c r="C112" s="1"/>
      <c r="D112" s="1">
        <v>3.2</v>
      </c>
      <c r="E112" s="1"/>
      <c r="F112" s="1" t="s">
        <v>33</v>
      </c>
    </row>
    <row r="113" spans="1:6" x14ac:dyDescent="0.15">
      <c r="A113" s="251" t="s">
        <v>171</v>
      </c>
      <c r="B113" s="251"/>
      <c r="C113" s="251"/>
      <c r="D113" s="251"/>
      <c r="E113" s="251"/>
      <c r="F113" s="251"/>
    </row>
    <row r="114" spans="1:6" x14ac:dyDescent="0.15">
      <c r="A114" s="2" t="s">
        <v>172</v>
      </c>
      <c r="B114" s="1" t="s">
        <v>174</v>
      </c>
      <c r="C114" s="1">
        <f>50*(10^-9)</f>
        <v>5.0000000000000004E-8</v>
      </c>
      <c r="D114" s="1">
        <f>80*(10^-9)</f>
        <v>8.0000000000000002E-8</v>
      </c>
      <c r="E114" s="1">
        <f>115*(10^-9)</f>
        <v>1.1500000000000001E-7</v>
      </c>
      <c r="F114" s="1" t="s">
        <v>71</v>
      </c>
    </row>
    <row r="115" spans="1:6" x14ac:dyDescent="0.15">
      <c r="A115" s="1" t="s">
        <v>173</v>
      </c>
      <c r="B115" s="1" t="s">
        <v>174</v>
      </c>
      <c r="C115" s="1">
        <f>50*(10^-9)</f>
        <v>5.0000000000000004E-8</v>
      </c>
      <c r="D115" s="1">
        <f>80*(10^-9)</f>
        <v>8.0000000000000002E-8</v>
      </c>
      <c r="E115" s="1">
        <f>115*(10^-9)</f>
        <v>1.1500000000000001E-7</v>
      </c>
      <c r="F115" s="1" t="s">
        <v>71</v>
      </c>
    </row>
    <row r="116" spans="1:6" x14ac:dyDescent="0.15">
      <c r="A116" s="254" t="s">
        <v>205</v>
      </c>
      <c r="B116" s="254"/>
      <c r="C116" s="254"/>
      <c r="D116" s="254"/>
      <c r="E116" s="254"/>
      <c r="F116" s="254"/>
    </row>
    <row r="117" spans="1:6" x14ac:dyDescent="0.15">
      <c r="A117" s="250" t="s">
        <v>212</v>
      </c>
      <c r="B117" s="1" t="s">
        <v>206</v>
      </c>
      <c r="C117" s="1">
        <v>-0.3</v>
      </c>
      <c r="D117" s="1"/>
      <c r="E117" s="1">
        <v>75</v>
      </c>
      <c r="F117" s="1" t="s">
        <v>34</v>
      </c>
    </row>
    <row r="118" spans="1:6" x14ac:dyDescent="0.15">
      <c r="A118" s="250"/>
      <c r="B118" s="1" t="s">
        <v>207</v>
      </c>
      <c r="C118" s="1">
        <v>-0.3</v>
      </c>
      <c r="D118" s="1"/>
      <c r="E118" s="1">
        <v>15</v>
      </c>
      <c r="F118" s="1" t="s">
        <v>34</v>
      </c>
    </row>
    <row r="119" spans="1:6" x14ac:dyDescent="0.15">
      <c r="A119" s="250"/>
      <c r="B119" s="1" t="s">
        <v>208</v>
      </c>
      <c r="C119" s="1">
        <v>-5</v>
      </c>
      <c r="D119" s="1"/>
      <c r="E119" s="1">
        <v>105</v>
      </c>
      <c r="F119" s="1" t="s">
        <v>34</v>
      </c>
    </row>
    <row r="120" spans="1:6" x14ac:dyDescent="0.15">
      <c r="A120" s="250"/>
      <c r="B120" s="1" t="s">
        <v>209</v>
      </c>
      <c r="C120" s="1">
        <v>-0.3</v>
      </c>
      <c r="D120" s="1"/>
      <c r="E120" s="1">
        <v>115</v>
      </c>
      <c r="F120" s="1" t="s">
        <v>34</v>
      </c>
    </row>
    <row r="121" spans="1:6" x14ac:dyDescent="0.15">
      <c r="A121" s="250"/>
      <c r="B121" s="1" t="s">
        <v>210</v>
      </c>
      <c r="C121" s="1">
        <v>-0.3</v>
      </c>
      <c r="D121" s="1"/>
      <c r="E121" s="1">
        <v>7</v>
      </c>
      <c r="F121" s="1" t="s">
        <v>34</v>
      </c>
    </row>
    <row r="122" spans="1:6" x14ac:dyDescent="0.15">
      <c r="A122" s="250"/>
      <c r="B122" s="1" t="s">
        <v>211</v>
      </c>
      <c r="C122" s="1">
        <v>-0.3</v>
      </c>
      <c r="D122" s="1"/>
      <c r="E122" s="1">
        <v>0.3</v>
      </c>
      <c r="F122" s="1" t="s">
        <v>34</v>
      </c>
    </row>
    <row r="123" spans="1:6" x14ac:dyDescent="0.15">
      <c r="A123" s="250" t="s">
        <v>216</v>
      </c>
      <c r="B123" s="1" t="s">
        <v>213</v>
      </c>
      <c r="C123" s="1">
        <v>-0.3</v>
      </c>
      <c r="D123" s="1"/>
      <c r="E123" s="1">
        <v>15</v>
      </c>
      <c r="F123" s="1" t="s">
        <v>34</v>
      </c>
    </row>
    <row r="124" spans="1:6" x14ac:dyDescent="0.15">
      <c r="A124" s="250"/>
      <c r="B124" s="1" t="s">
        <v>214</v>
      </c>
      <c r="C124" s="1">
        <v>-0.3</v>
      </c>
      <c r="D124" s="1"/>
      <c r="E124" s="1">
        <f>VCC+0.3</f>
        <v>7.8999999999999995</v>
      </c>
      <c r="F124" s="1" t="s">
        <v>34</v>
      </c>
    </row>
    <row r="125" spans="1:6" x14ac:dyDescent="0.15">
      <c r="A125" s="250"/>
      <c r="B125" s="1" t="s">
        <v>215</v>
      </c>
      <c r="C125" s="1">
        <v>-0.3</v>
      </c>
      <c r="D125" s="1"/>
      <c r="E125" s="1">
        <v>7</v>
      </c>
      <c r="F125" s="1" t="s">
        <v>34</v>
      </c>
    </row>
  </sheetData>
  <mergeCells count="38">
    <mergeCell ref="A31:F31"/>
    <mergeCell ref="A34:A35"/>
    <mergeCell ref="A55:A56"/>
    <mergeCell ref="A51:F51"/>
    <mergeCell ref="A48:F48"/>
    <mergeCell ref="A40:F40"/>
    <mergeCell ref="A4:F4"/>
    <mergeCell ref="A1:F2"/>
    <mergeCell ref="A116:F116"/>
    <mergeCell ref="A111:A112"/>
    <mergeCell ref="A113:F113"/>
    <mergeCell ref="A104:F104"/>
    <mergeCell ref="A90:F90"/>
    <mergeCell ref="A77:F77"/>
    <mergeCell ref="A81:A82"/>
    <mergeCell ref="A97:A98"/>
    <mergeCell ref="A95:A96"/>
    <mergeCell ref="A100:A101"/>
    <mergeCell ref="A109:A110"/>
    <mergeCell ref="A67:F67"/>
    <mergeCell ref="A60:F60"/>
    <mergeCell ref="A57:F57"/>
    <mergeCell ref="A117:A122"/>
    <mergeCell ref="A123:A125"/>
    <mergeCell ref="A24:F24"/>
    <mergeCell ref="A19:F19"/>
    <mergeCell ref="A9:F9"/>
    <mergeCell ref="A53:F53"/>
    <mergeCell ref="A61:A62"/>
    <mergeCell ref="A63:A64"/>
    <mergeCell ref="A65:A66"/>
    <mergeCell ref="A68:A69"/>
    <mergeCell ref="A70:A71"/>
    <mergeCell ref="A79:A80"/>
    <mergeCell ref="A16:A17"/>
    <mergeCell ref="A14:A15"/>
    <mergeCell ref="A11:A12"/>
    <mergeCell ref="A28:A29"/>
  </mergeCells>
  <phoneticPr fontId="48"/>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BO560"/>
  <sheetViews>
    <sheetView topLeftCell="A7" zoomScale="85" zoomScaleNormal="85" workbookViewId="0">
      <selection activeCell="D58" sqref="D58"/>
    </sheetView>
  </sheetViews>
  <sheetFormatPr defaultRowHeight="13.5" x14ac:dyDescent="0.15"/>
  <cols>
    <col min="1" max="1" width="20.375" customWidth="1"/>
    <col min="2" max="2" width="19.125" customWidth="1"/>
    <col min="3" max="3" width="16.625" customWidth="1"/>
    <col min="13" max="13" width="17.75" customWidth="1"/>
    <col min="14" max="14" width="14.75" customWidth="1"/>
    <col min="15" max="15" width="17.75" customWidth="1"/>
    <col min="16" max="16" width="16" customWidth="1"/>
    <col min="17" max="17" width="13.125" customWidth="1"/>
    <col min="31" max="31" width="12.25" customWidth="1"/>
    <col min="59" max="59" width="7.875" customWidth="1"/>
    <col min="60" max="60" width="11" customWidth="1"/>
    <col min="61" max="61" width="9.75" customWidth="1"/>
    <col min="63" max="63" width="13.375" customWidth="1"/>
    <col min="64" max="64" width="11.375" customWidth="1"/>
  </cols>
  <sheetData>
    <row r="2" spans="1:67" ht="14.25" x14ac:dyDescent="0.2">
      <c r="C2" s="68" t="s">
        <v>465</v>
      </c>
      <c r="D2" s="71"/>
    </row>
    <row r="3" spans="1:67" ht="15" thickBot="1" x14ac:dyDescent="0.25">
      <c r="C3" s="68" t="s">
        <v>466</v>
      </c>
      <c r="D3" s="72"/>
      <c r="N3" t="s">
        <v>509</v>
      </c>
    </row>
    <row r="4" spans="1:67" ht="15" thickBot="1" x14ac:dyDescent="0.25">
      <c r="C4" s="68" t="s">
        <v>467</v>
      </c>
      <c r="D4" s="73"/>
      <c r="M4" s="75"/>
      <c r="N4" s="76"/>
      <c r="O4" s="259" t="s">
        <v>510</v>
      </c>
      <c r="P4" s="259"/>
      <c r="Q4" s="259"/>
      <c r="R4" s="259"/>
      <c r="S4" s="259"/>
      <c r="T4" s="259"/>
      <c r="U4" s="259"/>
      <c r="V4" s="259"/>
      <c r="W4" s="259"/>
      <c r="X4" s="259"/>
      <c r="Y4" s="259"/>
      <c r="Z4" s="259"/>
      <c r="AA4" s="259"/>
      <c r="AB4" s="259"/>
      <c r="AC4" s="259"/>
      <c r="AD4" s="260"/>
      <c r="AE4" s="265" t="s">
        <v>574</v>
      </c>
      <c r="AF4" s="259"/>
      <c r="AG4" s="259"/>
      <c r="AH4" s="259"/>
      <c r="AI4" s="259"/>
      <c r="AJ4" s="259"/>
      <c r="AK4" s="259"/>
      <c r="AL4" s="259"/>
      <c r="AM4" s="259"/>
      <c r="AN4" s="259"/>
      <c r="AO4" s="259"/>
      <c r="AP4" s="259"/>
      <c r="AQ4" s="260"/>
      <c r="AR4" s="265" t="s">
        <v>490</v>
      </c>
      <c r="AS4" s="259"/>
      <c r="AT4" s="259"/>
      <c r="AU4" s="259"/>
      <c r="AV4" s="259"/>
      <c r="AW4" s="259"/>
      <c r="AX4" s="259"/>
      <c r="AY4" s="259"/>
      <c r="AZ4" s="259"/>
      <c r="BA4" s="259"/>
      <c r="BB4" s="259"/>
      <c r="BC4" s="259"/>
      <c r="BD4" s="260"/>
      <c r="BE4" s="265" t="s">
        <v>547</v>
      </c>
      <c r="BF4" s="259"/>
      <c r="BG4" s="260"/>
      <c r="BH4" s="265" t="s">
        <v>575</v>
      </c>
      <c r="BI4" s="259"/>
      <c r="BJ4" s="260"/>
      <c r="BK4" s="266" t="s">
        <v>548</v>
      </c>
      <c r="BL4" s="267"/>
    </row>
    <row r="5" spans="1:67" ht="15" thickBot="1" x14ac:dyDescent="0.25">
      <c r="A5" s="66" t="s">
        <v>220</v>
      </c>
      <c r="B5" s="66" t="s">
        <v>439</v>
      </c>
      <c r="C5" s="66" t="s">
        <v>440</v>
      </c>
      <c r="D5" s="67"/>
      <c r="E5" s="258" t="s">
        <v>441</v>
      </c>
      <c r="F5" s="258"/>
      <c r="G5" s="258"/>
      <c r="H5" s="258"/>
      <c r="I5" s="258"/>
      <c r="J5" s="258"/>
      <c r="K5" s="258"/>
      <c r="M5" s="77"/>
      <c r="N5" s="60"/>
      <c r="P5" s="261" t="s">
        <v>476</v>
      </c>
      <c r="Q5" s="261"/>
      <c r="R5" s="261"/>
      <c r="S5" s="262" t="s">
        <v>478</v>
      </c>
      <c r="T5" s="262"/>
      <c r="U5" s="262"/>
      <c r="V5" s="262" t="s">
        <v>478</v>
      </c>
      <c r="W5" s="262"/>
      <c r="X5" s="262"/>
      <c r="Y5" s="262" t="s">
        <v>511</v>
      </c>
      <c r="Z5" s="262"/>
      <c r="AA5" s="262"/>
      <c r="AB5" s="263" t="s">
        <v>512</v>
      </c>
      <c r="AC5" s="262"/>
      <c r="AD5" s="264"/>
      <c r="AE5" s="101"/>
      <c r="AF5" s="261" t="s">
        <v>476</v>
      </c>
      <c r="AG5" s="261"/>
      <c r="AH5" s="261"/>
      <c r="AI5" s="268" t="s">
        <v>478</v>
      </c>
      <c r="AJ5" s="268"/>
      <c r="AK5" s="268"/>
      <c r="AL5" s="262" t="s">
        <v>519</v>
      </c>
      <c r="AM5" s="262"/>
      <c r="AN5" s="262"/>
      <c r="AO5" s="269" t="s">
        <v>512</v>
      </c>
      <c r="AP5" s="268"/>
      <c r="AQ5" s="270"/>
      <c r="AS5" s="262" t="s">
        <v>498</v>
      </c>
      <c r="AT5" s="262"/>
      <c r="AU5" s="262"/>
      <c r="AV5" s="262" t="s">
        <v>499</v>
      </c>
      <c r="AW5" s="262"/>
      <c r="AX5" s="262"/>
      <c r="AY5" s="262" t="s">
        <v>497</v>
      </c>
      <c r="AZ5" s="262"/>
      <c r="BA5" s="262"/>
      <c r="BB5" s="263" t="s">
        <v>512</v>
      </c>
      <c r="BC5" s="262"/>
      <c r="BD5" s="264"/>
      <c r="BE5" s="263" t="s">
        <v>512</v>
      </c>
      <c r="BF5" s="262"/>
      <c r="BG5" s="264"/>
      <c r="BH5" s="263" t="s">
        <v>512</v>
      </c>
      <c r="BI5" s="262"/>
      <c r="BJ5" s="264"/>
      <c r="BK5" s="263" t="s">
        <v>512</v>
      </c>
      <c r="BL5" s="264"/>
    </row>
    <row r="6" spans="1:67" ht="15" thickBot="1" x14ac:dyDescent="0.25">
      <c r="A6" s="66"/>
      <c r="B6" s="66"/>
      <c r="C6" s="66"/>
      <c r="D6" s="67"/>
      <c r="E6" s="68"/>
      <c r="F6" s="68"/>
      <c r="G6" s="68"/>
      <c r="H6" s="68"/>
      <c r="I6" s="68"/>
      <c r="J6" s="68"/>
      <c r="K6" s="68"/>
      <c r="M6" s="77"/>
      <c r="N6" s="60"/>
      <c r="O6" s="78" t="s">
        <v>367</v>
      </c>
      <c r="P6" s="79" t="s">
        <v>513</v>
      </c>
      <c r="Q6" s="80" t="s">
        <v>514</v>
      </c>
      <c r="R6" s="80" t="s">
        <v>515</v>
      </c>
      <c r="S6" s="80" t="s">
        <v>513</v>
      </c>
      <c r="T6" s="80" t="s">
        <v>514</v>
      </c>
      <c r="U6" s="80" t="s">
        <v>515</v>
      </c>
      <c r="V6" s="80" t="s">
        <v>513</v>
      </c>
      <c r="W6" s="80" t="s">
        <v>514</v>
      </c>
      <c r="X6" s="80" t="s">
        <v>515</v>
      </c>
      <c r="Y6" s="80" t="s">
        <v>513</v>
      </c>
      <c r="Z6" s="80" t="s">
        <v>514</v>
      </c>
      <c r="AA6" s="80" t="s">
        <v>515</v>
      </c>
      <c r="AB6" s="78" t="s">
        <v>516</v>
      </c>
      <c r="AC6" s="80" t="s">
        <v>514</v>
      </c>
      <c r="AD6" s="81" t="s">
        <v>515</v>
      </c>
      <c r="AE6" s="88" t="s">
        <v>367</v>
      </c>
      <c r="AF6" s="87" t="s">
        <v>513</v>
      </c>
      <c r="AG6" s="87" t="s">
        <v>550</v>
      </c>
      <c r="AH6" s="87" t="s">
        <v>515</v>
      </c>
      <c r="AI6" s="87" t="s">
        <v>513</v>
      </c>
      <c r="AJ6" s="87" t="s">
        <v>550</v>
      </c>
      <c r="AK6" s="87" t="s">
        <v>515</v>
      </c>
      <c r="AL6" s="87" t="s">
        <v>513</v>
      </c>
      <c r="AM6" s="87" t="s">
        <v>550</v>
      </c>
      <c r="AN6" s="87" t="s">
        <v>515</v>
      </c>
      <c r="AO6" s="78" t="s">
        <v>516</v>
      </c>
      <c r="AP6" s="80" t="s">
        <v>514</v>
      </c>
      <c r="AQ6" s="81" t="s">
        <v>515</v>
      </c>
      <c r="AR6" s="78" t="s">
        <v>549</v>
      </c>
      <c r="AS6" s="80" t="s">
        <v>513</v>
      </c>
      <c r="AT6" s="80" t="s">
        <v>550</v>
      </c>
      <c r="AU6" s="80" t="s">
        <v>515</v>
      </c>
      <c r="AV6" s="80" t="s">
        <v>513</v>
      </c>
      <c r="AW6" s="80" t="s">
        <v>550</v>
      </c>
      <c r="AX6" s="80" t="s">
        <v>515</v>
      </c>
      <c r="AY6" s="80" t="s">
        <v>513</v>
      </c>
      <c r="AZ6" s="80" t="s">
        <v>550</v>
      </c>
      <c r="BA6" s="80" t="s">
        <v>515</v>
      </c>
      <c r="BB6" s="78" t="s">
        <v>516</v>
      </c>
      <c r="BC6" s="80" t="s">
        <v>514</v>
      </c>
      <c r="BD6" s="81" t="s">
        <v>515</v>
      </c>
      <c r="BE6" s="78" t="s">
        <v>516</v>
      </c>
      <c r="BF6" s="80" t="s">
        <v>514</v>
      </c>
      <c r="BG6" s="81" t="s">
        <v>515</v>
      </c>
      <c r="BH6" s="78" t="s">
        <v>516</v>
      </c>
      <c r="BI6" s="80" t="s">
        <v>514</v>
      </c>
      <c r="BJ6" s="81" t="s">
        <v>515</v>
      </c>
      <c r="BK6" s="78" t="s">
        <v>514</v>
      </c>
      <c r="BL6" s="81" t="s">
        <v>515</v>
      </c>
    </row>
    <row r="7" spans="1:67" ht="15" thickBot="1" x14ac:dyDescent="0.25">
      <c r="A7" s="66"/>
      <c r="B7" s="66"/>
      <c r="C7" s="66"/>
      <c r="D7" s="67"/>
      <c r="E7" s="68"/>
      <c r="F7" s="68"/>
      <c r="G7" s="68"/>
      <c r="H7" s="68"/>
      <c r="I7" s="68"/>
      <c r="J7" s="68"/>
      <c r="K7" s="68"/>
      <c r="M7" s="77" t="s">
        <v>517</v>
      </c>
      <c r="N7" s="76">
        <f>Fcross</f>
        <v>1360</v>
      </c>
      <c r="O7" s="82" t="str">
        <f>COMPLEX(ADC_VINmin,0)</f>
        <v>14.482707399797</v>
      </c>
      <c r="P7" s="80" t="str">
        <f>IMSUM(COMPLEX(1,0),IMDIV(COMPLEX(0,2*PI()*N7),COMPLEX(wp_lf_VINmin,0)))</f>
        <v>1+30.0316129339691i</v>
      </c>
      <c r="Q7" s="80">
        <f>IMABS(P7)</f>
        <v>30.048257443914114</v>
      </c>
      <c r="R7" s="80">
        <f t="shared" ref="R7:R13" si="0">IMARGUMENT(P7)</f>
        <v>1.537510380520791</v>
      </c>
      <c r="S7" s="80" t="str">
        <f>IMSUM(COMPLEX(1,0),IMDIV(COMPLEX(0,2*PI()*N7),COMPLEX(wz_esr_VINmin,0)))</f>
        <v>1+0.466564208169928i</v>
      </c>
      <c r="T7" s="80">
        <f t="shared" ref="T7:T13" si="1">IMABS(S7)</f>
        <v>1.1034863661800411</v>
      </c>
      <c r="U7" s="80">
        <f t="shared" ref="U7:U13" si="2">IMARGUMENT(S7)</f>
        <v>0.4365430208832845</v>
      </c>
      <c r="V7" s="79" t="str">
        <f>IMSUB(COMPLEX(1,0),IMDIV(COMPLEX(0,2*PI()*N7),COMPLEX(wz_RHP_VINmin,0)))</f>
        <v>1-0.0594994377533213i</v>
      </c>
      <c r="W7" s="80">
        <f t="shared" ref="W7:W13" si="3">IMABS(V7)</f>
        <v>1.0017685277013655</v>
      </c>
      <c r="X7" s="80">
        <f t="shared" ref="X7:X13" si="4">IMARGUMENT(V7)</f>
        <v>-5.9429373549424624E-2</v>
      </c>
      <c r="Y7" s="79" t="str">
        <f>IMSUM(COMPLEX(1,0),IMDIV(COMPLEX(0,2*PI()*N7),COMPLEX(Q_VINmin*(wsl_VINmin/2),0)),IMDIV(IMPOWER(COMPLEX(0,2*PI()*N7),2),IMPOWER(COMPLEX(wsl_VINmin/2,0),2)))</f>
        <v>0.999562224852071+0.841366844826017i</v>
      </c>
      <c r="Z7" s="80">
        <f t="shared" ref="Z7:Z13" si="5">IMABS(Y7)</f>
        <v>1.3065308296874241</v>
      </c>
      <c r="AA7" s="80">
        <f t="shared" ref="AA7:AA13" si="6">IMARGUMENT(Y7)</f>
        <v>0.69967638969035018</v>
      </c>
      <c r="AB7" s="78" t="str">
        <f t="shared" ref="AB7:AB13" si="7">(IMDIV(IMPRODUCT(O7,S7,V7),IMPRODUCT(P7,Y7)))</f>
        <v>-0.116328126528938-0.390854227086358i</v>
      </c>
      <c r="AC7" s="83">
        <f t="shared" ref="AC7:AC13" si="8">20*LOG(IMABS(AB7))</f>
        <v>-7.7910968368769806</v>
      </c>
      <c r="AD7" s="79">
        <f t="shared" ref="AD7:AD13" si="9">(180/PI())*IMARGUMENT(AB7)</f>
        <v>-106.57433952658712</v>
      </c>
      <c r="AE7" s="55" t="str">
        <f>COMPLEX($B$67,0)</f>
        <v>118.329284003155</v>
      </c>
      <c r="AF7" s="56" t="str">
        <f>IMSUM(COMPLEX(1,0),IMDIV(COMPLEX(0,2*PI()*N7),COMPLEX(wp_lf_DCM,0)))</f>
        <v>1+198.537960923374i</v>
      </c>
      <c r="AG7" s="56">
        <f>IMABS(AF7)</f>
        <v>198.54047931747112</v>
      </c>
      <c r="AH7" s="56">
        <f>IMARGUMENT(AF7)</f>
        <v>1.5657595492488856</v>
      </c>
      <c r="AI7" s="56" t="str">
        <f>IMSUM(COMPLEX(1,0),IMDIV(COMPLEX(0,2*PI()*N7),COMPLEX(wz1_dcm,0)))</f>
        <v>1+0.466564208169928i</v>
      </c>
      <c r="AJ7" s="56">
        <f>IMABS(AI7)</f>
        <v>1.1034863661800411</v>
      </c>
      <c r="AK7" s="56">
        <f>IMARGUMENT(AI7)</f>
        <v>0.4365430208832845</v>
      </c>
      <c r="AL7" s="56" t="str">
        <f t="shared" ref="AL7:AL13" si="10">IMSUB(COMPLEX(1,0),IMDIV(COMPLEX(0,2*PI()*N7),COMPLEX(wz2_dcm,0)))</f>
        <v>1-0.0324957096171546i</v>
      </c>
      <c r="AM7" s="56">
        <f>IMABS(AL7)</f>
        <v>1.0005278462609237</v>
      </c>
      <c r="AN7" s="57">
        <f>IMARGUMENT(AL7)</f>
        <v>-3.2484278681509285E-2</v>
      </c>
      <c r="AO7" s="56" t="str">
        <f>(IMDIV(IMPRODUCT(AE7,AI7,AL7),IMPRODUCT(AF7)))</f>
        <v>0.261747101431252-0.603721153690082i</v>
      </c>
      <c r="AP7" s="56">
        <f>20*LOG(IMABS(AO7))</f>
        <v>-3.6352135479881702</v>
      </c>
      <c r="AQ7" s="57">
        <f>(180/PI())*IMARGUMENT(AO7)</f>
        <v>-66.560553300741091</v>
      </c>
      <c r="AR7" s="62" t="str">
        <f t="shared" ref="AR7:AR13" si="11">COMPLEX(adc_ea,0)</f>
        <v>-1.94444444444444</v>
      </c>
      <c r="AS7" s="62" t="str">
        <f t="shared" ref="AS7:AS13" si="12">IMSUM(COMPLEX(1,0), IMDIV(COMPLEX(0,2*PI()*N7), COMPLEX(wp0_ea,0)))</f>
        <v>1+0.478527392994796i</v>
      </c>
      <c r="AT7" s="62">
        <f t="shared" ref="AT7:AT13" si="13">IMABS(AS7)</f>
        <v>1.1085975220278981</v>
      </c>
      <c r="AU7" s="62">
        <f t="shared" ref="AU7:AU13" si="14">IMARGUMENT(AS7)</f>
        <v>0.44632243550845369</v>
      </c>
      <c r="AV7" s="62" t="str">
        <f t="shared" ref="AV7:AV13" si="15">IMSUM(COMPLEX(1,0),IMDIV(COMPLEX(0,2*PI()*N7),COMPLEX(wp1_ea,0)))</f>
        <v>1+0.478527392994796i</v>
      </c>
      <c r="AW7" s="62">
        <f t="shared" ref="AW7:AW13" si="16">IMABS(AV7)</f>
        <v>1.1085975220278981</v>
      </c>
      <c r="AX7" s="62">
        <f t="shared" ref="AX7:AX13" si="17">IMARGUMENT(AV7)</f>
        <v>0.44632243550845369</v>
      </c>
      <c r="AY7" s="62" t="str">
        <f t="shared" ref="AY7:AY13" si="18">IMSUM(COMPLEX(1,0),IMDIV(COMPLEX(wz_ea,0),COMPLEX(0,2*PI()*N7)))</f>
        <v>1-0.00444626494870528i</v>
      </c>
      <c r="AZ7" s="62">
        <f t="shared" ref="AZ7:AZ13" si="19">IMABS(AY7)</f>
        <v>1.0000098845871446</v>
      </c>
      <c r="BA7" s="62">
        <f t="shared" ref="BA7:BA13" si="20">IMARGUMENT(AY7)</f>
        <v>-4.4462356492457741E-3</v>
      </c>
      <c r="BB7" s="61" t="str">
        <f>IMDIV(IMPRODUCT(AR7,AY7), AS7)</f>
        <v>-1.57878400206866+0.764136907789845i</v>
      </c>
      <c r="BC7" s="62">
        <f t="shared" ref="BC7:BC13" si="21">20*LOG(IMABS(BB7))</f>
        <v>4.8805185707716738</v>
      </c>
      <c r="BD7" s="63">
        <f t="shared" ref="BD7:BD13" si="22">(180/PI())*IMARGUMENT(BB7)</f>
        <v>154.17285760594334</v>
      </c>
      <c r="BE7" s="61" t="str">
        <f>IMPRODUCT(AB7,BB7)</f>
        <v>0.482323125636866+0.528183785970045i</v>
      </c>
      <c r="BF7" s="64">
        <f t="shared" ref="BF7:BF13" si="23">20*LOG(IMABS(BE7))</f>
        <v>-2.9105782661052979</v>
      </c>
      <c r="BG7" s="63">
        <f t="shared" ref="BG7:BG13" si="24">(180/PI())*IMARGUMENT(BE7)</f>
        <v>47.598518079356218</v>
      </c>
      <c r="BH7" s="61" t="str">
        <f>IMPRODUCT(AO7,BB7)</f>
        <v>0.0480834792205534+1.15315591986697i</v>
      </c>
      <c r="BI7" s="64">
        <f t="shared" ref="BI7:BI13" si="25">20*LOG(IMABS(BH7))</f>
        <v>1.2453050227835196</v>
      </c>
      <c r="BJ7" s="63">
        <f t="shared" ref="BJ7:BJ13" si="26">(180/PI())*IMARGUMENT(BH7)</f>
        <v>87.612304305202244</v>
      </c>
      <c r="BK7" s="100">
        <f>IF($B$19=0,BF7,BI7)</f>
        <v>-2.9105782661052979</v>
      </c>
      <c r="BL7" s="60">
        <f>IF($B$19=0,BG7,BJ7)</f>
        <v>47.598518079356218</v>
      </c>
    </row>
    <row r="8" spans="1:67" ht="15" thickBot="1" x14ac:dyDescent="0.25">
      <c r="A8" s="69" t="s">
        <v>442</v>
      </c>
      <c r="B8" s="66"/>
      <c r="C8" s="66"/>
      <c r="D8" s="67"/>
      <c r="E8" s="68"/>
      <c r="F8" s="68"/>
      <c r="G8" s="68"/>
      <c r="H8" s="68"/>
      <c r="I8" s="68"/>
      <c r="J8" s="68"/>
      <c r="K8" s="68"/>
      <c r="M8" s="75" t="s">
        <v>518</v>
      </c>
      <c r="N8" s="76">
        <f>Fcross</f>
        <v>1360</v>
      </c>
      <c r="O8" s="82" t="str">
        <f t="shared" ref="O8:O13" si="27">COMPLEX(adc,0)</f>
        <v>99.7340425531915</v>
      </c>
      <c r="P8" s="80" t="str">
        <f t="shared" ref="P8:P13" si="28">IMSUM(COMPLEX(1,0),IMDIV(COMPLEX(0,2*PI()*N8),COMPLEX(wp_lf,0)))</f>
        <v>1+248.172451154217i</v>
      </c>
      <c r="Q8" s="80">
        <f t="shared" ref="Q8:Q13" si="29">IMABS(P8)</f>
        <v>248.17446587409472</v>
      </c>
      <c r="R8" s="80">
        <f t="shared" si="0"/>
        <v>1.5667668924913318</v>
      </c>
      <c r="S8" s="80" t="str">
        <f t="shared" ref="S8:S13" si="30">IMSUM(COMPLEX(1,0),IMDIV(COMPLEX(0,2*PI()*N8),COMPLEX(wz_esr,0)))</f>
        <v>1+0.466564208169928i</v>
      </c>
      <c r="T8" s="80">
        <f t="shared" si="1"/>
        <v>1.1034863661800411</v>
      </c>
      <c r="U8" s="80">
        <f t="shared" si="2"/>
        <v>0.4365430208832845</v>
      </c>
      <c r="V8" s="79" t="str">
        <f t="shared" ref="V8:V13" si="31">IMSUB(COMPLEX(1,0),IMDIV(COMPLEX(0,2*PI()*N8),COMPLEX(wz_rhp,0)))</f>
        <v>1-0.0481945445801903i</v>
      </c>
      <c r="W8" s="80">
        <f t="shared" si="3"/>
        <v>1.0011606834705864</v>
      </c>
      <c r="X8" s="80">
        <f t="shared" si="4"/>
        <v>-4.8157282446141272E-2</v>
      </c>
      <c r="Y8" s="79" t="str">
        <f t="shared" ref="Y8:Y13" si="32">IMSUM(COMPLEX(1,0),IMDIV(COMPLEX(0,2*PI()*N8),COMPLEX(Q*(wsl/2),0)),IMDIV(IMPOWER(COMPLEX(0,2*PI()*N8),2),IMPOWER(COMPLEX(wsl/2,0),2)))</f>
        <v>0.999562224852071+0.0744960227189704i</v>
      </c>
      <c r="Z8" s="80">
        <f t="shared" si="5"/>
        <v>1.0023344246069608</v>
      </c>
      <c r="AA8" s="80">
        <f t="shared" si="6"/>
        <v>7.4391117293196529E-2</v>
      </c>
      <c r="AB8" s="78" t="str">
        <f t="shared" si="7"/>
        <v>0.138502898864512-0.420728383296876i</v>
      </c>
      <c r="AC8" s="83">
        <f t="shared" si="8"/>
        <v>-7.0731112285255193</v>
      </c>
      <c r="AD8" s="79">
        <f t="shared" si="9"/>
        <v>-71.778563839223096</v>
      </c>
      <c r="AE8" s="58" t="str">
        <f t="shared" ref="AE8:AE13" si="33">COMPLEX($B$67,0)</f>
        <v>118.329284003155</v>
      </c>
      <c r="AF8" t="str">
        <f t="shared" ref="AF8:AF13" si="34">IMSUM(COMPLEX(1,0),IMDIV(COMPLEX(0,2*PI()*N8),COMPLEX(wp_lf_DCM,0)))</f>
        <v>1+198.537960923374i</v>
      </c>
      <c r="AG8">
        <f t="shared" ref="AG8:AG13" si="35">IMABS(AF8)</f>
        <v>198.54047931747112</v>
      </c>
      <c r="AH8">
        <f t="shared" ref="AH8:AH13" si="36">IMARGUMENT(AF8)</f>
        <v>1.5657595492488856</v>
      </c>
      <c r="AI8" t="str">
        <f t="shared" ref="AI8:AI13" si="37">IMSUM(COMPLEX(1,0),IMDIV(COMPLEX(0,2*PI()*N8),COMPLEX(wz1_dcm,0)))</f>
        <v>1+0.466564208169928i</v>
      </c>
      <c r="AJ8">
        <f t="shared" ref="AJ8:AJ13" si="38">IMABS(AI8)</f>
        <v>1.1034863661800411</v>
      </c>
      <c r="AK8">
        <f t="shared" ref="AK8:AK13" si="39">IMARGUMENT(AI8)</f>
        <v>0.4365430208832845</v>
      </c>
      <c r="AL8" t="str">
        <f t="shared" si="10"/>
        <v>1-0.0324957096171546i</v>
      </c>
      <c r="AM8">
        <f t="shared" ref="AM8:AM13" si="40">IMABS(AL8)</f>
        <v>1.0005278462609237</v>
      </c>
      <c r="AN8" s="60">
        <f t="shared" ref="AN8:AN13" si="41">IMARGUMENT(AL8)</f>
        <v>-3.2484278681509285E-2</v>
      </c>
      <c r="AO8" t="str">
        <f t="shared" ref="AO8:AO13" si="42">(IMDIV(IMPRODUCT(AE8,AI8,AL8),IMPRODUCT(AF8)))</f>
        <v>0.261747101431252-0.603721153690082i</v>
      </c>
      <c r="AP8">
        <f t="shared" ref="AP8:AP13" si="43">20*LOG(IMABS(AO8))</f>
        <v>-3.6352135479881702</v>
      </c>
      <c r="AQ8" s="60">
        <f t="shared" ref="AQ8:AQ13" si="44">(180/PI())*IMARGUMENT(AO8)</f>
        <v>-66.560553300741091</v>
      </c>
      <c r="AR8" s="79" t="str">
        <f t="shared" si="11"/>
        <v>-1.94444444444444</v>
      </c>
      <c r="AS8" s="62" t="str">
        <f t="shared" si="12"/>
        <v>1+0.478527392994796i</v>
      </c>
      <c r="AT8" s="79">
        <f t="shared" si="13"/>
        <v>1.1085975220278981</v>
      </c>
      <c r="AU8" s="79">
        <f t="shared" si="14"/>
        <v>0.44632243550845369</v>
      </c>
      <c r="AV8" s="62" t="str">
        <f t="shared" si="15"/>
        <v>1+0.478527392994796i</v>
      </c>
      <c r="AW8" s="79">
        <f t="shared" si="16"/>
        <v>1.1085975220278981</v>
      </c>
      <c r="AX8" s="79">
        <f t="shared" si="17"/>
        <v>0.44632243550845369</v>
      </c>
      <c r="AY8" s="62" t="str">
        <f t="shared" si="18"/>
        <v>1-0.00444626494870528i</v>
      </c>
      <c r="AZ8" s="79">
        <f t="shared" si="19"/>
        <v>1.0000098845871446</v>
      </c>
      <c r="BA8" s="79">
        <f t="shared" si="20"/>
        <v>-4.4462356492457741E-3</v>
      </c>
      <c r="BB8" s="61" t="str">
        <f t="shared" ref="BB8:BB13" si="45">IMDIV(IMPRODUCT(AR8,AY8), AS8)</f>
        <v>-1.57878400206866+0.764136907789845i</v>
      </c>
      <c r="BC8" s="79">
        <f t="shared" si="21"/>
        <v>4.8805185707716738</v>
      </c>
      <c r="BD8" s="76">
        <f t="shared" si="22"/>
        <v>154.17285760594334</v>
      </c>
      <c r="BE8" s="61" t="str">
        <f t="shared" ref="BE8:BE13" si="46">IMPRODUCT(AB8,BB8)</f>
        <v>0.10282792486447+0.770074417623577i</v>
      </c>
      <c r="BF8" s="83">
        <f t="shared" si="23"/>
        <v>-2.1925926577538437</v>
      </c>
      <c r="BG8" s="76">
        <f t="shared" si="24"/>
        <v>82.394293766720267</v>
      </c>
      <c r="BH8" s="99" t="str">
        <f t="shared" ref="BH8:BH13" si="47">IMPRODUCT(AO8,BB8)</f>
        <v>0.0480834792205534+1.15315591986697i</v>
      </c>
      <c r="BI8" s="83">
        <f t="shared" si="25"/>
        <v>1.2453050227835196</v>
      </c>
      <c r="BJ8" s="76">
        <f t="shared" si="26"/>
        <v>87.612304305202244</v>
      </c>
      <c r="BK8" s="100">
        <f t="shared" ref="BK8:BK13" si="48">IF($B$19=0,BF8,BI8)</f>
        <v>-2.1925926577538437</v>
      </c>
      <c r="BL8" s="60">
        <f t="shared" ref="BL8:BL13" si="49">IF($B$19=0,BG8,BJ8)</f>
        <v>82.394293766720267</v>
      </c>
    </row>
    <row r="9" spans="1:67" ht="15" thickBot="1" x14ac:dyDescent="0.25">
      <c r="A9" t="s">
        <v>443</v>
      </c>
      <c r="B9" s="29">
        <f>VIN_MIN</f>
        <v>18</v>
      </c>
      <c r="C9" t="s">
        <v>34</v>
      </c>
      <c r="E9" t="s">
        <v>444</v>
      </c>
      <c r="M9" s="84" t="s">
        <v>519</v>
      </c>
      <c r="N9" s="85">
        <f>wz_rhp/(2*PI())</f>
        <v>28218.961541116194</v>
      </c>
      <c r="O9" s="86" t="str">
        <f t="shared" si="27"/>
        <v>99.7340425531915</v>
      </c>
      <c r="P9" s="87" t="str">
        <f t="shared" si="28"/>
        <v>1+5149.38886373925i</v>
      </c>
      <c r="Q9" s="87">
        <f t="shared" si="29"/>
        <v>5149.3889608381505</v>
      </c>
      <c r="R9" s="87">
        <f t="shared" si="0"/>
        <v>1.57060212899514</v>
      </c>
      <c r="S9" s="87" t="str">
        <f t="shared" si="30"/>
        <v>1+9.68085106382979i</v>
      </c>
      <c r="T9" s="87">
        <f t="shared" si="1"/>
        <v>9.7323623709793292</v>
      </c>
      <c r="U9" s="87">
        <f t="shared" si="2"/>
        <v>1.467864688277071</v>
      </c>
      <c r="V9" s="56" t="str">
        <f t="shared" si="31"/>
        <v>1-i</v>
      </c>
      <c r="W9" s="87">
        <f t="shared" si="3"/>
        <v>1.4142135623730951</v>
      </c>
      <c r="X9" s="87">
        <f t="shared" si="4"/>
        <v>-0.78539816339744828</v>
      </c>
      <c r="Y9" s="56" t="str">
        <f t="shared" si="32"/>
        <v>0.811524309950534+1.54573558828878i</v>
      </c>
      <c r="Z9" s="87">
        <f t="shared" si="5"/>
        <v>1.745815057370955</v>
      </c>
      <c r="AA9" s="87">
        <f t="shared" si="6"/>
        <v>1.0873426682680092</v>
      </c>
      <c r="AB9" s="88" t="str">
        <f t="shared" si="7"/>
        <v>-0.0601197702765647-0.140360804175084i</v>
      </c>
      <c r="AC9" s="89">
        <f t="shared" si="8"/>
        <v>-16.323544819923246</v>
      </c>
      <c r="AD9" s="56">
        <f t="shared" si="9"/>
        <v>-113.18656752737127</v>
      </c>
      <c r="AE9" s="58" t="str">
        <f t="shared" si="33"/>
        <v>118.329284003155</v>
      </c>
      <c r="AF9" t="str">
        <f t="shared" si="34"/>
        <v>1+4119.5110909914i</v>
      </c>
      <c r="AG9">
        <f t="shared" si="35"/>
        <v>4119.5112123650251</v>
      </c>
      <c r="AH9">
        <f t="shared" si="36"/>
        <v>1.5705535795469174</v>
      </c>
      <c r="AI9" t="str">
        <f t="shared" si="37"/>
        <v>1+9.68085106382979i</v>
      </c>
      <c r="AJ9">
        <f t="shared" si="38"/>
        <v>9.7323623709793292</v>
      </c>
      <c r="AK9">
        <f t="shared" si="39"/>
        <v>1.467864688277071</v>
      </c>
      <c r="AL9" t="str">
        <f t="shared" si="10"/>
        <v>1-0.674261161718945i</v>
      </c>
      <c r="AM9">
        <f t="shared" si="40"/>
        <v>1.2060796467077044</v>
      </c>
      <c r="AN9" s="60">
        <f t="shared" si="41"/>
        <v>-0.59324191819051919</v>
      </c>
      <c r="AO9" t="str">
        <f t="shared" si="42"/>
        <v>0.258758737761061-0.216155670807344i</v>
      </c>
      <c r="AP9">
        <f t="shared" si="43"/>
        <v>-9.4431838624636057</v>
      </c>
      <c r="AQ9" s="60">
        <f t="shared" si="44"/>
        <v>-39.873898215202061</v>
      </c>
      <c r="AR9" s="56" t="str">
        <f t="shared" si="11"/>
        <v>-1.94444444444444</v>
      </c>
      <c r="AS9" s="62" t="str">
        <f t="shared" si="12"/>
        <v>1+9.92907801418437i</v>
      </c>
      <c r="AT9" s="56">
        <f t="shared" si="13"/>
        <v>9.9793081028576047</v>
      </c>
      <c r="AU9" s="56">
        <f t="shared" si="14"/>
        <v>1.4704205108546808</v>
      </c>
      <c r="AV9" s="62" t="str">
        <f t="shared" si="15"/>
        <v>1+9.92907801418437i</v>
      </c>
      <c r="AW9" s="56">
        <f t="shared" si="16"/>
        <v>9.9793081028576047</v>
      </c>
      <c r="AX9" s="56">
        <f t="shared" si="17"/>
        <v>1.4704205108546808</v>
      </c>
      <c r="AY9" s="62" t="str">
        <f t="shared" si="18"/>
        <v>1-0.000214285714285715i</v>
      </c>
      <c r="AZ9" s="56">
        <f t="shared" si="19"/>
        <v>1.0000000229591834</v>
      </c>
      <c r="BA9" s="56">
        <f t="shared" si="20"/>
        <v>-2.1428571100583172E-4</v>
      </c>
      <c r="BB9" s="61" t="str">
        <f t="shared" si="45"/>
        <v>-0.0194836204802208+0.19387105441354i</v>
      </c>
      <c r="BC9" s="56">
        <f t="shared" si="21"/>
        <v>-14.206097641932981</v>
      </c>
      <c r="BD9" s="57">
        <f t="shared" si="22"/>
        <v>95.738832951705717</v>
      </c>
      <c r="BE9" s="61" t="str">
        <f t="shared" si="46"/>
        <v>0.0283832478911826-0.00892074661577147i</v>
      </c>
      <c r="BF9" s="89">
        <f t="shared" si="23"/>
        <v>-30.529642461856227</v>
      </c>
      <c r="BG9" s="57">
        <f t="shared" si="24"/>
        <v>-17.447734575665535</v>
      </c>
      <c r="BH9" s="99" t="str">
        <f t="shared" si="47"/>
        <v>0.0368647707744083+0.0543773243831114i</v>
      </c>
      <c r="BI9" s="89">
        <f t="shared" si="25"/>
        <v>-23.649281504396594</v>
      </c>
      <c r="BJ9" s="57">
        <f t="shared" si="26"/>
        <v>55.864934736503685</v>
      </c>
      <c r="BK9" s="100">
        <f t="shared" si="48"/>
        <v>-30.529642461856227</v>
      </c>
      <c r="BL9" s="60">
        <f t="shared" si="49"/>
        <v>-17.447734575665535</v>
      </c>
    </row>
    <row r="10" spans="1:67" ht="15" thickBot="1" x14ac:dyDescent="0.25">
      <c r="A10" t="s">
        <v>445</v>
      </c>
      <c r="B10" s="29">
        <f>VIN_TYP</f>
        <v>20</v>
      </c>
      <c r="C10" t="s">
        <v>34</v>
      </c>
      <c r="E10" t="s">
        <v>446</v>
      </c>
      <c r="M10" s="77" t="s">
        <v>478</v>
      </c>
      <c r="N10" s="90">
        <f>wz_esr/(2*PI())</f>
        <v>2914.9256976537608</v>
      </c>
      <c r="O10" s="91" t="str">
        <f t="shared" si="27"/>
        <v>99.7340425531915</v>
      </c>
      <c r="P10" s="67" t="str">
        <f t="shared" si="28"/>
        <v>1+531.914893617021i</v>
      </c>
      <c r="Q10" s="67">
        <f t="shared" si="29"/>
        <v>531.91583361619041</v>
      </c>
      <c r="R10" s="67">
        <f t="shared" si="0"/>
        <v>1.5689163290097825</v>
      </c>
      <c r="S10" s="67" t="str">
        <f t="shared" si="30"/>
        <v>1+i</v>
      </c>
      <c r="T10" s="67">
        <f t="shared" si="1"/>
        <v>1.4142135623730951</v>
      </c>
      <c r="U10" s="67">
        <f t="shared" si="2"/>
        <v>0.78539816339744828</v>
      </c>
      <c r="V10" t="str">
        <f t="shared" si="31"/>
        <v>1-0.103296703296703i</v>
      </c>
      <c r="W10" s="67">
        <f t="shared" si="3"/>
        <v>1.0053209482110512</v>
      </c>
      <c r="X10" s="67">
        <f t="shared" si="4"/>
        <v>-0.10293163851782546</v>
      </c>
      <c r="Y10" t="str">
        <f t="shared" si="32"/>
        <v>0.997988925012345+0.159669390438621i</v>
      </c>
      <c r="Z10" s="67">
        <f t="shared" si="5"/>
        <v>1.0106810618045323</v>
      </c>
      <c r="AA10" s="67">
        <f t="shared" si="6"/>
        <v>0.1586466278412326</v>
      </c>
      <c r="AB10" s="92" t="str">
        <f t="shared" si="7"/>
        <v>0.132358790479459-0.228143775556739i</v>
      </c>
      <c r="AC10" s="37">
        <f t="shared" si="8"/>
        <v>-11.575877866850206</v>
      </c>
      <c r="AD10">
        <f t="shared" si="9"/>
        <v>-59.879614736141875</v>
      </c>
      <c r="AE10" s="58" t="str">
        <f t="shared" si="33"/>
        <v>118.329284003155</v>
      </c>
      <c r="AF10" t="str">
        <f t="shared" si="34"/>
        <v>1+425.531914893617i</v>
      </c>
      <c r="AG10">
        <f t="shared" si="35"/>
        <v>425.53308989199473</v>
      </c>
      <c r="AH10">
        <f t="shared" si="36"/>
        <v>1.5684463311208405</v>
      </c>
      <c r="AI10" t="str">
        <f t="shared" si="37"/>
        <v>1+i</v>
      </c>
      <c r="AJ10">
        <f t="shared" si="38"/>
        <v>1.4142135623730951</v>
      </c>
      <c r="AK10">
        <f t="shared" si="39"/>
        <v>0.78539816339744828</v>
      </c>
      <c r="AL10" t="str">
        <f t="shared" si="10"/>
        <v>1-0.0696489551665723i</v>
      </c>
      <c r="AM10">
        <f t="shared" si="40"/>
        <v>1.002422554093729</v>
      </c>
      <c r="AN10" s="60">
        <f t="shared" si="41"/>
        <v>-6.9536660005060008E-2</v>
      </c>
      <c r="AO10" t="str">
        <f t="shared" si="42"/>
        <v>0.259403821223591-0.296831769269145i</v>
      </c>
      <c r="AP10">
        <f t="shared" si="43"/>
        <v>-8.0855054577618155</v>
      </c>
      <c r="AQ10" s="60">
        <f t="shared" si="44"/>
        <v>-48.849512305728538</v>
      </c>
      <c r="AR10" t="str">
        <f t="shared" si="11"/>
        <v>-1.94444444444444</v>
      </c>
      <c r="AS10" s="62" t="str">
        <f t="shared" si="12"/>
        <v>1+1.02564102564102i</v>
      </c>
      <c r="AT10">
        <f t="shared" si="13"/>
        <v>1.4324592536885521</v>
      </c>
      <c r="AU10">
        <f t="shared" si="14"/>
        <v>0.79805571523149754</v>
      </c>
      <c r="AV10" s="62" t="str">
        <f t="shared" si="15"/>
        <v>1+1.02564102564102i</v>
      </c>
      <c r="AW10">
        <f t="shared" si="16"/>
        <v>1.4324592536885521</v>
      </c>
      <c r="AX10">
        <f t="shared" si="17"/>
        <v>0.79805571523149754</v>
      </c>
      <c r="AY10" s="62" t="str">
        <f t="shared" si="18"/>
        <v>1-0.00207446808510639i</v>
      </c>
      <c r="AZ10">
        <f t="shared" si="19"/>
        <v>1.0000021517066031</v>
      </c>
      <c r="BA10">
        <f t="shared" si="20"/>
        <v>-2.074465109346421E-3</v>
      </c>
      <c r="BB10" s="61" t="str">
        <f t="shared" si="45"/>
        <v>-0.945596746814649+0.973876505189051i</v>
      </c>
      <c r="BC10">
        <f t="shared" si="21"/>
        <v>2.6542839282820303</v>
      </c>
      <c r="BD10" s="60">
        <f t="shared" si="22"/>
        <v>134.15591760542821</v>
      </c>
      <c r="BE10" s="61" t="str">
        <f t="shared" si="46"/>
        <v>0.0970258211301341+0.344633128275649i</v>
      </c>
      <c r="BF10" s="37">
        <f t="shared" si="23"/>
        <v>-8.9215939385681793</v>
      </c>
      <c r="BG10" s="60">
        <f t="shared" si="24"/>
        <v>74.276302869286312</v>
      </c>
      <c r="BH10" s="99" t="str">
        <f t="shared" si="47"/>
        <v>0.0437860766246012+0.533310442218056i</v>
      </c>
      <c r="BI10" s="37">
        <f t="shared" si="25"/>
        <v>-5.431221529479787</v>
      </c>
      <c r="BJ10" s="60">
        <f t="shared" si="26"/>
        <v>85.306405299699662</v>
      </c>
      <c r="BK10" s="100">
        <f t="shared" si="48"/>
        <v>-8.9215939385681793</v>
      </c>
      <c r="BL10" s="60">
        <f t="shared" si="49"/>
        <v>74.276302869286312</v>
      </c>
    </row>
    <row r="11" spans="1:67" ht="15" thickBot="1" x14ac:dyDescent="0.25">
      <c r="A11" t="s">
        <v>447</v>
      </c>
      <c r="B11" s="29">
        <f>VIN_MAX</f>
        <v>60</v>
      </c>
      <c r="C11" t="s">
        <v>34</v>
      </c>
      <c r="E11" t="s">
        <v>448</v>
      </c>
      <c r="M11" s="93" t="s">
        <v>476</v>
      </c>
      <c r="N11" s="94">
        <f>wp_lf/(2*PI())</f>
        <v>5.48006031158907</v>
      </c>
      <c r="O11" s="95" t="str">
        <f t="shared" si="27"/>
        <v>99.7340425531915</v>
      </c>
      <c r="P11" s="96" t="str">
        <f t="shared" si="28"/>
        <v>1+i</v>
      </c>
      <c r="Q11" s="96">
        <f t="shared" si="29"/>
        <v>1.4142135623730951</v>
      </c>
      <c r="R11" s="96">
        <f t="shared" si="0"/>
        <v>0.78539816339744828</v>
      </c>
      <c r="S11" s="96" t="str">
        <f t="shared" si="30"/>
        <v>1+0.00188i</v>
      </c>
      <c r="T11" s="96">
        <f t="shared" si="1"/>
        <v>1.0000017671984385</v>
      </c>
      <c r="U11" s="96">
        <f t="shared" si="2"/>
        <v>1.8799977851140302E-3</v>
      </c>
      <c r="V11" s="62" t="str">
        <f t="shared" si="31"/>
        <v>1-0.000194197802197802i</v>
      </c>
      <c r="W11" s="96">
        <f t="shared" si="3"/>
        <v>1.0000000188563931</v>
      </c>
      <c r="X11" s="96">
        <f t="shared" si="4"/>
        <v>-1.9419779975655532E-4</v>
      </c>
      <c r="Y11" s="62" t="str">
        <f t="shared" si="32"/>
        <v>0.999999992892057+0.000300178454024608i</v>
      </c>
      <c r="Z11" s="96">
        <f t="shared" si="5"/>
        <v>1.0000000379456084</v>
      </c>
      <c r="AA11" s="96">
        <f t="shared" si="6"/>
        <v>3.0017844714218928E-4</v>
      </c>
      <c r="AB11" s="97" t="str">
        <f t="shared" si="7"/>
        <v>49.9361574959037-49.7979636610919i</v>
      </c>
      <c r="AC11" s="64">
        <f t="shared" si="8"/>
        <v>36.966583683231576</v>
      </c>
      <c r="AD11" s="62">
        <f t="shared" si="9"/>
        <v>-44.920609733857802</v>
      </c>
      <c r="AE11" s="58" t="str">
        <f t="shared" si="33"/>
        <v>118.329284003155</v>
      </c>
      <c r="AF11" t="str">
        <f t="shared" si="34"/>
        <v>1+0.8i</v>
      </c>
      <c r="AG11">
        <f t="shared" si="35"/>
        <v>1.2806248474865698</v>
      </c>
      <c r="AH11">
        <f t="shared" si="36"/>
        <v>0.67474094222355274</v>
      </c>
      <c r="AI11" t="str">
        <f t="shared" si="37"/>
        <v>1+0.00188i</v>
      </c>
      <c r="AJ11">
        <f t="shared" si="38"/>
        <v>1.0000017671984385</v>
      </c>
      <c r="AK11">
        <f t="shared" si="39"/>
        <v>1.8799977851140302E-3</v>
      </c>
      <c r="AL11" t="str">
        <f t="shared" si="10"/>
        <v>1-0.000130940035713156i</v>
      </c>
      <c r="AM11">
        <f t="shared" si="40"/>
        <v>1.0000000085726464</v>
      </c>
      <c r="AN11" s="60">
        <f t="shared" si="41"/>
        <v>-1.309400349648209E-4</v>
      </c>
      <c r="AO11" t="str">
        <f t="shared" si="42"/>
        <v>72.2529787454592-57.5954179831147i</v>
      </c>
      <c r="AP11">
        <f t="shared" si="43"/>
        <v>39.313421676818969</v>
      </c>
      <c r="AQ11" s="60">
        <f t="shared" si="44"/>
        <v>-38.559594626881889</v>
      </c>
      <c r="AR11" s="62" t="str">
        <f t="shared" si="11"/>
        <v>-1.94444444444444</v>
      </c>
      <c r="AS11" s="62" t="str">
        <f t="shared" si="12"/>
        <v>1+0.00192820512820512i</v>
      </c>
      <c r="AT11" s="62">
        <f t="shared" si="13"/>
        <v>1.0000018589857804</v>
      </c>
      <c r="AU11" s="62">
        <f t="shared" si="14"/>
        <v>1.9282027385376197E-3</v>
      </c>
      <c r="AV11" s="62" t="str">
        <f t="shared" si="15"/>
        <v>1+0.00192820512820512i</v>
      </c>
      <c r="AW11" s="62">
        <f t="shared" si="16"/>
        <v>1.0000018589857804</v>
      </c>
      <c r="AX11" s="62">
        <f t="shared" si="17"/>
        <v>1.9282027385376197E-3</v>
      </c>
      <c r="AY11" s="62" t="str">
        <f t="shared" si="18"/>
        <v>1-1.10344047080127i</v>
      </c>
      <c r="AZ11" s="62">
        <f t="shared" si="19"/>
        <v>1.4891544152982015</v>
      </c>
      <c r="BA11" s="62">
        <f t="shared" si="20"/>
        <v>-0.8345353781986562</v>
      </c>
      <c r="BB11" s="61" t="str">
        <f>IMDIV(IMPRODUCT(AR11,AY11), AS11)</f>
        <v>-1.94030011461785+2.14931998985595i</v>
      </c>
      <c r="BC11" s="62">
        <f t="shared" si="21"/>
        <v>9.2346893080947048</v>
      </c>
      <c r="BD11" s="63">
        <f t="shared" si="22"/>
        <v>132.07416709589933</v>
      </c>
      <c r="BE11" s="61" t="str">
        <f t="shared" si="46"/>
        <v>10.140626638028+203.951776121893i</v>
      </c>
      <c r="BF11" s="64">
        <f t="shared" si="23"/>
        <v>46.201272991326277</v>
      </c>
      <c r="BG11" s="63">
        <f t="shared" si="24"/>
        <v>87.153557362041525</v>
      </c>
      <c r="BH11" s="99" t="str">
        <f t="shared" si="47"/>
        <v>-16.4014797460783+267.047167658353i</v>
      </c>
      <c r="BI11" s="64">
        <f t="shared" si="25"/>
        <v>48.548110984913677</v>
      </c>
      <c r="BJ11" s="63">
        <f t="shared" si="26"/>
        <v>93.514572469017423</v>
      </c>
      <c r="BK11" s="100">
        <f t="shared" si="48"/>
        <v>46.201272991326277</v>
      </c>
      <c r="BL11" s="60">
        <f t="shared" si="49"/>
        <v>87.153557362041525</v>
      </c>
      <c r="BN11" s="168" t="s">
        <v>697</v>
      </c>
      <c r="BO11" s="168"/>
    </row>
    <row r="12" spans="1:67" ht="15" thickBot="1" x14ac:dyDescent="0.25">
      <c r="A12" t="s">
        <v>449</v>
      </c>
      <c r="B12" s="29">
        <f>fsw</f>
        <v>130000</v>
      </c>
      <c r="C12" t="s">
        <v>70</v>
      </c>
      <c r="E12" t="s">
        <v>450</v>
      </c>
      <c r="M12" s="84" t="s">
        <v>497</v>
      </c>
      <c r="N12" s="57">
        <f>wz_ea/(2*PI())</f>
        <v>6.0469203302391845</v>
      </c>
      <c r="O12" s="86" t="str">
        <f t="shared" si="27"/>
        <v>99.7340425531915</v>
      </c>
      <c r="P12" s="87" t="str">
        <f t="shared" si="28"/>
        <v>1+1.10344047080127i</v>
      </c>
      <c r="Q12" s="87">
        <f t="shared" si="29"/>
        <v>1.4891544152982015</v>
      </c>
      <c r="R12" s="87">
        <f t="shared" si="0"/>
        <v>0.8345353781986562</v>
      </c>
      <c r="S12" s="87" t="str">
        <f t="shared" si="30"/>
        <v>1+0.00207446808510639i</v>
      </c>
      <c r="T12" s="87">
        <f t="shared" si="1"/>
        <v>1.0000021517066031</v>
      </c>
      <c r="U12" s="87">
        <f t="shared" si="2"/>
        <v>2.074465109346421E-3</v>
      </c>
      <c r="V12" s="56" t="str">
        <f t="shared" si="31"/>
        <v>1-0.000214285714285715i</v>
      </c>
      <c r="W12" s="87">
        <f t="shared" si="3"/>
        <v>1.0000000229591834</v>
      </c>
      <c r="X12" s="87">
        <f t="shared" si="4"/>
        <v>-2.1428571100583172E-4</v>
      </c>
      <c r="Y12" s="56" t="str">
        <f t="shared" si="32"/>
        <v>0.999999991345504+0.000331229054633311i</v>
      </c>
      <c r="Z12" s="87">
        <f t="shared" si="5"/>
        <v>1.0000000462018463</v>
      </c>
      <c r="AA12" s="87">
        <f t="shared" si="6"/>
        <v>3.3122904538658891E-4</v>
      </c>
      <c r="AB12" s="88" t="str">
        <f t="shared" si="7"/>
        <v>45.0501723107125-49.5576946794935i</v>
      </c>
      <c r="AC12" s="89">
        <f t="shared" si="8"/>
        <v>36.518092273498311</v>
      </c>
      <c r="AD12" s="56">
        <f t="shared" si="9"/>
        <v>-47.727752622827666</v>
      </c>
      <c r="AE12" s="58" t="str">
        <f t="shared" si="33"/>
        <v>118.329284003155</v>
      </c>
      <c r="AF12" t="str">
        <f t="shared" si="34"/>
        <v>1+0.882752376641015i</v>
      </c>
      <c r="AG12">
        <f t="shared" si="35"/>
        <v>1.3338859615669401</v>
      </c>
      <c r="AH12">
        <f t="shared" si="36"/>
        <v>0.72320389421175313</v>
      </c>
      <c r="AI12" t="str">
        <f t="shared" si="37"/>
        <v>1+0.00207446808510639i</v>
      </c>
      <c r="AJ12">
        <f t="shared" si="38"/>
        <v>1.0000021517066031</v>
      </c>
      <c r="AK12">
        <f t="shared" si="39"/>
        <v>2.074465109346421E-3</v>
      </c>
      <c r="AL12" t="str">
        <f t="shared" si="10"/>
        <v>1-0.00014448453465406i</v>
      </c>
      <c r="AM12">
        <f t="shared" si="40"/>
        <v>1.0000000104378903</v>
      </c>
      <c r="AN12" s="60">
        <f t="shared" si="41"/>
        <v>-1.4448453364865086E-4</v>
      </c>
      <c r="AO12" t="str">
        <f t="shared" si="42"/>
        <v>66.618406427881-58.5791830305862i</v>
      </c>
      <c r="AP12">
        <f t="shared" si="43"/>
        <v>38.959489476086787</v>
      </c>
      <c r="AQ12" s="60">
        <f t="shared" si="44"/>
        <v>-41.325951124229441</v>
      </c>
      <c r="AR12" s="56" t="str">
        <f t="shared" si="11"/>
        <v>-1.94444444444444</v>
      </c>
      <c r="AS12" s="62" t="str">
        <f t="shared" si="12"/>
        <v>1+0.00212765957446808i</v>
      </c>
      <c r="AT12" s="56">
        <f t="shared" si="13"/>
        <v>1.0000022634650707</v>
      </c>
      <c r="AU12" s="56">
        <f t="shared" si="14"/>
        <v>2.1276563638844138E-3</v>
      </c>
      <c r="AV12" s="62" t="str">
        <f t="shared" si="15"/>
        <v>1+0.00212765957446808i</v>
      </c>
      <c r="AW12" s="56">
        <f t="shared" si="16"/>
        <v>1.0000022634650707</v>
      </c>
      <c r="AX12" s="56">
        <f t="shared" si="17"/>
        <v>2.1276563638844138E-3</v>
      </c>
      <c r="AY12" s="62" t="str">
        <f t="shared" si="18"/>
        <v>1-i</v>
      </c>
      <c r="AZ12" s="56">
        <f t="shared" si="19"/>
        <v>1.4142135623730951</v>
      </c>
      <c r="BA12" s="56">
        <f t="shared" si="20"/>
        <v>-0.78539816339744828</v>
      </c>
      <c r="BB12" s="61" t="str">
        <f t="shared" si="45"/>
        <v>-1.94029854499929+1.94857273922103i</v>
      </c>
      <c r="BC12" s="56">
        <f t="shared" si="21"/>
        <v>8.7861910813936213</v>
      </c>
      <c r="BD12" s="57">
        <f t="shared" si="22"/>
        <v>134.87809427009535</v>
      </c>
      <c r="BE12" s="61" t="str">
        <f t="shared" si="46"/>
        <v>9.15598908465735+183.940260542005i</v>
      </c>
      <c r="BF12" s="89">
        <f t="shared" si="23"/>
        <v>45.304283354891943</v>
      </c>
      <c r="BG12" s="57">
        <f t="shared" si="24"/>
        <v>87.150341647267695</v>
      </c>
      <c r="BH12" s="99" t="str">
        <f t="shared" si="47"/>
        <v>-15.1137979229494+243.471914297209i</v>
      </c>
      <c r="BI12" s="89">
        <f t="shared" si="25"/>
        <v>47.745680557480384</v>
      </c>
      <c r="BJ12" s="57">
        <f t="shared" si="26"/>
        <v>93.552143145865912</v>
      </c>
      <c r="BK12" s="100">
        <f t="shared" si="48"/>
        <v>45.304283354891943</v>
      </c>
      <c r="BL12" s="60">
        <f t="shared" si="49"/>
        <v>87.150341647267695</v>
      </c>
      <c r="BN12" t="s">
        <v>698</v>
      </c>
      <c r="BO12">
        <f>SUM(BN19:BN559)/1000</f>
        <v>1.0471285480509001</v>
      </c>
    </row>
    <row r="13" spans="1:67" ht="15" thickBot="1" x14ac:dyDescent="0.25">
      <c r="M13" s="93" t="s">
        <v>499</v>
      </c>
      <c r="N13" s="63">
        <f>wp1_ea/(2*PI())</f>
        <v>2842.0525552124163</v>
      </c>
      <c r="O13" s="95" t="str">
        <f t="shared" si="27"/>
        <v>99.7340425531915</v>
      </c>
      <c r="P13" s="96" t="str">
        <f t="shared" si="28"/>
        <v>1+518.617021276597i</v>
      </c>
      <c r="Q13" s="96">
        <f t="shared" si="29"/>
        <v>518.61798537826508</v>
      </c>
      <c r="R13" s="96">
        <f t="shared" si="0"/>
        <v>1.5688681240563589</v>
      </c>
      <c r="S13" s="96" t="str">
        <f t="shared" si="30"/>
        <v>1+0.975000000000003i</v>
      </c>
      <c r="T13" s="96">
        <f t="shared" si="1"/>
        <v>1.3966477723463442</v>
      </c>
      <c r="U13" s="96">
        <f t="shared" si="2"/>
        <v>0.77274061156339791</v>
      </c>
      <c r="V13" s="62" t="str">
        <f t="shared" si="31"/>
        <v>1-0.100714285714286i</v>
      </c>
      <c r="W13" s="96">
        <f t="shared" si="3"/>
        <v>1.00505888750209</v>
      </c>
      <c r="X13" s="96">
        <f t="shared" si="4"/>
        <v>-0.10037581594021586</v>
      </c>
      <c r="Y13" s="62" t="str">
        <f t="shared" si="32"/>
        <v>0.99808822183986+0.155677655677656i</v>
      </c>
      <c r="Z13" s="96">
        <f t="shared" si="5"/>
        <v>1.0101562409116445</v>
      </c>
      <c r="AA13" s="96">
        <f t="shared" si="6"/>
        <v>0.15472911131189754</v>
      </c>
      <c r="AB13" s="97" t="str">
        <f t="shared" si="7"/>
        <v>0.132680277705381-0.231965465250065i</v>
      </c>
      <c r="AC13" s="64">
        <f t="shared" si="8"/>
        <v>-11.462286020199809</v>
      </c>
      <c r="AD13" s="62">
        <f t="shared" si="9"/>
        <v>-60.23118208463336</v>
      </c>
      <c r="AE13" s="61" t="str">
        <f t="shared" si="33"/>
        <v>118.329284003155</v>
      </c>
      <c r="AF13" s="62" t="str">
        <f t="shared" si="34"/>
        <v>1+414.893617021278i</v>
      </c>
      <c r="AG13" s="62">
        <f t="shared" si="35"/>
        <v>414.89482214773284</v>
      </c>
      <c r="AH13" s="62">
        <f t="shared" si="36"/>
        <v>1.5683860750519536</v>
      </c>
      <c r="AI13" s="62" t="str">
        <f t="shared" si="37"/>
        <v>1+0.975000000000003i</v>
      </c>
      <c r="AJ13" s="62">
        <f t="shared" si="38"/>
        <v>1.3966477723463442</v>
      </c>
      <c r="AK13" s="62">
        <f t="shared" si="39"/>
        <v>0.77274061156339791</v>
      </c>
      <c r="AL13" s="62" t="str">
        <f t="shared" si="10"/>
        <v>1-0.0679077312874082i</v>
      </c>
      <c r="AM13" s="62">
        <f t="shared" si="40"/>
        <v>1.0023030779003939</v>
      </c>
      <c r="AN13" s="63">
        <f t="shared" si="41"/>
        <v>-6.7803634563897194E-2</v>
      </c>
      <c r="AO13" s="62" t="str">
        <f t="shared" si="42"/>
        <v>0.259437687714653-0.303461966010345i</v>
      </c>
      <c r="AP13" s="62">
        <f t="shared" si="43"/>
        <v>-7.9751964247660432</v>
      </c>
      <c r="AQ13" s="63">
        <f t="shared" si="44"/>
        <v>-49.471989142783173</v>
      </c>
      <c r="AR13" s="62" t="str">
        <f t="shared" si="11"/>
        <v>-1.94444444444444</v>
      </c>
      <c r="AS13" s="62" t="str">
        <f t="shared" si="12"/>
        <v>1+i</v>
      </c>
      <c r="AT13" s="62">
        <f t="shared" si="13"/>
        <v>1.4142135623730951</v>
      </c>
      <c r="AU13" s="62">
        <f t="shared" si="14"/>
        <v>0.78539816339744828</v>
      </c>
      <c r="AV13" s="62" t="str">
        <f t="shared" si="15"/>
        <v>1+i</v>
      </c>
      <c r="AW13" s="62">
        <f t="shared" si="16"/>
        <v>1.4142135623730951</v>
      </c>
      <c r="AX13" s="62">
        <f t="shared" si="17"/>
        <v>0.78539816339744828</v>
      </c>
      <c r="AY13" s="62" t="str">
        <f t="shared" si="18"/>
        <v>1-0.00212765957446808i</v>
      </c>
      <c r="AZ13" s="62">
        <f t="shared" si="19"/>
        <v>1.0000022634650707</v>
      </c>
      <c r="BA13" s="62">
        <f t="shared" si="20"/>
        <v>-2.1276563638844138E-3</v>
      </c>
      <c r="BB13" s="61" t="str">
        <f t="shared" si="45"/>
        <v>-0.970153664302598+0.974290780141842i</v>
      </c>
      <c r="BC13" s="62">
        <f t="shared" si="21"/>
        <v>2.7656304884851135</v>
      </c>
      <c r="BD13" s="63">
        <f t="shared" si="22"/>
        <v>134.87809427009526</v>
      </c>
      <c r="BE13" s="61" t="str">
        <f t="shared" si="46"/>
        <v>0.0972815565078895+0.354311317379019i</v>
      </c>
      <c r="BF13" s="64">
        <f t="shared" si="23"/>
        <v>-8.6966555317147058</v>
      </c>
      <c r="BG13" s="63">
        <f t="shared" si="24"/>
        <v>74.646912185461886</v>
      </c>
      <c r="BH13" s="99" t="str">
        <f t="shared" si="47"/>
        <v>0.0439657722130324+0.547172485463111i</v>
      </c>
      <c r="BI13" s="64">
        <f t="shared" si="25"/>
        <v>-5.2095659362809368</v>
      </c>
      <c r="BJ13" s="63">
        <f t="shared" si="26"/>
        <v>85.406105127312088</v>
      </c>
      <c r="BK13" s="100">
        <f t="shared" si="48"/>
        <v>-8.6966555317147058</v>
      </c>
      <c r="BL13" s="60">
        <f t="shared" si="49"/>
        <v>74.646912185461886</v>
      </c>
    </row>
    <row r="14" spans="1:67" x14ac:dyDescent="0.15">
      <c r="A14" t="s">
        <v>451</v>
      </c>
      <c r="B14" s="29">
        <f>LM5122_Quickstart!I82</f>
        <v>20</v>
      </c>
      <c r="C14" t="s">
        <v>34</v>
      </c>
      <c r="D14" t="s">
        <v>452</v>
      </c>
      <c r="BN14" t="s">
        <v>699</v>
      </c>
      <c r="BO14" s="36">
        <f>SUM(BO19:BO559)</f>
        <v>84.094186915293932</v>
      </c>
    </row>
    <row r="15" spans="1:67" ht="14.25" thickBot="1" x14ac:dyDescent="0.2">
      <c r="A15" t="s">
        <v>453</v>
      </c>
      <c r="B15" s="29">
        <f>B18</f>
        <v>3.76</v>
      </c>
      <c r="C15" t="s">
        <v>33</v>
      </c>
      <c r="D15" t="s">
        <v>454</v>
      </c>
      <c r="N15" s="36" t="s">
        <v>577</v>
      </c>
      <c r="O15">
        <f>B14</f>
        <v>20</v>
      </c>
      <c r="P15" t="s">
        <v>34</v>
      </c>
      <c r="BN15" s="169"/>
      <c r="BO15" s="169"/>
    </row>
    <row r="16" spans="1:67" ht="14.25" thickBot="1" x14ac:dyDescent="0.2">
      <c r="N16" s="106"/>
      <c r="O16" s="259" t="s">
        <v>510</v>
      </c>
      <c r="P16" s="259"/>
      <c r="Q16" s="259"/>
      <c r="R16" s="259"/>
      <c r="S16" s="259"/>
      <c r="T16" s="259"/>
      <c r="U16" s="259"/>
      <c r="V16" s="259"/>
      <c r="W16" s="259"/>
      <c r="X16" s="259"/>
      <c r="Y16" s="259"/>
      <c r="Z16" s="259"/>
      <c r="AA16" s="259"/>
      <c r="AB16" s="259"/>
      <c r="AC16" s="259"/>
      <c r="AD16" s="260"/>
      <c r="AE16" s="265" t="s">
        <v>578</v>
      </c>
      <c r="AF16" s="259"/>
      <c r="AG16" s="259"/>
      <c r="AH16" s="259"/>
      <c r="AI16" s="259"/>
      <c r="AJ16" s="259"/>
      <c r="AK16" s="259"/>
      <c r="AL16" s="259"/>
      <c r="AM16" s="259"/>
      <c r="AN16" s="259"/>
      <c r="AO16" s="259"/>
      <c r="AP16" s="259"/>
      <c r="AQ16" s="260"/>
      <c r="AR16" s="265" t="s">
        <v>490</v>
      </c>
      <c r="AS16" s="259"/>
      <c r="AT16" s="259"/>
      <c r="AU16" s="259"/>
      <c r="AV16" s="259"/>
      <c r="AW16" s="259"/>
      <c r="AX16" s="259"/>
      <c r="AY16" s="259"/>
      <c r="AZ16" s="259"/>
      <c r="BA16" s="259"/>
      <c r="BB16" s="259"/>
      <c r="BC16" s="259"/>
      <c r="BD16" s="260"/>
      <c r="BE16" s="265" t="s">
        <v>547</v>
      </c>
      <c r="BF16" s="259"/>
      <c r="BG16" s="260"/>
      <c r="BH16" s="265" t="s">
        <v>575</v>
      </c>
      <c r="BI16" s="259"/>
      <c r="BJ16" s="260"/>
      <c r="BK16" s="265" t="s">
        <v>548</v>
      </c>
      <c r="BL16" s="260"/>
      <c r="BN16" s="169"/>
      <c r="BO16" s="169"/>
    </row>
    <row r="17" spans="1:67" ht="14.25" x14ac:dyDescent="0.2">
      <c r="A17" t="s">
        <v>222</v>
      </c>
      <c r="B17" s="29">
        <f>VOUT</f>
        <v>60</v>
      </c>
      <c r="C17" t="s">
        <v>34</v>
      </c>
      <c r="E17" t="s">
        <v>216</v>
      </c>
      <c r="N17" s="107"/>
      <c r="P17" s="261" t="s">
        <v>476</v>
      </c>
      <c r="Q17" s="261"/>
      <c r="R17" s="261"/>
      <c r="S17" s="262" t="s">
        <v>478</v>
      </c>
      <c r="T17" s="262"/>
      <c r="U17" s="262"/>
      <c r="V17" s="262" t="s">
        <v>519</v>
      </c>
      <c r="W17" s="262"/>
      <c r="X17" s="262"/>
      <c r="Y17" s="262" t="s">
        <v>511</v>
      </c>
      <c r="Z17" s="262"/>
      <c r="AA17" s="262"/>
      <c r="AB17" s="263" t="s">
        <v>512</v>
      </c>
      <c r="AC17" s="262"/>
      <c r="AD17" s="264"/>
      <c r="AE17" s="101"/>
      <c r="AF17" s="261" t="s">
        <v>476</v>
      </c>
      <c r="AG17" s="261"/>
      <c r="AH17" s="261"/>
      <c r="AI17" s="268" t="s">
        <v>478</v>
      </c>
      <c r="AJ17" s="268"/>
      <c r="AK17" s="268"/>
      <c r="AL17" s="262" t="s">
        <v>519</v>
      </c>
      <c r="AM17" s="262"/>
      <c r="AN17" s="262"/>
      <c r="AO17" s="269" t="s">
        <v>512</v>
      </c>
      <c r="AP17" s="268"/>
      <c r="AQ17" s="270"/>
      <c r="AS17" s="262" t="s">
        <v>498</v>
      </c>
      <c r="AT17" s="262"/>
      <c r="AU17" s="262"/>
      <c r="AV17" s="262" t="s">
        <v>499</v>
      </c>
      <c r="AW17" s="262"/>
      <c r="AX17" s="262"/>
      <c r="AY17" s="262" t="s">
        <v>497</v>
      </c>
      <c r="AZ17" s="262"/>
      <c r="BA17" s="262"/>
      <c r="BB17" s="263" t="s">
        <v>512</v>
      </c>
      <c r="BC17" s="262"/>
      <c r="BD17" s="264"/>
      <c r="BE17" s="263" t="s">
        <v>512</v>
      </c>
      <c r="BF17" s="262"/>
      <c r="BG17" s="264"/>
      <c r="BH17" s="263" t="s">
        <v>512</v>
      </c>
      <c r="BI17" s="262"/>
      <c r="BJ17" s="264"/>
      <c r="BL17" s="60"/>
      <c r="BN17" s="169"/>
      <c r="BO17" s="169"/>
    </row>
    <row r="18" spans="1:67" ht="15" thickBot="1" x14ac:dyDescent="0.25">
      <c r="A18" t="s">
        <v>223</v>
      </c>
      <c r="B18" s="29">
        <f>IOUT_np</f>
        <v>3.76</v>
      </c>
      <c r="C18" t="s">
        <v>33</v>
      </c>
      <c r="E18" t="s">
        <v>468</v>
      </c>
      <c r="M18" s="66"/>
      <c r="N18" s="108" t="s">
        <v>579</v>
      </c>
      <c r="O18" s="96" t="s">
        <v>367</v>
      </c>
      <c r="P18" s="62" t="s">
        <v>513</v>
      </c>
      <c r="Q18" s="96" t="s">
        <v>514</v>
      </c>
      <c r="R18" s="96" t="s">
        <v>515</v>
      </c>
      <c r="S18" s="96" t="s">
        <v>513</v>
      </c>
      <c r="T18" s="96" t="s">
        <v>514</v>
      </c>
      <c r="U18" s="96" t="s">
        <v>515</v>
      </c>
      <c r="V18" s="96" t="s">
        <v>513</v>
      </c>
      <c r="W18" s="96" t="s">
        <v>514</v>
      </c>
      <c r="X18" s="96" t="s">
        <v>515</v>
      </c>
      <c r="Y18" s="96" t="s">
        <v>513</v>
      </c>
      <c r="Z18" s="96" t="s">
        <v>514</v>
      </c>
      <c r="AA18" s="96" t="s">
        <v>515</v>
      </c>
      <c r="AB18" s="97" t="s">
        <v>516</v>
      </c>
      <c r="AC18" s="96" t="s">
        <v>514</v>
      </c>
      <c r="AD18" s="109" t="s">
        <v>515</v>
      </c>
      <c r="AE18" s="96" t="s">
        <v>367</v>
      </c>
      <c r="AF18" s="96" t="s">
        <v>513</v>
      </c>
      <c r="AG18" s="96" t="s">
        <v>550</v>
      </c>
      <c r="AH18" s="96" t="s">
        <v>515</v>
      </c>
      <c r="AI18" s="96" t="s">
        <v>513</v>
      </c>
      <c r="AJ18" s="96" t="s">
        <v>550</v>
      </c>
      <c r="AK18" s="96" t="s">
        <v>515</v>
      </c>
      <c r="AL18" s="96" t="s">
        <v>513</v>
      </c>
      <c r="AM18" s="96" t="s">
        <v>550</v>
      </c>
      <c r="AN18" s="96" t="s">
        <v>515</v>
      </c>
      <c r="AO18" s="97" t="s">
        <v>516</v>
      </c>
      <c r="AP18" s="96" t="s">
        <v>514</v>
      </c>
      <c r="AQ18" s="109" t="s">
        <v>515</v>
      </c>
      <c r="AR18" s="96" t="s">
        <v>549</v>
      </c>
      <c r="AS18" s="96" t="s">
        <v>513</v>
      </c>
      <c r="AT18" s="96" t="s">
        <v>550</v>
      </c>
      <c r="AU18" s="96" t="s">
        <v>515</v>
      </c>
      <c r="AV18" s="96" t="s">
        <v>513</v>
      </c>
      <c r="AW18" s="96" t="s">
        <v>550</v>
      </c>
      <c r="AX18" s="96" t="s">
        <v>515</v>
      </c>
      <c r="AY18" s="96" t="s">
        <v>513</v>
      </c>
      <c r="AZ18" s="96" t="s">
        <v>550</v>
      </c>
      <c r="BA18" s="96" t="s">
        <v>515</v>
      </c>
      <c r="BB18" s="97" t="s">
        <v>516</v>
      </c>
      <c r="BC18" s="96" t="s">
        <v>514</v>
      </c>
      <c r="BD18" s="109" t="s">
        <v>515</v>
      </c>
      <c r="BE18" s="97" t="s">
        <v>516</v>
      </c>
      <c r="BF18" s="96" t="s">
        <v>514</v>
      </c>
      <c r="BG18" s="109" t="s">
        <v>515</v>
      </c>
      <c r="BH18" s="97" t="s">
        <v>516</v>
      </c>
      <c r="BI18" s="96" t="s">
        <v>514</v>
      </c>
      <c r="BJ18" s="109" t="s">
        <v>515</v>
      </c>
      <c r="BK18" s="67" t="s">
        <v>580</v>
      </c>
      <c r="BL18" s="110" t="s">
        <v>581</v>
      </c>
      <c r="BN18" s="169" t="s">
        <v>700</v>
      </c>
      <c r="BO18" s="169" t="s">
        <v>701</v>
      </c>
    </row>
    <row r="19" spans="1:67" ht="14.25" x14ac:dyDescent="0.2">
      <c r="A19" t="s">
        <v>576</v>
      </c>
      <c r="B19" s="21">
        <v>0</v>
      </c>
      <c r="E19" t="s">
        <v>707</v>
      </c>
      <c r="J19" t="s">
        <v>706</v>
      </c>
      <c r="K19" s="174">
        <f>IF(Calculations!B17=2,1,0)</f>
        <v>0</v>
      </c>
      <c r="M19" s="66">
        <v>1</v>
      </c>
      <c r="N19" s="36">
        <f>10^(1+(M19/100))</f>
        <v>10.232929922807543</v>
      </c>
      <c r="O19" s="91" t="str">
        <f>COMPLEX(adc,0)</f>
        <v>99.7340425531915</v>
      </c>
      <c r="P19" s="67" t="str">
        <f>IMSUM(COMPLEX(1,0),IMDIV(COMPLEX(0,2*PI()*N19),COMPLEX(wp_lf,0)))</f>
        <v>1+1.86730242752388i</v>
      </c>
      <c r="Q19" s="67">
        <f>IMABS(P19)</f>
        <v>2.118211121639336</v>
      </c>
      <c r="R19" s="67">
        <f>IMARGUMENT(P19)</f>
        <v>1.0791288835579307</v>
      </c>
      <c r="S19" s="67" t="str">
        <f>IMSUM(COMPLEX(1,0),IMDIV(COMPLEX(0,2*PI()*N19),COMPLEX(wz_esr,0)))</f>
        <v>1+0.0035105285637449i</v>
      </c>
      <c r="T19" s="67">
        <f>IMABS(S19)</f>
        <v>1.000006161886414</v>
      </c>
      <c r="U19" s="67">
        <f>IMARGUMENT(S19)</f>
        <v>3.5105141428215933E-3</v>
      </c>
      <c r="V19" t="str">
        <f>IMSUB(COMPLEX(1,0),IMDIV(COMPLEX(0,2*PI()*N19),COMPLEX(wz_rhp,0)))</f>
        <v>1-0.000362626027463759i</v>
      </c>
      <c r="W19" s="67">
        <f>IMABS(V19)</f>
        <v>1.0000000657488157</v>
      </c>
      <c r="X19" s="67">
        <f>IMARGUMENT(V19)</f>
        <v>-3.6262601156893847E-4</v>
      </c>
      <c r="Y19" t="str">
        <f>IMSUM(COMPLEX(1,0),IMDIV(COMPLEX(0,2*PI()*N19),COMPLEX(Q*(wsl/2),0)),IMDIV(IMPOWER(COMPLEX(0,2*PI()*N19),2),IMPOWER(COMPLEX(wsl/2,0),2)))</f>
        <v>0.999999975215892+0.000560523955890517i</v>
      </c>
      <c r="Z19" s="67">
        <f>IMABS(Y19)</f>
        <v>1.0000001323094361</v>
      </c>
      <c r="AA19" s="67">
        <f>IMARGUMENT(Y19)</f>
        <v>5.6052391107947722E-4</v>
      </c>
      <c r="AB19" s="92" t="str">
        <f>(IMDIV(IMPRODUCT(O19,S19,V19),IMPRODUCT(P19,Y19)))</f>
        <v>22.3356876267939-41.4494341477209i</v>
      </c>
      <c r="AC19" s="37">
        <f>20*LOG(IMABS(AB19))</f>
        <v>33.457536519867162</v>
      </c>
      <c r="AD19" s="60">
        <f>(180/PI())*IMARGUMENT(AB19)</f>
        <v>-61.681285528654911</v>
      </c>
      <c r="AE19" t="str">
        <f>COMPLEX($B$67,0)</f>
        <v>118.329284003155</v>
      </c>
      <c r="AF19" t="str">
        <f>IMSUM(COMPLEX(1,0),IMDIV(COMPLEX(0,2*PI()*N19),COMPLEX(wp_lf_DCM,0)))</f>
        <v>1+1.49384194201911i</v>
      </c>
      <c r="AG19">
        <f>IMABS(AF19)</f>
        <v>1.7976550691763493</v>
      </c>
      <c r="AH19">
        <f>IMARGUMENT(AF19)</f>
        <v>0.98089353778652655</v>
      </c>
      <c r="AI19" t="str">
        <f t="shared" ref="AI19:AI82" si="50">IMSUM(COMPLEX(1,0),IMDIV(COMPLEX(0,2*PI()*N19),COMPLEX(wz1_dcm,0)))</f>
        <v>1+0.0035105285637449i</v>
      </c>
      <c r="AJ19">
        <f>IMABS(AI19)</f>
        <v>1.000006161886414</v>
      </c>
      <c r="AK19">
        <f>IMARGUMENT(AI19)</f>
        <v>3.5105141428215933E-3</v>
      </c>
      <c r="AL19" t="str">
        <f>IMSUB(COMPLEX(1,0),IMDIV(COMPLEX(0,2*PI()*N19),COMPLEX(wz2_dcm,0)))</f>
        <v>1-0.00024450464654724i</v>
      </c>
      <c r="AM19">
        <f>IMABS(AL19)</f>
        <v>1.0000000298912606</v>
      </c>
      <c r="AN19">
        <f>IMARGUMENT(AL19)</f>
        <v>-2.4450464167487203E-4</v>
      </c>
      <c r="AO19" s="58" t="str">
        <f>(IMDIV(IMPRODUCT(AE19,AI19,AL19),IMPRODUCT(AF19)))</f>
        <v>36.7954075419627-54.5800567882109i</v>
      </c>
      <c r="AP19">
        <f>20*LOG(IMABS(AO19))</f>
        <v>36.367771239163631</v>
      </c>
      <c r="AQ19" s="60">
        <f>(180/PI())*IMARGUMENT(AO19)</f>
        <v>-56.013931306558732</v>
      </c>
      <c r="AR19" t="str">
        <f>COMPLEX(adc_ea,0)</f>
        <v>-1.94444444444444</v>
      </c>
      <c r="AS19" t="str">
        <f t="shared" ref="AS19:AS82" si="51">IMSUM(COMPLEX(1,0), IMDIV(COMPLEX(0,2*PI()*N19), COMPLEX(wp0_ea,0)))</f>
        <v>1+0.00360054211666142i</v>
      </c>
      <c r="AT19">
        <f>IMABS(AS19)</f>
        <v>1.0000064819307593</v>
      </c>
      <c r="AU19">
        <f>IMARGUMENT(AS19)</f>
        <v>3.6005265577555524E-3</v>
      </c>
      <c r="AV19" t="str">
        <f t="shared" ref="AV19:AV82" si="52">IMSUM(COMPLEX(1,0),IMDIV(COMPLEX(0,2*PI()*N19),COMPLEX(wp1_ea,0)))</f>
        <v>1+0.00360054211666142i</v>
      </c>
      <c r="AW19">
        <f>IMABS(AV19)</f>
        <v>1.0000064819307593</v>
      </c>
      <c r="AX19">
        <f>IMARGUMENT(AV19)</f>
        <v>3.6005265577555524E-3</v>
      </c>
      <c r="AY19" t="str">
        <f t="shared" ref="AY19:AY82" si="53">IMSUM(COMPLEX(1,0),IMDIV(COMPLEX(wz_ea,0),COMPLEX(0,2*PI()*N19)))</f>
        <v>1-0.590927561886414i</v>
      </c>
      <c r="AZ19">
        <f>IMABS(AY19)</f>
        <v>1.161548700398318</v>
      </c>
      <c r="BA19">
        <f>IMARGUMENT(AY19)</f>
        <v>-0.53372188211506733</v>
      </c>
      <c r="BB19" s="58" t="str">
        <f>IMDIV(IMPRODUCT(AR19,AY19), AS19)</f>
        <v>-1.94028217497425+1.15601188246834i</v>
      </c>
      <c r="BC19">
        <f>20*LOG(IMABS(BB19))</f>
        <v>7.076602948532611</v>
      </c>
      <c r="BD19" s="60">
        <f>(180/PI())*IMARGUMENT(BB19)</f>
        <v>149.21369374524355</v>
      </c>
      <c r="BE19" s="58" t="str">
        <f>IMPRODUCT(AB19,BB19)</f>
        <v>4.57850182829323+106.243918539267i</v>
      </c>
      <c r="BF19" s="37">
        <f>20*LOG(IMABS(BE19))</f>
        <v>40.5341394683998</v>
      </c>
      <c r="BG19" s="60">
        <f>(180/PI())*IMARGUMENT(BE19)</f>
        <v>87.532408216588664</v>
      </c>
      <c r="BH19" s="58" t="str">
        <f>IMPRODUCT(AO19,BB19)</f>
        <v>-8.29827918161474+148.436639634022i</v>
      </c>
      <c r="BI19" s="37">
        <f>20*LOG(IMABS(BH19))</f>
        <v>43.444374187696241</v>
      </c>
      <c r="BJ19" s="60">
        <f>(180/PI())*IMARGUMENT(BH19)</f>
        <v>93.199762438684829</v>
      </c>
      <c r="BK19">
        <f>IF($B$19=0,BF19,BI19)</f>
        <v>40.5341394683998</v>
      </c>
      <c r="BL19" s="60">
        <f>IF($B$19=0,BG19,BJ19)</f>
        <v>87.532408216588664</v>
      </c>
      <c r="BN19">
        <f>SUM((BK20&lt;0)*(BK19&gt;0))*N19</f>
        <v>0</v>
      </c>
      <c r="BO19">
        <f>IF(BN19&gt;0,BL19,0)</f>
        <v>0</v>
      </c>
    </row>
    <row r="20" spans="1:67" ht="14.25" x14ac:dyDescent="0.2">
      <c r="A20" t="s">
        <v>455</v>
      </c>
      <c r="M20" s="66">
        <v>2</v>
      </c>
      <c r="N20" s="36">
        <f t="shared" ref="N20:N83" si="54">10^(1+(M20/100))</f>
        <v>10.471285480509</v>
      </c>
      <c r="O20" s="91" t="str">
        <f t="shared" ref="O20:O82" si="55">COMPLEX(adc,0)</f>
        <v>99.7340425531915</v>
      </c>
      <c r="P20" s="67" t="str">
        <f t="shared" ref="P20:P82" si="56">IMSUM(COMPLEX(1,0),IMDIV(COMPLEX(0,2*PI()*N20),COMPLEX(wp_lf,0)))</f>
        <v>1+1.91079748855403i</v>
      </c>
      <c r="Q20" s="67">
        <f t="shared" ref="Q20:Q83" si="57">IMABS(P20)</f>
        <v>2.1566518129416226</v>
      </c>
      <c r="R20" s="67">
        <f t="shared" ref="R20:R83" si="58">IMARGUMENT(P20)</f>
        <v>1.0886502050086788</v>
      </c>
      <c r="S20" s="67" t="str">
        <f t="shared" ref="S20:S82" si="59">IMSUM(COMPLEX(1,0),IMDIV(COMPLEX(0,2*PI()*N20),COMPLEX(wz_esr,0)))</f>
        <v>1+0.00359229927848158i</v>
      </c>
      <c r="T20" s="67">
        <f t="shared" ref="T20:T83" si="60">IMABS(S20)</f>
        <v>1.0000064522862371</v>
      </c>
      <c r="U20" s="67">
        <f t="shared" ref="U20:U83" si="61">IMARGUMENT(S20)</f>
        <v>3.5922838261892424E-3</v>
      </c>
      <c r="V20" t="str">
        <f t="shared" ref="V20:V82" si="62">IMSUB(COMPLEX(1,0),IMDIV(COMPLEX(0,2*PI()*N20),COMPLEX(wz_rhp,0)))</f>
        <v>1-0.000371072672722273i</v>
      </c>
      <c r="W20" s="67">
        <f t="shared" ref="W20:W83" si="63">IMABS(V20)</f>
        <v>1.0000000688474617</v>
      </c>
      <c r="X20" s="67">
        <f t="shared" ref="X20:X83" si="64">IMARGUMENT(V20)</f>
        <v>-3.71072655690666E-4</v>
      </c>
      <c r="Y20" t="str">
        <f t="shared" ref="Y20:Y82" si="65">IMSUM(COMPLEX(1,0),IMDIV(COMPLEX(0,2*PI()*N20),COMPLEX(Q*(wsl/2),0)),IMDIV(IMPOWER(COMPLEX(0,2*PI()*N20),2),IMPOWER(COMPLEX(wsl/2,0),2)))</f>
        <v>0.999999974047853+0.000573580236068252i</v>
      </c>
      <c r="Z20" s="67">
        <f t="shared" ref="Z20:Z83" si="66">IMABS(Y20)</f>
        <v>1.0000001385449873</v>
      </c>
      <c r="AA20" s="67">
        <f t="shared" ref="AA20:AA83" si="67">IMARGUMENT(Y20)</f>
        <v>5.7358018805235816E-4</v>
      </c>
      <c r="AB20" s="92" t="str">
        <f t="shared" ref="AB20:AB83" si="68">(IMDIV(IMPRODUCT(O20,S20,V20),IMPRODUCT(P20,Y20)))</f>
        <v>21.5514354692865-40.9163684515074i</v>
      </c>
      <c r="AC20" s="37">
        <f t="shared" ref="AC20:AC83" si="69">20*LOG(IMABS(AB20))</f>
        <v>33.301323198296529</v>
      </c>
      <c r="AD20" s="60">
        <f t="shared" ref="AD20:AD83" si="70">(180/PI())*IMARGUMENT(AB20)</f>
        <v>-62.223364032046852</v>
      </c>
      <c r="AE20" t="str">
        <f t="shared" ref="AE20:AE83" si="71">COMPLEX($B$67,0)</f>
        <v>118.329284003155</v>
      </c>
      <c r="AF20" t="str">
        <f t="shared" ref="AF20:AF82" si="72">IMSUM(COMPLEX(1,0),IMDIV(COMPLEX(0,2*PI()*N20),COMPLEX(wp_lf_DCM,0)))</f>
        <v>1+1.52863799084322i</v>
      </c>
      <c r="AG20">
        <f t="shared" ref="AG20:AG83" si="73">IMABS(AF20)</f>
        <v>1.8266729611644215</v>
      </c>
      <c r="AH20">
        <f t="shared" ref="AH20:AH83" si="74">IMARGUMENT(AF20)</f>
        <v>0.99149024403405728</v>
      </c>
      <c r="AI20" t="str">
        <f t="shared" si="50"/>
        <v>1+0.00359229927848158i</v>
      </c>
      <c r="AJ20">
        <f t="shared" ref="AJ20:AJ83" si="75">IMABS(AI20)</f>
        <v>1.0000064522862371</v>
      </c>
      <c r="AK20">
        <f t="shared" ref="AK20:AK83" si="76">IMARGUMENT(AI20)</f>
        <v>3.5922838261892424E-3</v>
      </c>
      <c r="AL20" t="str">
        <f t="shared" ref="AL20:AL82" si="77">IMSUB(COMPLEX(1,0),IMDIV(COMPLEX(0,2*PI()*N20),COMPLEX(wz2_dcm,0)))</f>
        <v>1-0.000250199891391873i</v>
      </c>
      <c r="AM20">
        <f t="shared" ref="AM20:AM83" si="78">IMABS(AL20)</f>
        <v>1.0000000312999924</v>
      </c>
      <c r="AN20">
        <f t="shared" ref="AN20:AN83" si="79">IMARGUMENT(AL20)</f>
        <v>-2.5019988617103667E-4</v>
      </c>
      <c r="AO20" s="58" t="str">
        <f t="shared" ref="AO20:AO83" si="80">(IMDIV(IMPRODUCT(AE20,AI20,AL20),IMPRODUCT(AF20)))</f>
        <v>35.6438104739019-54.0910146012801i</v>
      </c>
      <c r="AP20">
        <f t="shared" ref="AP20:AP83" si="81">20*LOG(IMABS(AO20))</f>
        <v>36.228685042803242</v>
      </c>
      <c r="AQ20" s="60">
        <f t="shared" ref="AQ20:AQ83" si="82">(180/PI())*IMARGUMENT(AO20)</f>
        <v>-56.616719107005977</v>
      </c>
      <c r="AR20" t="str">
        <f t="shared" ref="AR20:AR82" si="83">COMPLEX(adc_ea,0)</f>
        <v>-1.94444444444444</v>
      </c>
      <c r="AS20" t="str">
        <f t="shared" si="51"/>
        <v>1+0.00368440951639135i</v>
      </c>
      <c r="AT20">
        <f t="shared" ref="AT20:AT83" si="84">IMABS(AS20)</f>
        <v>1.0000067874137077</v>
      </c>
      <c r="AU20">
        <f t="shared" ref="AU20:AU83" si="85">IMARGUMENT(AS20)</f>
        <v>3.6843928447294555E-3</v>
      </c>
      <c r="AV20" t="str">
        <f t="shared" si="52"/>
        <v>1+0.00368440951639135i</v>
      </c>
      <c r="AW20">
        <f t="shared" ref="AW20:AW83" si="86">IMABS(AV20)</f>
        <v>1.0000067874137077</v>
      </c>
      <c r="AX20">
        <f t="shared" ref="AX20:AX83" si="87">IMARGUMENT(AV20)</f>
        <v>3.6843928447294555E-3</v>
      </c>
      <c r="AY20" t="str">
        <f t="shared" si="53"/>
        <v>1-0.577476408364071i</v>
      </c>
      <c r="AZ20">
        <f t="shared" ref="AZ20:AZ83" si="88">IMABS(AY20)</f>
        <v>1.1547636131334704</v>
      </c>
      <c r="BA20">
        <f t="shared" ref="BA20:BA83" si="89">IMARGUMENT(AY20)</f>
        <v>-0.5236933748118543</v>
      </c>
      <c r="BB20" s="58" t="str">
        <f t="shared" ref="BB20:BB83" si="90">IMDIV(IMPRODUCT(AR20,AY20), AS20)</f>
        <v>-1.94028098953624+1.13001958378357i</v>
      </c>
      <c r="BC20">
        <f t="shared" ref="BC20:BC83" si="91">20*LOG(IMABS(BB20))</f>
        <v>7.0257136445223445</v>
      </c>
      <c r="BD20" s="60">
        <f t="shared" ref="BD20:BD83" si="92">(180/PI())*IMARGUMENT(BB20)</f>
        <v>149.78347970424676</v>
      </c>
      <c r="BE20" s="58" t="str">
        <f t="shared" ref="BE20:BE83" si="93">IMPRODUCT(AB20,BB20)</f>
        <v>4.42045710923396+103.742796006262i</v>
      </c>
      <c r="BF20" s="37">
        <f t="shared" ref="BF20:BF83" si="94">20*LOG(IMABS(BE20))</f>
        <v>40.327036842818899</v>
      </c>
      <c r="BG20" s="60">
        <f t="shared" ref="BG20:BG83" si="95">(180/PI())*IMARGUMENT(BE20)</f>
        <v>87.560115672199927</v>
      </c>
      <c r="BH20" s="58" t="str">
        <f t="shared" ref="BH20:BH83" si="96">IMPRODUCT(AO20,BB20)</f>
        <v>-8.03510205097503+145.22997121177i</v>
      </c>
      <c r="BI20" s="37">
        <f t="shared" ref="BI20:BI83" si="97">20*LOG(IMABS(BH20))</f>
        <v>43.254398687325583</v>
      </c>
      <c r="BJ20" s="60">
        <f t="shared" ref="BJ20:BJ83" si="98">(180/PI())*IMARGUMENT(BH20)</f>
        <v>93.166760597240781</v>
      </c>
      <c r="BK20">
        <f t="shared" ref="BK20:BK83" si="99">IF($B$19=0,BF20,BI20)</f>
        <v>40.327036842818899</v>
      </c>
      <c r="BL20" s="60">
        <f t="shared" ref="BL20:BL83" si="100">IF($B$19=0,BG20,BJ20)</f>
        <v>87.560115672199927</v>
      </c>
      <c r="BN20">
        <f>SUM((BK21&lt;0)*(BK20&gt;0))*N20</f>
        <v>0</v>
      </c>
      <c r="BO20">
        <f>IF(BN20&gt;0,BL20,0)</f>
        <v>0</v>
      </c>
    </row>
    <row r="21" spans="1:67" ht="14.25" x14ac:dyDescent="0.2">
      <c r="A21" t="s">
        <v>456</v>
      </c>
      <c r="B21" s="29">
        <f>Lm</f>
        <v>1.0000000000000001E-5</v>
      </c>
      <c r="C21" t="s">
        <v>246</v>
      </c>
      <c r="E21" t="s">
        <v>457</v>
      </c>
      <c r="M21" s="66">
        <v>3</v>
      </c>
      <c r="N21" s="36">
        <f t="shared" si="54"/>
        <v>10.715193052376069</v>
      </c>
      <c r="O21" s="91" t="str">
        <f t="shared" si="55"/>
        <v>99.7340425531915</v>
      </c>
      <c r="P21" s="67" t="str">
        <f t="shared" si="56"/>
        <v>1+1.955305679705i</v>
      </c>
      <c r="Q21" s="67">
        <f t="shared" si="57"/>
        <v>2.1961831210276235</v>
      </c>
      <c r="R21" s="67">
        <f t="shared" si="58"/>
        <v>1.0980473894777849</v>
      </c>
      <c r="S21" s="67" t="str">
        <f t="shared" si="59"/>
        <v>1+0.00367597467784541i</v>
      </c>
      <c r="T21" s="67">
        <f t="shared" si="60"/>
        <v>1.0000067563720918</v>
      </c>
      <c r="U21" s="67">
        <f t="shared" si="61"/>
        <v>3.6759581204219016E-3</v>
      </c>
      <c r="V21" t="str">
        <f t="shared" si="62"/>
        <v>1-0.000379716065623591i</v>
      </c>
      <c r="W21" s="67">
        <f t="shared" si="63"/>
        <v>1.0000000720921427</v>
      </c>
      <c r="X21" s="67">
        <f t="shared" si="64"/>
        <v>-3.7971604737389538E-4</v>
      </c>
      <c r="Y21" t="str">
        <f t="shared" si="65"/>
        <v>0.999999972824766+0.000586940636079383i</v>
      </c>
      <c r="Z21" s="67">
        <f t="shared" si="66"/>
        <v>1.0000001450744109</v>
      </c>
      <c r="AA21" s="67">
        <f t="shared" si="67"/>
        <v>5.8694058462942624E-4</v>
      </c>
      <c r="AB21" s="92" t="str">
        <f t="shared" si="68"/>
        <v>20.7874992317589-40.3757042494429i</v>
      </c>
      <c r="AC21" s="37">
        <f t="shared" si="69"/>
        <v>33.143555518786009</v>
      </c>
      <c r="AD21" s="60">
        <f t="shared" si="70"/>
        <v>-62.758249581719888</v>
      </c>
      <c r="AE21" t="str">
        <f t="shared" si="71"/>
        <v>118.329284003155</v>
      </c>
      <c r="AF21" t="str">
        <f t="shared" si="72"/>
        <v>1+1.564244543764i</v>
      </c>
      <c r="AG21">
        <f t="shared" si="73"/>
        <v>1.856572377445987</v>
      </c>
      <c r="AH21">
        <f t="shared" si="74"/>
        <v>1.0019896620307212</v>
      </c>
      <c r="AI21" t="str">
        <f t="shared" si="50"/>
        <v>1+0.00367597467784541i</v>
      </c>
      <c r="AJ21">
        <f t="shared" si="75"/>
        <v>1.0000067563720918</v>
      </c>
      <c r="AK21">
        <f t="shared" si="76"/>
        <v>3.6759581204219016E-3</v>
      </c>
      <c r="AL21" t="str">
        <f t="shared" si="77"/>
        <v>1-0.00025602779553071i</v>
      </c>
      <c r="AM21">
        <f t="shared" si="78"/>
        <v>1.0000000327751155</v>
      </c>
      <c r="AN21">
        <f t="shared" si="79"/>
        <v>-2.5602778993648312E-4</v>
      </c>
      <c r="AO21" s="58" t="str">
        <f t="shared" si="80"/>
        <v>34.513261165243-53.5825005993202i</v>
      </c>
      <c r="AP21">
        <f t="shared" si="81"/>
        <v>36.087666010301525</v>
      </c>
      <c r="AQ21" s="60">
        <f t="shared" si="82"/>
        <v>-57.213831175934473</v>
      </c>
      <c r="AR21" t="str">
        <f t="shared" si="83"/>
        <v>-1.94444444444444</v>
      </c>
      <c r="AS21" t="str">
        <f t="shared" si="51"/>
        <v>1+0.00377023043881579i</v>
      </c>
      <c r="AT21">
        <f t="shared" si="84"/>
        <v>1.0000071072935239</v>
      </c>
      <c r="AU21">
        <f t="shared" si="85"/>
        <v>3.7702125748150773E-3</v>
      </c>
      <c r="AV21" t="str">
        <f t="shared" si="52"/>
        <v>1+0.00377023043881579i</v>
      </c>
      <c r="AW21">
        <f t="shared" si="86"/>
        <v>1.0000071072935239</v>
      </c>
      <c r="AX21">
        <f t="shared" si="87"/>
        <v>3.7702125748150773E-3</v>
      </c>
      <c r="AY21" t="str">
        <f t="shared" si="53"/>
        <v>1-0.564331440477248i</v>
      </c>
      <c r="AZ21">
        <f t="shared" si="88"/>
        <v>1.1482464782054094</v>
      </c>
      <c r="BA21">
        <f t="shared" si="89"/>
        <v>-0.51377961413406426</v>
      </c>
      <c r="BB21" s="58" t="str">
        <f t="shared" si="90"/>
        <v>-1.94027974823181+1.10462643602791i</v>
      </c>
      <c r="BC21">
        <f t="shared" si="91"/>
        <v>6.9765514932804091</v>
      </c>
      <c r="BD21" s="60">
        <f t="shared" si="92"/>
        <v>150.34657924185422</v>
      </c>
      <c r="BE21" s="58" t="str">
        <f t="shared" si="93"/>
        <v>4.26650651141295+101.302582466102i</v>
      </c>
      <c r="BF21" s="37">
        <f t="shared" si="94"/>
        <v>40.120107012066427</v>
      </c>
      <c r="BG21" s="60">
        <f t="shared" si="95"/>
        <v>87.588329660134349</v>
      </c>
      <c r="BH21" s="58" t="str">
        <f t="shared" si="96"/>
        <v>-7.77673501386596+142.089301449143i</v>
      </c>
      <c r="BI21" s="37">
        <f t="shared" si="97"/>
        <v>43.064217503581958</v>
      </c>
      <c r="BJ21" s="60">
        <f t="shared" si="98"/>
        <v>93.132748065919742</v>
      </c>
      <c r="BK21">
        <f t="shared" si="99"/>
        <v>40.120107012066427</v>
      </c>
      <c r="BL21" s="60">
        <f t="shared" si="100"/>
        <v>87.588329660134349</v>
      </c>
      <c r="BN21">
        <f t="shared" ref="BN21:BN84" si="101">SUM((BK22&lt;0)*(BK21&gt;0))*N21</f>
        <v>0</v>
      </c>
      <c r="BO21">
        <f t="shared" ref="BO21:BO84" si="102">IF(BN21&gt;0,BL21,0)</f>
        <v>0</v>
      </c>
    </row>
    <row r="22" spans="1:67" ht="14.25" x14ac:dyDescent="0.2">
      <c r="M22" s="66">
        <v>4</v>
      </c>
      <c r="N22" s="36">
        <f t="shared" si="54"/>
        <v>10.964781961431854</v>
      </c>
      <c r="O22" s="91" t="str">
        <f t="shared" si="55"/>
        <v>99.7340425531915</v>
      </c>
      <c r="P22" s="67" t="str">
        <f t="shared" si="56"/>
        <v>1+2.00085059980889i</v>
      </c>
      <c r="Q22" s="67">
        <f t="shared" si="57"/>
        <v>2.2368288094433142</v>
      </c>
      <c r="R22" s="67">
        <f t="shared" si="58"/>
        <v>1.1073187798923132</v>
      </c>
      <c r="S22" s="67" t="str">
        <f t="shared" si="59"/>
        <v>1+0.00376159912764071i</v>
      </c>
      <c r="T22" s="67">
        <f t="shared" si="60"/>
        <v>1.0000070747889722</v>
      </c>
      <c r="U22" s="67">
        <f t="shared" si="61"/>
        <v>3.7615813860485551E-3</v>
      </c>
      <c r="V22" t="str">
        <f t="shared" si="62"/>
        <v>1-0.00038856078900904i</v>
      </c>
      <c r="W22" s="67">
        <f t="shared" si="63"/>
        <v>1.0000000754897405</v>
      </c>
      <c r="X22" s="67">
        <f t="shared" si="64"/>
        <v>-3.8856076945413895E-4</v>
      </c>
      <c r="Y22" t="str">
        <f t="shared" si="65"/>
        <v>0.999999971544037+0.000600612239784841i</v>
      </c>
      <c r="Z22" s="67">
        <f t="shared" si="66"/>
        <v>1.0000001519115571</v>
      </c>
      <c r="AA22" s="67">
        <f t="shared" si="67"/>
        <v>6.0061218465521933E-4</v>
      </c>
      <c r="AB22" s="92" t="str">
        <f t="shared" si="68"/>
        <v>20.0438781631763-39.8283005639036i</v>
      </c>
      <c r="AC22" s="37">
        <f t="shared" si="69"/>
        <v>32.984274290078368</v>
      </c>
      <c r="AD22" s="60">
        <f t="shared" si="70"/>
        <v>-63.285845361168676</v>
      </c>
      <c r="AE22" t="str">
        <f t="shared" si="71"/>
        <v>118.329284003155</v>
      </c>
      <c r="AF22" t="str">
        <f t="shared" si="72"/>
        <v>1+1.60068047984711i</v>
      </c>
      <c r="AG22">
        <f t="shared" si="73"/>
        <v>1.8873733066257916</v>
      </c>
      <c r="AH22">
        <f t="shared" si="74"/>
        <v>1.0123880990324663</v>
      </c>
      <c r="AI22" t="str">
        <f t="shared" si="50"/>
        <v>1+0.00376159912764071i</v>
      </c>
      <c r="AJ22">
        <f t="shared" si="75"/>
        <v>1.0000070747889722</v>
      </c>
      <c r="AK22">
        <f t="shared" si="76"/>
        <v>3.7615813860485551E-3</v>
      </c>
      <c r="AL22" t="str">
        <f t="shared" si="77"/>
        <v>1-0.000261991448995665i</v>
      </c>
      <c r="AM22">
        <f t="shared" si="78"/>
        <v>1.000000034319759</v>
      </c>
      <c r="AN22">
        <f t="shared" si="79"/>
        <v>-2.619914430013429E-4</v>
      </c>
      <c r="AO22" s="58" t="str">
        <f t="shared" si="80"/>
        <v>33.4043532270814-53.055590081601i</v>
      </c>
      <c r="AP22">
        <f t="shared" si="81"/>
        <v>35.944750312459199</v>
      </c>
      <c r="AQ22" s="60">
        <f t="shared" si="82"/>
        <v>-57.805053570069717</v>
      </c>
      <c r="AR22" t="str">
        <f t="shared" si="83"/>
        <v>-1.94444444444444</v>
      </c>
      <c r="AS22" t="str">
        <f t="shared" si="51"/>
        <v>1+0.00385805038732379i</v>
      </c>
      <c r="AT22">
        <f t="shared" si="84"/>
        <v>1.000007442248702</v>
      </c>
      <c r="AU22">
        <f t="shared" si="85"/>
        <v>3.858031245709851E-3</v>
      </c>
      <c r="AV22" t="str">
        <f t="shared" si="52"/>
        <v>1+0.00385805038732379i</v>
      </c>
      <c r="AW22">
        <f t="shared" si="86"/>
        <v>1.000007442248702</v>
      </c>
      <c r="AX22">
        <f t="shared" si="87"/>
        <v>3.858031245709851E-3</v>
      </c>
      <c r="AY22" t="str">
        <f t="shared" si="53"/>
        <v>1-0.551485688589975i</v>
      </c>
      <c r="AZ22">
        <f t="shared" si="88"/>
        <v>1.141987944209377</v>
      </c>
      <c r="BA22">
        <f t="shared" si="89"/>
        <v>-0.50398313912623394</v>
      </c>
      <c r="BB22" s="58" t="str">
        <f t="shared" si="90"/>
        <v>-1.9402784484282+1.07981897538886i</v>
      </c>
      <c r="BC22">
        <f t="shared" si="91"/>
        <v>6.9290765257121247</v>
      </c>
      <c r="BD22" s="60">
        <f t="shared" si="92"/>
        <v>150.9028442747036</v>
      </c>
      <c r="BE22" s="58" t="str">
        <f t="shared" si="93"/>
        <v>4.11664988346236+98.9217532026431i</v>
      </c>
      <c r="BF22" s="37">
        <f t="shared" si="94"/>
        <v>39.913350815790494</v>
      </c>
      <c r="BG22" s="60">
        <f t="shared" si="95"/>
        <v>87.616998913534914</v>
      </c>
      <c r="BH22" s="58" t="str">
        <f t="shared" si="96"/>
        <v>-7.52331372962329+139.013272479166i</v>
      </c>
      <c r="BI22" s="37">
        <f t="shared" si="97"/>
        <v>42.873826838171325</v>
      </c>
      <c r="BJ22" s="60">
        <f t="shared" si="98"/>
        <v>93.097790704633894</v>
      </c>
      <c r="BK22">
        <f t="shared" si="99"/>
        <v>39.913350815790494</v>
      </c>
      <c r="BL22" s="60">
        <f t="shared" si="100"/>
        <v>87.616998913534914</v>
      </c>
      <c r="BN22">
        <f t="shared" si="101"/>
        <v>0</v>
      </c>
      <c r="BO22">
        <f t="shared" si="102"/>
        <v>0</v>
      </c>
    </row>
    <row r="23" spans="1:67" ht="15" x14ac:dyDescent="0.25">
      <c r="A23" t="s">
        <v>458</v>
      </c>
      <c r="B23" s="29">
        <f>Rcs</f>
        <v>2E-3</v>
      </c>
      <c r="C23" s="70" t="s">
        <v>459</v>
      </c>
      <c r="E23" t="s">
        <v>693</v>
      </c>
      <c r="M23" s="66">
        <v>5</v>
      </c>
      <c r="N23" s="36">
        <f t="shared" si="54"/>
        <v>11.220184543019636</v>
      </c>
      <c r="O23" s="91" t="str">
        <f t="shared" si="55"/>
        <v>99.7340425531915</v>
      </c>
      <c r="P23" s="67" t="str">
        <f t="shared" si="56"/>
        <v>1+2.04745639738518i</v>
      </c>
      <c r="Q23" s="67">
        <f t="shared" si="57"/>
        <v>2.2786131087118542</v>
      </c>
      <c r="R23" s="67">
        <f t="shared" si="58"/>
        <v>1.1164629154929093</v>
      </c>
      <c r="S23" s="67" t="str">
        <f t="shared" si="59"/>
        <v>1+0.00384921802708413i</v>
      </c>
      <c r="T23" s="67">
        <f t="shared" si="60"/>
        <v>1.0000074082122692</v>
      </c>
      <c r="U23" s="67">
        <f t="shared" si="61"/>
        <v>3.8491990166332367E-3</v>
      </c>
      <c r="V23" t="str">
        <f t="shared" si="62"/>
        <v>1-0.000397611532468031i</v>
      </c>
      <c r="W23" s="67">
        <f t="shared" si="63"/>
        <v>1.0000000790474621</v>
      </c>
      <c r="X23" s="67">
        <f t="shared" si="64"/>
        <v>-3.9761151151457709E-4</v>
      </c>
      <c r="Y23" t="str">
        <f t="shared" si="65"/>
        <v>0.999999970202949+0.000614602296049876i</v>
      </c>
      <c r="Z23" s="67">
        <f t="shared" si="66"/>
        <v>1.000000159070928</v>
      </c>
      <c r="AA23" s="67">
        <f t="shared" si="67"/>
        <v>6.146022369774225E-4</v>
      </c>
      <c r="AB23" s="92" t="str">
        <f t="shared" si="68"/>
        <v>19.3205296354543-39.2749962996062i</v>
      </c>
      <c r="AC23" s="37">
        <f t="shared" si="69"/>
        <v>32.823520277231935</v>
      </c>
      <c r="AD23" s="60">
        <f t="shared" si="70"/>
        <v>-63.806065758209591</v>
      </c>
      <c r="AE23" t="str">
        <f t="shared" si="71"/>
        <v>118.329284003155</v>
      </c>
      <c r="AF23" t="str">
        <f t="shared" si="72"/>
        <v>1+1.63796511790814i</v>
      </c>
      <c r="AG23">
        <f t="shared" si="73"/>
        <v>1.9190960704153994</v>
      </c>
      <c r="AH23">
        <f t="shared" si="74"/>
        <v>1.0226820732698185</v>
      </c>
      <c r="AI23" t="str">
        <f t="shared" si="50"/>
        <v>1+0.00384921802708413i</v>
      </c>
      <c r="AJ23">
        <f t="shared" si="75"/>
        <v>1.0000074082122692</v>
      </c>
      <c r="AK23">
        <f t="shared" si="76"/>
        <v>3.8491990166332367E-3</v>
      </c>
      <c r="AL23" t="str">
        <f t="shared" si="77"/>
        <v>1-0.000268094013794745i</v>
      </c>
      <c r="AM23">
        <f t="shared" si="78"/>
        <v>1.0000000359371994</v>
      </c>
      <c r="AN23">
        <f t="shared" si="79"/>
        <v>-2.6809400737171313E-4</v>
      </c>
      <c r="AO23" s="58" t="str">
        <f t="shared" si="80"/>
        <v>32.3176127848373-52.5113705952066i</v>
      </c>
      <c r="AP23">
        <f t="shared" si="81"/>
        <v>35.799975068641984</v>
      </c>
      <c r="AQ23" s="60">
        <f t="shared" si="82"/>
        <v>-58.390184379025577</v>
      </c>
      <c r="AR23" t="str">
        <f t="shared" si="83"/>
        <v>-1.94444444444444</v>
      </c>
      <c r="AS23" t="str">
        <f t="shared" si="51"/>
        <v>1+0.00394791592521448i</v>
      </c>
      <c r="AT23">
        <f t="shared" si="84"/>
        <v>1.0000077929897109</v>
      </c>
      <c r="AU23">
        <f t="shared" si="85"/>
        <v>3.9478954146142439E-3</v>
      </c>
      <c r="AV23" t="str">
        <f t="shared" si="52"/>
        <v>1+0.00394791592521448i</v>
      </c>
      <c r="AW23">
        <f t="shared" si="86"/>
        <v>1.0000077929897109</v>
      </c>
      <c r="AX23">
        <f t="shared" si="87"/>
        <v>3.9478954146142439E-3</v>
      </c>
      <c r="AY23" t="str">
        <f t="shared" si="53"/>
        <v>1-0.538932341714569i</v>
      </c>
      <c r="AZ23">
        <f t="shared" si="88"/>
        <v>1.1359789033894727</v>
      </c>
      <c r="BA23">
        <f t="shared" si="89"/>
        <v>-0.49430627769209945</v>
      </c>
      <c r="BB23" s="58" t="str">
        <f t="shared" si="90"/>
        <v>-1.94027708736861+1.05558404859088i</v>
      </c>
      <c r="BC23">
        <f t="shared" si="91"/>
        <v>6.8832484168479624</v>
      </c>
      <c r="BD23" s="60">
        <f t="shared" si="92"/>
        <v>151.45213875620459</v>
      </c>
      <c r="BE23" s="58" t="str">
        <f t="shared" si="93"/>
        <v>3.97087863483197+96.5988183201258i</v>
      </c>
      <c r="BF23" s="37">
        <f t="shared" si="94"/>
        <v>39.706768694079898</v>
      </c>
      <c r="BG23" s="60">
        <f t="shared" si="95"/>
        <v>87.646072997994992</v>
      </c>
      <c r="BH23" s="58" t="str">
        <f t="shared" si="96"/>
        <v>-7.2749584349264+136.000565736412i</v>
      </c>
      <c r="BI23" s="37">
        <f t="shared" si="97"/>
        <v>42.683223485489947</v>
      </c>
      <c r="BJ23" s="60">
        <f t="shared" si="98"/>
        <v>93.061954377179006</v>
      </c>
      <c r="BK23">
        <f t="shared" si="99"/>
        <v>39.706768694079898</v>
      </c>
      <c r="BL23" s="60">
        <f t="shared" si="100"/>
        <v>87.646072997994992</v>
      </c>
      <c r="BN23">
        <f t="shared" si="101"/>
        <v>0</v>
      </c>
      <c r="BO23">
        <f t="shared" si="102"/>
        <v>0</v>
      </c>
    </row>
    <row r="24" spans="1:67" ht="15" x14ac:dyDescent="0.25">
      <c r="A24" t="s">
        <v>460</v>
      </c>
      <c r="B24" s="29">
        <f>Rslope</f>
        <v>40200</v>
      </c>
      <c r="C24" s="70" t="s">
        <v>459</v>
      </c>
      <c r="E24" t="s">
        <v>475</v>
      </c>
      <c r="M24" s="66">
        <v>6</v>
      </c>
      <c r="N24" s="36">
        <f t="shared" si="54"/>
        <v>11.481536214968834</v>
      </c>
      <c r="O24" s="91" t="str">
        <f t="shared" si="55"/>
        <v>99.7340425531915</v>
      </c>
      <c r="P24" s="67" t="str">
        <f t="shared" si="56"/>
        <v>1+2.09514778344465i</v>
      </c>
      <c r="Q24" s="67">
        <f t="shared" si="57"/>
        <v>2.3215607324541456</v>
      </c>
      <c r="R24" s="67">
        <f t="shared" si="58"/>
        <v>1.1254785269546832</v>
      </c>
      <c r="S24" s="67" t="str">
        <f t="shared" si="59"/>
        <v>1+0.00393887783287594i</v>
      </c>
      <c r="T24" s="67">
        <f t="shared" si="60"/>
        <v>1.000007757349203</v>
      </c>
      <c r="U24" s="67">
        <f t="shared" si="61"/>
        <v>3.9388574628193406E-3</v>
      </c>
      <c r="V24" t="str">
        <f t="shared" si="62"/>
        <v>1-0.000406873094824548i</v>
      </c>
      <c r="W24" s="67">
        <f t="shared" si="63"/>
        <v>1.0000000827728543</v>
      </c>
      <c r="X24" s="67">
        <f t="shared" si="64"/>
        <v>-4.0687307237251773E-4</v>
      </c>
      <c r="Y24" t="str">
        <f t="shared" si="65"/>
        <v>0.999999968798657+0.0006289182225875i</v>
      </c>
      <c r="Z24" s="67">
        <f t="shared" si="66"/>
        <v>1.000000166567709</v>
      </c>
      <c r="AA24" s="67">
        <f t="shared" si="67"/>
        <v>6.289181592902262E-4</v>
      </c>
      <c r="AB24" s="92" t="str">
        <f t="shared" si="68"/>
        <v>18.6173715117955-38.7166083104046i</v>
      </c>
      <c r="AC24" s="37">
        <f t="shared" si="69"/>
        <v>32.661334119905625</v>
      </c>
      <c r="AD24" s="60">
        <f t="shared" si="70"/>
        <v>-64.318836084411913</v>
      </c>
      <c r="AE24" t="str">
        <f t="shared" si="71"/>
        <v>118.329284003155</v>
      </c>
      <c r="AF24" t="str">
        <f t="shared" si="72"/>
        <v>1+1.67611822675572i</v>
      </c>
      <c r="AG24">
        <f t="shared" si="73"/>
        <v>1.9517613353232355</v>
      </c>
      <c r="AH24">
        <f t="shared" si="74"/>
        <v>1.0328683158734233</v>
      </c>
      <c r="AI24" t="str">
        <f t="shared" si="50"/>
        <v>1+0.00393887783287594i</v>
      </c>
      <c r="AJ24">
        <f t="shared" si="75"/>
        <v>1.000007757349203</v>
      </c>
      <c r="AK24">
        <f t="shared" si="76"/>
        <v>3.9388574628193406E-3</v>
      </c>
      <c r="AL24" t="str">
        <f t="shared" si="77"/>
        <v>1-0.000274338725588582i</v>
      </c>
      <c r="AM24">
        <f t="shared" si="78"/>
        <v>1.0000000376308675</v>
      </c>
      <c r="AN24">
        <f t="shared" si="79"/>
        <v>-2.7433871870617937E-4</v>
      </c>
      <c r="AO24" s="58" t="str">
        <f t="shared" si="80"/>
        <v>31.2534991067798-51.9509372140004i</v>
      </c>
      <c r="AP24">
        <f t="shared" si="81"/>
        <v>35.653378232959618</v>
      </c>
      <c r="AQ24" s="60">
        <f t="shared" si="82"/>
        <v>-58.969033834348082</v>
      </c>
      <c r="AR24" t="str">
        <f t="shared" si="83"/>
        <v>-1.94444444444444</v>
      </c>
      <c r="AS24" t="str">
        <f t="shared" si="51"/>
        <v>1+0.00403987470038557i</v>
      </c>
      <c r="AT24">
        <f t="shared" si="84"/>
        <v>1.0000081602605024</v>
      </c>
      <c r="AU24">
        <f t="shared" si="85"/>
        <v>4.0398527228911411E-3</v>
      </c>
      <c r="AV24" t="str">
        <f t="shared" si="52"/>
        <v>1+0.00403987470038557i</v>
      </c>
      <c r="AW24">
        <f t="shared" si="86"/>
        <v>1.0000081602605024</v>
      </c>
      <c r="AX24">
        <f t="shared" si="87"/>
        <v>4.0398527228911411E-3</v>
      </c>
      <c r="AY24" t="str">
        <f t="shared" si="53"/>
        <v>1-0.526664743900353i</v>
      </c>
      <c r="AZ24">
        <f t="shared" si="88"/>
        <v>1.1302104903369214</v>
      </c>
      <c r="BA24">
        <f t="shared" si="89"/>
        <v>-0.48475114905879979</v>
      </c>
      <c r="BB24" s="58" t="str">
        <f t="shared" si="90"/>
        <v>-1.94027566216629+1.03190880592116i</v>
      </c>
      <c r="BC24">
        <f t="shared" si="91"/>
        <v>6.8390265860181358</v>
      </c>
      <c r="BD24" s="60">
        <f t="shared" si="92"/>
        <v>151.99433853393745</v>
      </c>
      <c r="BE24" s="58" t="str">
        <f t="shared" si="93"/>
        <v>3.82917621306203+94.3323224324307i</v>
      </c>
      <c r="BF24" s="37">
        <f t="shared" si="94"/>
        <v>39.500360705923761</v>
      </c>
      <c r="BG24" s="60">
        <f t="shared" si="95"/>
        <v>87.675502449525538</v>
      </c>
      <c r="BH24" s="58" t="str">
        <f t="shared" si="96"/>
        <v>-7.03177408743642+133.049900047189i</v>
      </c>
      <c r="BI24" s="37">
        <f t="shared" si="97"/>
        <v>42.492404818977747</v>
      </c>
      <c r="BJ24" s="60">
        <f t="shared" si="98"/>
        <v>93.025304699589356</v>
      </c>
      <c r="BK24">
        <f t="shared" si="99"/>
        <v>39.500360705923761</v>
      </c>
      <c r="BL24" s="60">
        <f t="shared" si="100"/>
        <v>87.675502449525538</v>
      </c>
      <c r="BN24">
        <f t="shared" si="101"/>
        <v>0</v>
      </c>
      <c r="BO24">
        <f t="shared" si="102"/>
        <v>0</v>
      </c>
    </row>
    <row r="25" spans="1:67" ht="15" x14ac:dyDescent="0.25">
      <c r="A25" t="s">
        <v>461</v>
      </c>
      <c r="B25" s="21">
        <v>1000</v>
      </c>
      <c r="C25" s="70" t="s">
        <v>459</v>
      </c>
      <c r="E25" t="s">
        <v>694</v>
      </c>
      <c r="M25" s="66">
        <v>7</v>
      </c>
      <c r="N25" s="36">
        <f t="shared" si="54"/>
        <v>11.748975549395301</v>
      </c>
      <c r="O25" s="91" t="str">
        <f t="shared" si="55"/>
        <v>99.7340425531915</v>
      </c>
      <c r="P25" s="67" t="str">
        <f t="shared" si="56"/>
        <v>1+2.14395004459147i</v>
      </c>
      <c r="Q25" s="67">
        <f t="shared" si="57"/>
        <v>2.3656968938779466</v>
      </c>
      <c r="R25" s="67">
        <f t="shared" si="58"/>
        <v>1.1343645310884893</v>
      </c>
      <c r="S25" s="67" t="str">
        <f t="shared" si="59"/>
        <v>1+0.00403062608383196i</v>
      </c>
      <c r="T25" s="67">
        <f t="shared" si="60"/>
        <v>1.0000081229403228</v>
      </c>
      <c r="U25" s="67">
        <f t="shared" si="61"/>
        <v>4.0306042569326411E-3</v>
      </c>
      <c r="V25" t="str">
        <f t="shared" si="62"/>
        <v>1-0.000416350386681543i</v>
      </c>
      <c r="W25" s="67">
        <f t="shared" si="63"/>
        <v>1.0000000866738186</v>
      </c>
      <c r="X25" s="67">
        <f t="shared" si="64"/>
        <v>-4.1635036262375926E-4</v>
      </c>
      <c r="Y25" t="str">
        <f t="shared" si="65"/>
        <v>0.999999967328183+0.000643567609891456i</v>
      </c>
      <c r="Z25" s="67">
        <f t="shared" si="66"/>
        <v>1.0000001744178026</v>
      </c>
      <c r="AA25" s="67">
        <f t="shared" si="67"/>
        <v>6.4356754206720585E-4</v>
      </c>
      <c r="AB25" s="92" t="str">
        <f t="shared" si="68"/>
        <v>17.9342845711328-38.153929702052i</v>
      </c>
      <c r="AC25" s="37">
        <f t="shared" si="69"/>
        <v>32.497756255460175</v>
      </c>
      <c r="AD25" s="60">
        <f t="shared" si="70"/>
        <v>-64.824092270466537</v>
      </c>
      <c r="AE25" t="str">
        <f t="shared" si="71"/>
        <v>118.329284003155</v>
      </c>
      <c r="AF25" t="str">
        <f t="shared" si="72"/>
        <v>1+1.71516003567317i</v>
      </c>
      <c r="AG25">
        <f t="shared" si="73"/>
        <v>1.9853901248798407</v>
      </c>
      <c r="AH25">
        <f t="shared" si="74"/>
        <v>1.0429437718957735</v>
      </c>
      <c r="AI25" t="str">
        <f t="shared" si="50"/>
        <v>1+0.00403062608383196i</v>
      </c>
      <c r="AJ25">
        <f t="shared" si="75"/>
        <v>1.0000081229403228</v>
      </c>
      <c r="AK25">
        <f t="shared" si="76"/>
        <v>4.0306042569326411E-3</v>
      </c>
      <c r="AL25" t="str">
        <f t="shared" si="77"/>
        <v>1-0.000280728895406029i</v>
      </c>
      <c r="AM25">
        <f t="shared" si="78"/>
        <v>1.0000000394043556</v>
      </c>
      <c r="AN25">
        <f t="shared" si="79"/>
        <v>-2.8072888803140172E-4</v>
      </c>
      <c r="AO25" s="58" t="str">
        <f t="shared" si="80"/>
        <v>30.2124055872819-51.3753879954629i</v>
      </c>
      <c r="AP25">
        <f t="shared" si="81"/>
        <v>35.504998481813949</v>
      </c>
      <c r="AQ25" s="60">
        <f t="shared" si="82"/>
        <v>-59.5414243667446</v>
      </c>
      <c r="AR25" t="str">
        <f t="shared" si="83"/>
        <v>-1.94444444444444</v>
      </c>
      <c r="AS25" t="str">
        <f t="shared" si="51"/>
        <v>1+0.00413397547059687i</v>
      </c>
      <c r="AT25">
        <f t="shared" si="84"/>
        <v>1.0000085448400886</v>
      </c>
      <c r="AU25">
        <f t="shared" si="85"/>
        <v>4.1339519212981769E-3</v>
      </c>
      <c r="AV25" t="str">
        <f t="shared" si="52"/>
        <v>1+0.00413397547059687i</v>
      </c>
      <c r="AW25">
        <f t="shared" si="86"/>
        <v>1.0000085448400886</v>
      </c>
      <c r="AX25">
        <f t="shared" si="87"/>
        <v>4.1339519212981769E-3</v>
      </c>
      <c r="AY25" t="str">
        <f t="shared" si="53"/>
        <v>1-0.514676390704584i</v>
      </c>
      <c r="AZ25">
        <f t="shared" si="88"/>
        <v>1.1246740804111641</v>
      </c>
      <c r="BA25">
        <f t="shared" si="89"/>
        <v>-0.47531966689576838</v>
      </c>
      <c r="BB25" s="58" t="str">
        <f t="shared" si="90"/>
        <v>-1.94027416979851+1.00878069441642i</v>
      </c>
      <c r="BC25">
        <f t="shared" si="91"/>
        <v>6.796370293133883</v>
      </c>
      <c r="BD25" s="60">
        <f t="shared" si="92"/>
        <v>152.52933116950803</v>
      </c>
      <c r="BE25" s="58" t="str">
        <f t="shared" si="93"/>
        <v>3.69151859236636+92.1208443207287i</v>
      </c>
      <c r="BF25" s="37">
        <f t="shared" si="94"/>
        <v>39.294126548594058</v>
      </c>
      <c r="BG25" s="60">
        <f t="shared" si="95"/>
        <v>87.705238899041504</v>
      </c>
      <c r="BH25" s="58" t="str">
        <f t="shared" si="96"/>
        <v>-6.79385059050318+130.160029779302i</v>
      </c>
      <c r="BI25" s="37">
        <f t="shared" si="97"/>
        <v>42.301368774947832</v>
      </c>
      <c r="BJ25" s="60">
        <f t="shared" si="98"/>
        <v>92.987906802763419</v>
      </c>
      <c r="BK25">
        <f t="shared" si="99"/>
        <v>39.294126548594058</v>
      </c>
      <c r="BL25" s="60">
        <f t="shared" si="100"/>
        <v>87.705238899041504</v>
      </c>
      <c r="BN25">
        <f t="shared" si="101"/>
        <v>0</v>
      </c>
      <c r="BO25">
        <f t="shared" si="102"/>
        <v>0</v>
      </c>
    </row>
    <row r="26" spans="1:67" ht="15" x14ac:dyDescent="0.25">
      <c r="A26" t="s">
        <v>462</v>
      </c>
      <c r="B26" s="23">
        <f>Vsl/(R_sl+Rsl_int)</f>
        <v>2.9126213592233007E-5</v>
      </c>
      <c r="C26" s="70" t="s">
        <v>33</v>
      </c>
      <c r="E26" t="s">
        <v>695</v>
      </c>
      <c r="M26" s="66">
        <v>8</v>
      </c>
      <c r="N26" s="36">
        <f t="shared" si="54"/>
        <v>12.022644346174133</v>
      </c>
      <c r="O26" s="91" t="str">
        <f t="shared" si="55"/>
        <v>99.7340425531915</v>
      </c>
      <c r="P26" s="67" t="str">
        <f t="shared" si="56"/>
        <v>1+2.19388905643046i</v>
      </c>
      <c r="Q26" s="67">
        <f t="shared" si="57"/>
        <v>2.4110473226225433</v>
      </c>
      <c r="R26" s="67">
        <f t="shared" si="58"/>
        <v>1.1431200251766205</v>
      </c>
      <c r="S26" s="67" t="str">
        <f t="shared" si="59"/>
        <v>1+0.00412451142608926i</v>
      </c>
      <c r="T26" s="67">
        <f t="shared" si="60"/>
        <v>1.0000085057610779</v>
      </c>
      <c r="U26" s="67">
        <f t="shared" si="61"/>
        <v>4.1244880381560104E-3</v>
      </c>
      <c r="V26" t="str">
        <f t="shared" si="62"/>
        <v>1-0.000426048433024605i</v>
      </c>
      <c r="W26" s="67">
        <f t="shared" si="63"/>
        <v>1.0000000907586295</v>
      </c>
      <c r="X26" s="67">
        <f t="shared" si="64"/>
        <v>-4.2604840724622535E-4</v>
      </c>
      <c r="Y26" t="str">
        <f t="shared" si="65"/>
        <v>0.999999965788408+0.0006585582252608i</v>
      </c>
      <c r="Z26" s="67">
        <f t="shared" si="66"/>
        <v>1.0000001826378599</v>
      </c>
      <c r="AA26" s="67">
        <f t="shared" si="67"/>
        <v>6.5855815258580722E-4</v>
      </c>
      <c r="AB26" s="92" t="str">
        <f t="shared" si="68"/>
        <v>17.2711149670311-37.5877283658332i</v>
      </c>
      <c r="AC26" s="37">
        <f t="shared" si="69"/>
        <v>32.332826846967343</v>
      </c>
      <c r="AD26" s="60">
        <f t="shared" si="70"/>
        <v>-65.321780540580818</v>
      </c>
      <c r="AE26" t="str">
        <f t="shared" si="71"/>
        <v>118.329284003155</v>
      </c>
      <c r="AF26" t="str">
        <f t="shared" si="72"/>
        <v>1+1.75511124514436i</v>
      </c>
      <c r="AG26">
        <f t="shared" si="73"/>
        <v>2.0200038323805689</v>
      </c>
      <c r="AH26">
        <f t="shared" si="74"/>
        <v>1.052905600466479</v>
      </c>
      <c r="AI26" t="str">
        <f t="shared" si="50"/>
        <v>1+0.00412451142608926i</v>
      </c>
      <c r="AJ26">
        <f t="shared" si="75"/>
        <v>1.0000085057610779</v>
      </c>
      <c r="AK26">
        <f t="shared" si="76"/>
        <v>4.1244880381560104E-3</v>
      </c>
      <c r="AL26" t="str">
        <f t="shared" si="77"/>
        <v>1-0.000287267911399706i</v>
      </c>
      <c r="AM26">
        <f t="shared" si="78"/>
        <v>1.0000000412614256</v>
      </c>
      <c r="AN26">
        <f t="shared" si="79"/>
        <v>-2.8726790349765051E-4</v>
      </c>
      <c r="AO26" s="58" t="str">
        <f t="shared" si="80"/>
        <v>29.1946610571011-50.7858196418572i</v>
      </c>
      <c r="AP26">
        <f t="shared" si="81"/>
        <v>35.354875103393951</v>
      </c>
      <c r="AQ26" s="60">
        <f t="shared" si="82"/>
        <v>-60.10719061363833</v>
      </c>
      <c r="AR26" t="str">
        <f t="shared" si="83"/>
        <v>-1.94444444444444</v>
      </c>
      <c r="AS26" t="str">
        <f t="shared" si="51"/>
        <v>1+0.0042302681293223i</v>
      </c>
      <c r="AT26">
        <f t="shared" si="84"/>
        <v>1.0000089475441938</v>
      </c>
      <c r="AU26">
        <f t="shared" si="85"/>
        <v>4.2302428958063193E-3</v>
      </c>
      <c r="AV26" t="str">
        <f t="shared" si="52"/>
        <v>1+0.0042302681293223i</v>
      </c>
      <c r="AW26">
        <f t="shared" si="86"/>
        <v>1.0000089475441938</v>
      </c>
      <c r="AX26">
        <f t="shared" si="87"/>
        <v>4.2302428958063193E-3</v>
      </c>
      <c r="AY26" t="str">
        <f t="shared" si="53"/>
        <v>1-0.502960925743716i</v>
      </c>
      <c r="AZ26">
        <f t="shared" si="88"/>
        <v>1.1193612878892032</v>
      </c>
      <c r="BA26">
        <f t="shared" si="89"/>
        <v>-0.46601354303399378</v>
      </c>
      <c r="BB26" s="58" t="str">
        <f t="shared" si="90"/>
        <v>-1.94027260710006+0.986187451207013i</v>
      </c>
      <c r="BC26">
        <f t="shared" si="91"/>
        <v>6.7552387307756483</v>
      </c>
      <c r="BD26" s="60">
        <f t="shared" si="92"/>
        <v>153.05701572396907</v>
      </c>
      <c r="BE26" s="58" t="str">
        <f t="shared" si="93"/>
        <v>3.55787476915629+89.9629965601838i</v>
      </c>
      <c r="BF26" s="37">
        <f t="shared" si="94"/>
        <v>39.088065577742995</v>
      </c>
      <c r="BG26" s="60">
        <f t="shared" si="95"/>
        <v>87.735235183388284</v>
      </c>
      <c r="BH26" s="58" t="str">
        <f t="shared" si="96"/>
        <v>-6.56126309260193+127.329743056975i</v>
      </c>
      <c r="BI26" s="37">
        <f t="shared" si="97"/>
        <v>42.110113834169603</v>
      </c>
      <c r="BJ26" s="60">
        <f t="shared" si="98"/>
        <v>92.94982511033075</v>
      </c>
      <c r="BK26">
        <f t="shared" si="99"/>
        <v>39.088065577742995</v>
      </c>
      <c r="BL26" s="60">
        <f t="shared" si="100"/>
        <v>87.735235183388284</v>
      </c>
      <c r="BN26">
        <f t="shared" si="101"/>
        <v>0</v>
      </c>
      <c r="BO26">
        <f t="shared" si="102"/>
        <v>0</v>
      </c>
    </row>
    <row r="27" spans="1:67" ht="15" x14ac:dyDescent="0.25">
      <c r="A27" t="s">
        <v>463</v>
      </c>
      <c r="B27" s="21">
        <v>1.2</v>
      </c>
      <c r="C27" s="70" t="s">
        <v>34</v>
      </c>
      <c r="E27" t="s">
        <v>702</v>
      </c>
      <c r="M27" s="66">
        <v>9</v>
      </c>
      <c r="N27" s="36">
        <f t="shared" si="54"/>
        <v>12.302687708123818</v>
      </c>
      <c r="O27" s="91" t="str">
        <f t="shared" si="55"/>
        <v>99.7340425531915</v>
      </c>
      <c r="P27" s="67" t="str">
        <f t="shared" si="56"/>
        <v>1+2.24499129728672i</v>
      </c>
      <c r="Q27" s="67">
        <f t="shared" si="57"/>
        <v>2.4576382819473475</v>
      </c>
      <c r="R27" s="67">
        <f t="shared" si="58"/>
        <v>1.151744280995542</v>
      </c>
      <c r="S27" s="67" t="str">
        <f t="shared" si="59"/>
        <v>1+0.00422058363889904i</v>
      </c>
      <c r="T27" s="67">
        <f t="shared" si="60"/>
        <v>1.0000089066234625</v>
      </c>
      <c r="U27" s="67">
        <f t="shared" si="61"/>
        <v>4.2205585782891086E-3</v>
      </c>
      <c r="V27" t="str">
        <f t="shared" si="62"/>
        <v>1-0.000435972375886274i</v>
      </c>
      <c r="W27" s="67">
        <f t="shared" si="63"/>
        <v>1.0000000950359518</v>
      </c>
      <c r="X27" s="67">
        <f t="shared" si="64"/>
        <v>-4.3597234826424271E-4</v>
      </c>
      <c r="Y27" t="str">
        <f t="shared" si="65"/>
        <v>0.999999964176065+0.000673898016918228i</v>
      </c>
      <c r="Z27" s="67">
        <f t="shared" si="66"/>
        <v>1.0000001912453158</v>
      </c>
      <c r="AA27" s="67">
        <f t="shared" si="67"/>
        <v>6.7389793904557135E-4</v>
      </c>
      <c r="AB27" s="92" t="str">
        <f t="shared" si="68"/>
        <v>16.6276767008914-37.0187457362002i</v>
      </c>
      <c r="AC27" s="37">
        <f t="shared" si="69"/>
        <v>32.166585716174282</v>
      </c>
      <c r="AD27" s="60">
        <f t="shared" si="70"/>
        <v>-65.811857068920247</v>
      </c>
      <c r="AE27" t="str">
        <f t="shared" si="71"/>
        <v>118.329284003155</v>
      </c>
      <c r="AF27" t="str">
        <f t="shared" si="72"/>
        <v>1+1.79599303782938i</v>
      </c>
      <c r="AG27">
        <f t="shared" si="73"/>
        <v>2.0556242341273379</v>
      </c>
      <c r="AH27">
        <f t="shared" si="74"/>
        <v>1.0627511741231721</v>
      </c>
      <c r="AI27" t="str">
        <f t="shared" si="50"/>
        <v>1+0.00422058363889904i</v>
      </c>
      <c r="AJ27">
        <f t="shared" si="75"/>
        <v>1.0000089066234625</v>
      </c>
      <c r="AK27">
        <f t="shared" si="76"/>
        <v>4.2205585782891086E-3</v>
      </c>
      <c r="AL27" t="str">
        <f t="shared" si="77"/>
        <v>1-0.000293959240642448i</v>
      </c>
      <c r="AM27">
        <f t="shared" si="78"/>
        <v>1.0000000432060165</v>
      </c>
      <c r="AN27">
        <f t="shared" si="79"/>
        <v>-2.9395923217524306E-4</v>
      </c>
      <c r="AO27" s="58" t="str">
        <f t="shared" si="80"/>
        <v>28.2005313913256-50.1833233883146i</v>
      </c>
      <c r="AP27">
        <f t="shared" si="81"/>
        <v>35.203047889648104</v>
      </c>
      <c r="AQ27" s="60">
        <f t="shared" si="82"/>
        <v>-60.666179379459457</v>
      </c>
      <c r="AR27" t="str">
        <f t="shared" si="83"/>
        <v>-1.94444444444444</v>
      </c>
      <c r="AS27" t="str">
        <f t="shared" si="51"/>
        <v>1+0.00432880373220413i</v>
      </c>
      <c r="AT27">
        <f t="shared" si="84"/>
        <v>1.0000093692269849</v>
      </c>
      <c r="AU27">
        <f t="shared" si="85"/>
        <v>4.3287766940182989E-3</v>
      </c>
      <c r="AV27" t="str">
        <f t="shared" si="52"/>
        <v>1+0.00432880373220413i</v>
      </c>
      <c r="AW27">
        <f t="shared" si="86"/>
        <v>1.0000093692269849</v>
      </c>
      <c r="AX27">
        <f t="shared" si="87"/>
        <v>4.3287766940182989E-3</v>
      </c>
      <c r="AY27" t="str">
        <f t="shared" si="53"/>
        <v>1-0.49151213732315i</v>
      </c>
      <c r="AZ27">
        <f t="shared" si="88"/>
        <v>1.114263963850564</v>
      </c>
      <c r="BA27">
        <f t="shared" si="89"/>
        <v>-0.45683429173045315</v>
      </c>
      <c r="BB27" s="58" t="str">
        <f t="shared" si="90"/>
        <v>-1.9402709707566+0.96411709701471i</v>
      </c>
      <c r="BC27">
        <f t="shared" si="91"/>
        <v>6.7155911118424445</v>
      </c>
      <c r="BD27" s="60">
        <f t="shared" si="92"/>
        <v>153.57730251197498</v>
      </c>
      <c r="BE27" s="58" t="str">
        <f t="shared" si="93"/>
        <v>3.42820726044556+87.8574251167315i</v>
      </c>
      <c r="BF27" s="37">
        <f t="shared" si="94"/>
        <v>38.882176828016732</v>
      </c>
      <c r="BG27" s="60">
        <f t="shared" si="95"/>
        <v>87.765445443054745</v>
      </c>
      <c r="BH27" s="58" t="str">
        <f t="shared" si="96"/>
        <v>-6.33407235480702+124.557860045715i</v>
      </c>
      <c r="BI27" s="37">
        <f t="shared" si="97"/>
        <v>41.918639001490583</v>
      </c>
      <c r="BJ27" s="60">
        <f t="shared" si="98"/>
        <v>92.911123132515499</v>
      </c>
      <c r="BK27">
        <f t="shared" si="99"/>
        <v>38.882176828016732</v>
      </c>
      <c r="BL27" s="60">
        <f t="shared" si="100"/>
        <v>87.765445443054745</v>
      </c>
      <c r="BN27">
        <f t="shared" si="101"/>
        <v>0</v>
      </c>
      <c r="BO27">
        <f t="shared" si="102"/>
        <v>0</v>
      </c>
    </row>
    <row r="28" spans="1:67" ht="15" x14ac:dyDescent="0.25">
      <c r="A28" t="s">
        <v>464</v>
      </c>
      <c r="B28" s="21">
        <v>0.75</v>
      </c>
      <c r="C28" s="70" t="s">
        <v>118</v>
      </c>
      <c r="E28" t="s">
        <v>703</v>
      </c>
      <c r="M28" s="66">
        <v>10</v>
      </c>
      <c r="N28" s="36">
        <f t="shared" si="54"/>
        <v>12.58925411794168</v>
      </c>
      <c r="O28" s="91" t="str">
        <f t="shared" si="55"/>
        <v>99.7340425531915</v>
      </c>
      <c r="P28" s="67" t="str">
        <f t="shared" si="56"/>
        <v>1+2.29728386224478i</v>
      </c>
      <c r="Q28" s="67">
        <f t="shared" si="57"/>
        <v>2.5054965862539693</v>
      </c>
      <c r="R28" s="67">
        <f t="shared" si="58"/>
        <v>1.1602367385764898</v>
      </c>
      <c r="S28" s="67" t="str">
        <f t="shared" si="59"/>
        <v>1+0.0043188936610202i</v>
      </c>
      <c r="T28" s="67">
        <f t="shared" si="60"/>
        <v>1.000009326377737</v>
      </c>
      <c r="U28" s="67">
        <f t="shared" si="61"/>
        <v>4.3188668081063832E-3</v>
      </c>
      <c r="V28" t="str">
        <f t="shared" si="62"/>
        <v>1-0.000446127477072416i</v>
      </c>
      <c r="W28" s="67">
        <f t="shared" si="63"/>
        <v>1.0000000995148579</v>
      </c>
      <c r="X28" s="67">
        <f t="shared" si="64"/>
        <v>-4.4612744747487643E-4</v>
      </c>
      <c r="Y28" t="str">
        <f t="shared" si="65"/>
        <v>0.999999962487735+0.00068959511822432i</v>
      </c>
      <c r="Z28" s="67">
        <f t="shared" si="66"/>
        <v>1.0000002002584292</v>
      </c>
      <c r="AA28" s="67">
        <f t="shared" si="67"/>
        <v>6.895950347822657E-4</v>
      </c>
      <c r="AB28" s="92" t="str">
        <f t="shared" si="68"/>
        <v>16.003754090921-36.4476957640412i</v>
      </c>
      <c r="AC28" s="37">
        <f t="shared" si="69"/>
        <v>31.999072281434444</v>
      </c>
      <c r="AD28" s="60">
        <f t="shared" si="70"/>
        <v>-66.294287621004145</v>
      </c>
      <c r="AE28" t="str">
        <f t="shared" si="71"/>
        <v>118.329284003155</v>
      </c>
      <c r="AF28" t="str">
        <f t="shared" si="72"/>
        <v>1+1.83782708979583i</v>
      </c>
      <c r="AG28">
        <f t="shared" si="73"/>
        <v>2.0922735031509165</v>
      </c>
      <c r="AH28">
        <f t="shared" si="74"/>
        <v>1.0724780773641831</v>
      </c>
      <c r="AI28" t="str">
        <f t="shared" si="50"/>
        <v>1+0.0043188936610202i</v>
      </c>
      <c r="AJ28">
        <f t="shared" si="75"/>
        <v>1.000009326377737</v>
      </c>
      <c r="AK28">
        <f t="shared" si="76"/>
        <v>4.3188668081063832E-3</v>
      </c>
      <c r="AL28" t="str">
        <f t="shared" si="77"/>
        <v>1-0.000300806430965589i</v>
      </c>
      <c r="AM28">
        <f t="shared" si="78"/>
        <v>1.0000000452422535</v>
      </c>
      <c r="AN28">
        <f t="shared" si="79"/>
        <v>-3.0080642189281542E-4</v>
      </c>
      <c r="AO28" s="58" t="str">
        <f t="shared" si="80"/>
        <v>27.2302213844728-49.5689811365272i</v>
      </c>
      <c r="AP28">
        <f t="shared" si="81"/>
        <v>35.049557031210973</v>
      </c>
      <c r="AQ28" s="60">
        <f t="shared" si="82"/>
        <v>-61.218249551313917</v>
      </c>
      <c r="AR28" t="str">
        <f t="shared" si="83"/>
        <v>-1.94444444444444</v>
      </c>
      <c r="AS28" t="str">
        <f t="shared" si="51"/>
        <v>1+0.00442963452412326i</v>
      </c>
      <c r="AT28">
        <f t="shared" si="84"/>
        <v>1.000009810782883</v>
      </c>
      <c r="AU28">
        <f t="shared" si="85"/>
        <v>4.429605552200515E-3</v>
      </c>
      <c r="AV28" t="str">
        <f t="shared" si="52"/>
        <v>1+0.00442963452412326i</v>
      </c>
      <c r="AW28">
        <f t="shared" si="86"/>
        <v>1.000009810782883</v>
      </c>
      <c r="AX28">
        <f t="shared" si="87"/>
        <v>4.429605552200515E-3</v>
      </c>
      <c r="AY28" t="str">
        <f t="shared" si="53"/>
        <v>1-0.480323955143726i</v>
      </c>
      <c r="AZ28">
        <f t="shared" si="88"/>
        <v>1.1093741938069914</v>
      </c>
      <c r="BA28">
        <f t="shared" si="89"/>
        <v>-0.44778323442231077</v>
      </c>
      <c r="BB28" s="58" t="str">
        <f t="shared" si="90"/>
        <v>-1.94026925729761+0.942557929801018i</v>
      </c>
      <c r="BC28">
        <f t="shared" si="91"/>
        <v>6.6773867525656456</v>
      </c>
      <c r="BD28" s="60">
        <f t="shared" si="92"/>
        <v>154.09011282783567</v>
      </c>
      <c r="BE28" s="58" t="str">
        <f t="shared" si="93"/>
        <v>3.30247260140713+85.8028089152885i</v>
      </c>
      <c r="BF28" s="37">
        <f t="shared" si="94"/>
        <v>38.676459034000089</v>
      </c>
      <c r="BG28" s="60">
        <f t="shared" si="95"/>
        <v>87.795825206831537</v>
      </c>
      <c r="BH28" s="58" t="str">
        <f t="shared" si="96"/>
        <v>-6.11232517930974+121.843231310941i</v>
      </c>
      <c r="BI28" s="37">
        <f t="shared" si="97"/>
        <v>41.726943783776619</v>
      </c>
      <c r="BJ28" s="60">
        <f t="shared" si="98"/>
        <v>92.871863276521751</v>
      </c>
      <c r="BK28">
        <f t="shared" si="99"/>
        <v>38.676459034000089</v>
      </c>
      <c r="BL28" s="60">
        <f t="shared" si="100"/>
        <v>87.795825206831537</v>
      </c>
      <c r="BN28">
        <f t="shared" si="101"/>
        <v>0</v>
      </c>
      <c r="BO28">
        <f t="shared" si="102"/>
        <v>0</v>
      </c>
    </row>
    <row r="29" spans="1:67" ht="15" x14ac:dyDescent="0.25">
      <c r="A29" t="s">
        <v>336</v>
      </c>
      <c r="B29" s="21">
        <v>10</v>
      </c>
      <c r="C29" s="70" t="s">
        <v>118</v>
      </c>
      <c r="E29" t="s">
        <v>692</v>
      </c>
      <c r="M29" s="66">
        <v>11</v>
      </c>
      <c r="N29" s="36">
        <f t="shared" si="54"/>
        <v>12.882495516931346</v>
      </c>
      <c r="O29" s="91" t="str">
        <f t="shared" si="55"/>
        <v>99.7340425531915</v>
      </c>
      <c r="P29" s="67" t="str">
        <f t="shared" si="56"/>
        <v>1+2.35079447751475i</v>
      </c>
      <c r="Q29" s="67">
        <f t="shared" si="57"/>
        <v>2.554649618932868</v>
      </c>
      <c r="R29" s="67">
        <f t="shared" si="58"/>
        <v>1.1685969997527015</v>
      </c>
      <c r="S29" s="67" t="str">
        <f t="shared" si="59"/>
        <v>1+0.00441949361772773i</v>
      </c>
      <c r="T29" s="67">
        <f t="shared" si="60"/>
        <v>1.000009765914232</v>
      </c>
      <c r="U29" s="67">
        <f t="shared" si="61"/>
        <v>4.419464844327349E-3</v>
      </c>
      <c r="V29" t="str">
        <f t="shared" si="62"/>
        <v>1-0.000456519120952095i</v>
      </c>
      <c r="W29" s="67">
        <f t="shared" si="63"/>
        <v>1.0000001042048485</v>
      </c>
      <c r="X29" s="67">
        <f t="shared" si="64"/>
        <v>-4.565190892377601E-4</v>
      </c>
      <c r="Y29" t="str">
        <f t="shared" si="65"/>
        <v>0.999999960719837+0.000705657851989964i</v>
      </c>
      <c r="Z29" s="67">
        <f t="shared" si="66"/>
        <v>1.0000002096963176</v>
      </c>
      <c r="AA29" s="67">
        <f t="shared" si="67"/>
        <v>7.0565776258019262E-4</v>
      </c>
      <c r="AB29" s="92" t="str">
        <f t="shared" si="68"/>
        <v>15.3991042199923-35.8752640959367i</v>
      </c>
      <c r="AC29" s="37">
        <f t="shared" si="69"/>
        <v>31.830325500578173</v>
      </c>
      <c r="AD29" s="60">
        <f t="shared" si="70"/>
        <v>-66.769047182850898</v>
      </c>
      <c r="AE29" t="str">
        <f t="shared" si="71"/>
        <v>118.329284003155</v>
      </c>
      <c r="AF29" t="str">
        <f t="shared" si="72"/>
        <v>1+1.8806355820118i</v>
      </c>
      <c r="AG29">
        <f t="shared" si="73"/>
        <v>2.1299742233954055</v>
      </c>
      <c r="AH29">
        <f t="shared" si="74"/>
        <v>1.0820841044724243</v>
      </c>
      <c r="AI29" t="str">
        <f t="shared" si="50"/>
        <v>1+0.00441949361772773i</v>
      </c>
      <c r="AJ29">
        <f t="shared" si="75"/>
        <v>1.000009765914232</v>
      </c>
      <c r="AK29">
        <f t="shared" si="76"/>
        <v>4.419464844327349E-3</v>
      </c>
      <c r="AL29" t="str">
        <f t="shared" si="77"/>
        <v>1-0.000307813112840071i</v>
      </c>
      <c r="AM29">
        <f t="shared" si="78"/>
        <v>1.000000047374455</v>
      </c>
      <c r="AN29">
        <f t="shared" si="79"/>
        <v>-3.0781310311841896E-4</v>
      </c>
      <c r="AO29" s="58" t="str">
        <f t="shared" si="80"/>
        <v>26.2838768615818-48.9438618489143i</v>
      </c>
      <c r="AP29">
        <f t="shared" si="81"/>
        <v>34.894443015711197</v>
      </c>
      <c r="AQ29" s="60">
        <f t="shared" si="82"/>
        <v>-61.763271972864281</v>
      </c>
      <c r="AR29" t="str">
        <f t="shared" si="83"/>
        <v>-1.94444444444444</v>
      </c>
      <c r="AS29" t="str">
        <f t="shared" si="51"/>
        <v>1+0.00453281396690022i</v>
      </c>
      <c r="AT29">
        <f t="shared" si="84"/>
        <v>1.0000102731484604</v>
      </c>
      <c r="AU29">
        <f t="shared" si="85"/>
        <v>4.532782922942913E-3</v>
      </c>
      <c r="AV29" t="str">
        <f t="shared" si="52"/>
        <v>1+0.00453281396690022i</v>
      </c>
      <c r="AW29">
        <f t="shared" si="86"/>
        <v>1.0000102731484604</v>
      </c>
      <c r="AX29">
        <f t="shared" si="87"/>
        <v>4.532782922942913E-3</v>
      </c>
      <c r="AY29" t="str">
        <f t="shared" si="53"/>
        <v>1-0.469390447083159i</v>
      </c>
      <c r="AZ29">
        <f t="shared" si="88"/>
        <v>1.1046842950874824</v>
      </c>
      <c r="BA29">
        <f t="shared" si="89"/>
        <v>-0.43886150491571546</v>
      </c>
      <c r="BB29" s="58" t="str">
        <f t="shared" si="90"/>
        <v>-1.94026746308902+0.921498518562352i</v>
      </c>
      <c r="BC29">
        <f t="shared" si="91"/>
        <v>6.6405851507385281</v>
      </c>
      <c r="BD29" s="60">
        <f t="shared" si="92"/>
        <v>154.59537864663605</v>
      </c>
      <c r="BE29" s="58" t="str">
        <f t="shared" si="93"/>
        <v>3.18062183867093+83.7978593809819i</v>
      </c>
      <c r="BF29" s="37">
        <f t="shared" si="94"/>
        <v>38.470910651316707</v>
      </c>
      <c r="BG29" s="60">
        <f t="shared" si="95"/>
        <v>87.826331463785152</v>
      </c>
      <c r="BH29" s="58" t="str">
        <f t="shared" si="96"/>
        <v>-5.89605489187056+119.184736253395i</v>
      </c>
      <c r="BI29" s="37">
        <f t="shared" si="97"/>
        <v>41.535028166449699</v>
      </c>
      <c r="BJ29" s="60">
        <f t="shared" si="98"/>
        <v>92.832106673771762</v>
      </c>
      <c r="BK29">
        <f t="shared" si="99"/>
        <v>38.470910651316707</v>
      </c>
      <c r="BL29" s="60">
        <f t="shared" si="100"/>
        <v>87.826331463785152</v>
      </c>
      <c r="BN29">
        <f t="shared" si="101"/>
        <v>0</v>
      </c>
      <c r="BO29">
        <f t="shared" si="102"/>
        <v>0</v>
      </c>
    </row>
    <row r="30" spans="1:67" ht="15" x14ac:dyDescent="0.25">
      <c r="C30" s="70"/>
      <c r="M30" s="66">
        <v>12</v>
      </c>
      <c r="N30" s="36">
        <f t="shared" si="54"/>
        <v>13.182567385564075</v>
      </c>
      <c r="O30" s="91" t="str">
        <f t="shared" si="55"/>
        <v>99.7340425531915</v>
      </c>
      <c r="P30" s="67" t="str">
        <f t="shared" si="56"/>
        <v>1+2.40555151513314i</v>
      </c>
      <c r="Q30" s="67">
        <f t="shared" si="57"/>
        <v>2.6051253505271772</v>
      </c>
      <c r="R30" s="67">
        <f t="shared" si="58"/>
        <v>1.1768248215396986</v>
      </c>
      <c r="S30" s="67" t="str">
        <f t="shared" si="59"/>
        <v>1+0.00452243684845031i</v>
      </c>
      <c r="T30" s="67">
        <f t="shared" si="60"/>
        <v>1.0000102261652368</v>
      </c>
      <c r="U30" s="67">
        <f t="shared" si="61"/>
        <v>4.5224060172133528E-3</v>
      </c>
      <c r="V30" t="str">
        <f t="shared" si="62"/>
        <v>1-0.000467152817312449i</v>
      </c>
      <c r="W30" s="67">
        <f t="shared" si="63"/>
        <v>1.0000001091158714</v>
      </c>
      <c r="X30" s="67">
        <f t="shared" si="64"/>
        <v>-4.671527833299271E-4</v>
      </c>
      <c r="Y30" t="str">
        <f t="shared" si="65"/>
        <v>0.999999958868619+0.00072209473488922i</v>
      </c>
      <c r="Z30" s="67">
        <f t="shared" si="66"/>
        <v>1.0000002195789988</v>
      </c>
      <c r="AA30" s="67">
        <f t="shared" si="67"/>
        <v>7.2209463908492566E-4</v>
      </c>
      <c r="AB30" s="92" t="str">
        <f t="shared" si="68"/>
        <v>14.8134593472226-35.3021074487393i</v>
      </c>
      <c r="AC30" s="37">
        <f t="shared" si="69"/>
        <v>31.660383818666091</v>
      </c>
      <c r="AD30" s="60">
        <f t="shared" si="70"/>
        <v>-67.236119580531238</v>
      </c>
      <c r="AE30" t="str">
        <f t="shared" si="71"/>
        <v>118.329284003155</v>
      </c>
      <c r="AF30" t="str">
        <f t="shared" si="72"/>
        <v>1+1.92444121210651i</v>
      </c>
      <c r="AG30">
        <f t="shared" si="73"/>
        <v>2.1687494043466553</v>
      </c>
      <c r="AH30">
        <f t="shared" si="74"/>
        <v>1.0915672566623942</v>
      </c>
      <c r="AI30" t="str">
        <f t="shared" si="50"/>
        <v>1+0.00452243684845031i</v>
      </c>
      <c r="AJ30">
        <f t="shared" si="75"/>
        <v>1.0000102261652368</v>
      </c>
      <c r="AK30">
        <f t="shared" si="76"/>
        <v>4.5224060172133528E-3</v>
      </c>
      <c r="AL30" t="str">
        <f t="shared" si="77"/>
        <v>1-0.00031498300130137i</v>
      </c>
      <c r="AM30">
        <f t="shared" si="78"/>
        <v>1.0000000496071442</v>
      </c>
      <c r="AN30">
        <f t="shared" si="79"/>
        <v>-3.1498299088443223E-4</v>
      </c>
      <c r="AO30" s="58" t="str">
        <f t="shared" si="80"/>
        <v>25.3615869939565-48.309018214385i</v>
      </c>
      <c r="AP30">
        <f t="shared" si="81"/>
        <v>34.737746529834141</v>
      </c>
      <c r="AQ30" s="60">
        <f t="shared" si="82"/>
        <v>-62.301129279393919</v>
      </c>
      <c r="AR30" t="str">
        <f t="shared" si="83"/>
        <v>-1.94444444444444</v>
      </c>
      <c r="AS30" t="str">
        <f t="shared" si="51"/>
        <v>1+0.00463839676764132i</v>
      </c>
      <c r="AT30">
        <f t="shared" si="84"/>
        <v>1.0000107573044272</v>
      </c>
      <c r="AU30">
        <f t="shared" si="85"/>
        <v>4.6383635034610805E-3</v>
      </c>
      <c r="AV30" t="str">
        <f t="shared" si="52"/>
        <v>1+0.00463839676764132i</v>
      </c>
      <c r="AW30">
        <f t="shared" si="86"/>
        <v>1.0000107573044272</v>
      </c>
      <c r="AX30">
        <f t="shared" si="87"/>
        <v>4.6383635034610805E-3</v>
      </c>
      <c r="AY30" t="str">
        <f t="shared" si="53"/>
        <v>1-0.458705816050751i</v>
      </c>
      <c r="AZ30">
        <f t="shared" si="88"/>
        <v>1.1001868139905993</v>
      </c>
      <c r="BA30">
        <f t="shared" si="89"/>
        <v>-0.43007005495491585</v>
      </c>
      <c r="BB30" s="58" t="str">
        <f t="shared" si="90"/>
        <v>-1.94026558432555+0.900927697268937i</v>
      </c>
      <c r="BC30">
        <f t="shared" si="91"/>
        <v>6.6051460590592859</v>
      </c>
      <c r="BD30" s="60">
        <f t="shared" si="92"/>
        <v>155.09304230352814</v>
      </c>
      <c r="BE30" s="58" t="str">
        <f t="shared" si="93"/>
        <v>3.06260101631164+81.8413199552318i</v>
      </c>
      <c r="BF30" s="37">
        <f t="shared" si="94"/>
        <v>38.265529877725378</v>
      </c>
      <c r="BG30" s="60">
        <f t="shared" si="95"/>
        <v>87.856922722996899</v>
      </c>
      <c r="BH30" s="58" t="str">
        <f t="shared" si="96"/>
        <v>-5.68528187104327+116.581281623478i</v>
      </c>
      <c r="BI30" s="37">
        <f t="shared" si="97"/>
        <v>41.342892588893392</v>
      </c>
      <c r="BJ30" s="60">
        <f t="shared" si="98"/>
        <v>92.791913024134232</v>
      </c>
      <c r="BK30">
        <f t="shared" si="99"/>
        <v>38.265529877725378</v>
      </c>
      <c r="BL30" s="60">
        <f t="shared" si="100"/>
        <v>87.856922722996899</v>
      </c>
      <c r="BN30">
        <f t="shared" si="101"/>
        <v>0</v>
      </c>
      <c r="BO30">
        <f t="shared" si="102"/>
        <v>0</v>
      </c>
    </row>
    <row r="31" spans="1:67" ht="14.25" x14ac:dyDescent="0.2">
      <c r="A31" t="s">
        <v>469</v>
      </c>
      <c r="B31">
        <f>(Rcs*ACS/(2*Lm*fsw))*(1-(B14/VOUT))*(B14/VOUT)</f>
        <v>1.7094017094017094E-3</v>
      </c>
      <c r="E31" t="s">
        <v>474</v>
      </c>
      <c r="M31" s="66">
        <v>13</v>
      </c>
      <c r="N31" s="36">
        <f t="shared" si="54"/>
        <v>13.489628825916535</v>
      </c>
      <c r="O31" s="91" t="str">
        <f t="shared" si="55"/>
        <v>99.7340425531915</v>
      </c>
      <c r="P31" s="67" t="str">
        <f t="shared" si="56"/>
        <v>1+2.46158400800609i</v>
      </c>
      <c r="Q31" s="67">
        <f t="shared" si="57"/>
        <v>2.6569523572076572</v>
      </c>
      <c r="R31" s="67">
        <f t="shared" si="58"/>
        <v>1.1849201093924482</v>
      </c>
      <c r="S31" s="67" t="str">
        <f t="shared" si="59"/>
        <v>1+0.00462777793505146i</v>
      </c>
      <c r="T31" s="67">
        <f t="shared" si="60"/>
        <v>1.0000107081069762</v>
      </c>
      <c r="U31" s="67">
        <f t="shared" si="61"/>
        <v>4.6277448988049615E-3</v>
      </c>
      <c r="V31" t="str">
        <f t="shared" si="62"/>
        <v>1-0.00047803420428004i</v>
      </c>
      <c r="W31" s="67">
        <f t="shared" si="63"/>
        <v>1.0000001142583437</v>
      </c>
      <c r="X31" s="67">
        <f t="shared" si="64"/>
        <v>-4.7803416786711199E-4</v>
      </c>
      <c r="Y31" t="str">
        <f t="shared" si="65"/>
        <v>0.999999956930157+0.000738914481974968i</v>
      </c>
      <c r="Z31" s="67">
        <f t="shared" si="66"/>
        <v>1.0000002299274373</v>
      </c>
      <c r="AA31" s="67">
        <f t="shared" si="67"/>
        <v>7.3891437931881824E-4</v>
      </c>
      <c r="AB31" s="92" t="str">
        <f t="shared" si="68"/>
        <v>14.2465292698114-34.7288531680046i</v>
      </c>
      <c r="AC31" s="37">
        <f t="shared" si="69"/>
        <v>31.489285120537474</v>
      </c>
      <c r="AD31" s="60">
        <f t="shared" si="70"/>
        <v>-67.695497092640721</v>
      </c>
      <c r="AE31" t="str">
        <f t="shared" si="71"/>
        <v>118.329284003155</v>
      </c>
      <c r="AF31" t="str">
        <f t="shared" si="72"/>
        <v>1+1.96926720640488i</v>
      </c>
      <c r="AG31">
        <f t="shared" si="73"/>
        <v>2.2086224960870249</v>
      </c>
      <c r="AH31">
        <f t="shared" si="74"/>
        <v>1.1009257386040656</v>
      </c>
      <c r="AI31" t="str">
        <f t="shared" si="50"/>
        <v>1+0.00462777793505146i</v>
      </c>
      <c r="AJ31">
        <f t="shared" si="75"/>
        <v>1.0000107081069762</v>
      </c>
      <c r="AK31">
        <f t="shared" si="76"/>
        <v>4.6277448988049615E-3</v>
      </c>
      <c r="AL31" t="str">
        <f t="shared" si="77"/>
        <v>1-0.000322319897919252i</v>
      </c>
      <c r="AM31">
        <f t="shared" si="78"/>
        <v>1.0000000519450569</v>
      </c>
      <c r="AN31">
        <f t="shared" si="79"/>
        <v>-3.2231988675730208E-4</v>
      </c>
      <c r="AO31" s="58" t="str">
        <f t="shared" si="80"/>
        <v>24.4633867884478-47.6654835932491i</v>
      </c>
      <c r="AP31">
        <f t="shared" si="81"/>
        <v>34.579508365459276</v>
      </c>
      <c r="AQ31" s="60">
        <f t="shared" si="82"/>
        <v>-62.831715697135422</v>
      </c>
      <c r="AR31" t="str">
        <f t="shared" si="83"/>
        <v>-1.94444444444444</v>
      </c>
      <c r="AS31" t="str">
        <f t="shared" si="51"/>
        <v>1+0.00474643890774507i</v>
      </c>
      <c r="AT31">
        <f t="shared" si="84"/>
        <v>1.0000112642777106</v>
      </c>
      <c r="AU31">
        <f t="shared" si="85"/>
        <v>4.7464032645554537E-3</v>
      </c>
      <c r="AV31" t="str">
        <f t="shared" si="52"/>
        <v>1+0.00474643890774507i</v>
      </c>
      <c r="AW31">
        <f t="shared" si="86"/>
        <v>1.0000112642777106</v>
      </c>
      <c r="AX31">
        <f t="shared" si="87"/>
        <v>4.7464032645554537E-3</v>
      </c>
      <c r="AY31" t="str">
        <f t="shared" si="53"/>
        <v>1-0.448264396913704i</v>
      </c>
      <c r="AZ31">
        <f t="shared" si="88"/>
        <v>1.0958745227170885</v>
      </c>
      <c r="BA31">
        <f t="shared" si="89"/>
        <v>-0.42140966011865644</v>
      </c>
      <c r="BB31" s="58" t="str">
        <f t="shared" si="90"/>
        <v>-1.94026361702258+0.880834558944207i</v>
      </c>
      <c r="BC31">
        <f t="shared" si="91"/>
        <v>6.5710295535268646</v>
      </c>
      <c r="BD31" s="60">
        <f t="shared" si="92"/>
        <v>155.58305615423237</v>
      </c>
      <c r="BE31" s="58" t="str">
        <f t="shared" si="93"/>
        <v>2.94835165181513+79.9319655886588i</v>
      </c>
      <c r="BF31" s="37">
        <f t="shared" si="94"/>
        <v>38.060314674064344</v>
      </c>
      <c r="BG31" s="60">
        <f t="shared" si="95"/>
        <v>87.887559061591645</v>
      </c>
      <c r="BH31" s="58" t="str">
        <f t="shared" si="96"/>
        <v>-5.48001411705422+114.031800115852i</v>
      </c>
      <c r="BI31" s="37">
        <f t="shared" si="97"/>
        <v>41.150537918986146</v>
      </c>
      <c r="BJ31" s="60">
        <f t="shared" si="98"/>
        <v>92.75134045709693</v>
      </c>
      <c r="BK31">
        <f t="shared" si="99"/>
        <v>38.060314674064344</v>
      </c>
      <c r="BL31" s="60">
        <f t="shared" si="100"/>
        <v>87.887559061591645</v>
      </c>
      <c r="BN31">
        <f t="shared" si="101"/>
        <v>0</v>
      </c>
      <c r="BO31">
        <f t="shared" si="102"/>
        <v>0</v>
      </c>
    </row>
    <row r="32" spans="1:67" ht="14.25" x14ac:dyDescent="0.2">
      <c r="A32" t="s">
        <v>470</v>
      </c>
      <c r="B32">
        <f>1/((0.5-(1-(Vin_vari/VOUT)))*(Rcs*ACS/(Lm*fsw))+(Vslo*ACS/VOUT))</f>
        <v>5.0649350649350646</v>
      </c>
      <c r="E32" t="s">
        <v>474</v>
      </c>
      <c r="M32" s="66">
        <v>14</v>
      </c>
      <c r="N32" s="36">
        <f t="shared" si="54"/>
        <v>13.803842646028857</v>
      </c>
      <c r="O32" s="91" t="str">
        <f t="shared" si="55"/>
        <v>99.7340425531915</v>
      </c>
      <c r="P32" s="67" t="str">
        <f t="shared" si="56"/>
        <v>1+2.51892166530301i</v>
      </c>
      <c r="Q32" s="67">
        <f t="shared" si="57"/>
        <v>2.7101598395542816</v>
      </c>
      <c r="R32" s="67">
        <f t="shared" si="58"/>
        <v>1.192882910380539</v>
      </c>
      <c r="S32" s="67" t="str">
        <f t="shared" si="59"/>
        <v>1+0.00473557273076966i</v>
      </c>
      <c r="T32" s="67">
        <f t="shared" si="60"/>
        <v>1.0000112127616811</v>
      </c>
      <c r="U32" s="67">
        <f t="shared" si="61"/>
        <v>4.7355373318152009E-3</v>
      </c>
      <c r="V32" t="str">
        <f t="shared" si="62"/>
        <v>1-0.000489169051310272i</v>
      </c>
      <c r="W32" s="67">
        <f t="shared" si="63"/>
        <v>1.0000001196431731</v>
      </c>
      <c r="X32" s="67">
        <f t="shared" si="64"/>
        <v>-4.8916901229311696E-4</v>
      </c>
      <c r="Y32" t="str">
        <f t="shared" si="65"/>
        <v>0.999999954900338+0.000756126011299749i</v>
      </c>
      <c r="Z32" s="67">
        <f t="shared" si="66"/>
        <v>1.0000002407635824</v>
      </c>
      <c r="AA32" s="67">
        <f t="shared" si="67"/>
        <v>7.5612590130170402E-4</v>
      </c>
      <c r="AB32" s="92" t="str">
        <f t="shared" si="68"/>
        <v>13.6980036233654-34.1560989582254i</v>
      </c>
      <c r="AC32" s="37">
        <f t="shared" si="69"/>
        <v>31.317066688043091</v>
      </c>
      <c r="AD32" s="60">
        <f t="shared" si="70"/>
        <v>-68.147180058045748</v>
      </c>
      <c r="AE32" t="str">
        <f t="shared" si="71"/>
        <v>118.329284003155</v>
      </c>
      <c r="AF32" t="str">
        <f t="shared" si="72"/>
        <v>1+2.01513733224241i</v>
      </c>
      <c r="AG32">
        <f t="shared" si="73"/>
        <v>2.2496174047595421</v>
      </c>
      <c r="AH32">
        <f t="shared" si="74"/>
        <v>1.1101579543785647</v>
      </c>
      <c r="AI32" t="str">
        <f t="shared" si="50"/>
        <v>1+0.00473557273076966i</v>
      </c>
      <c r="AJ32">
        <f t="shared" si="75"/>
        <v>1.0000112127616811</v>
      </c>
      <c r="AK32">
        <f t="shared" si="76"/>
        <v>4.7355373318152009E-3</v>
      </c>
      <c r="AL32" t="str">
        <f t="shared" si="77"/>
        <v>1-0.000329827692813418i</v>
      </c>
      <c r="AM32">
        <f t="shared" si="78"/>
        <v>1.000000054393152</v>
      </c>
      <c r="AN32">
        <f t="shared" si="79"/>
        <v>-3.2982768085317325E-4</v>
      </c>
      <c r="AO32" s="58" t="str">
        <f t="shared" si="80"/>
        <v>23.5892597197817-47.0142692454524i</v>
      </c>
      <c r="AP32">
        <f t="shared" si="81"/>
        <v>34.419769330140198</v>
      </c>
      <c r="AQ32" s="60">
        <f t="shared" si="82"/>
        <v>-63.354936810008546</v>
      </c>
      <c r="AR32" t="str">
        <f t="shared" si="83"/>
        <v>-1.94444444444444</v>
      </c>
      <c r="AS32" t="str">
        <f t="shared" si="51"/>
        <v>1+0.00485699767258425i</v>
      </c>
      <c r="AT32">
        <f t="shared" si="84"/>
        <v>1.0000117951436329</v>
      </c>
      <c r="AU32">
        <f t="shared" si="85"/>
        <v>4.8569594802428057E-3</v>
      </c>
      <c r="AV32" t="str">
        <f t="shared" si="52"/>
        <v>1+0.00485699767258425i</v>
      </c>
      <c r="AW32">
        <f t="shared" si="86"/>
        <v>1.0000117951436329</v>
      </c>
      <c r="AX32">
        <f t="shared" si="87"/>
        <v>4.8569594802428057E-3</v>
      </c>
      <c r="AY32" t="str">
        <f t="shared" si="53"/>
        <v>1-0.43806065349338i</v>
      </c>
      <c r="AZ32">
        <f t="shared" si="88"/>
        <v>1.0917404160967237</v>
      </c>
      <c r="BA32">
        <f t="shared" si="89"/>
        <v>-0.41288092599246434</v>
      </c>
      <c r="BB32" s="58" t="str">
        <f t="shared" si="90"/>
        <v>-1.94026155700776+0.861208449881495i</v>
      </c>
      <c r="BC32">
        <f t="shared" si="91"/>
        <v>6.5381960968701511</v>
      </c>
      <c r="BD32" s="60">
        <f t="shared" si="92"/>
        <v>156.06538221969458</v>
      </c>
      <c r="BE32" s="58" t="str">
        <f t="shared" si="93"/>
        <v>2.83781119964335+78.0686022129472i</v>
      </c>
      <c r="BF32" s="37">
        <f t="shared" si="94"/>
        <v>37.855262784913251</v>
      </c>
      <c r="BG32" s="60">
        <f t="shared" si="95"/>
        <v>87.91820216164885</v>
      </c>
      <c r="BH32" s="58" t="str">
        <f t="shared" si="96"/>
        <v>-5.28024785337677+111.535249044889i</v>
      </c>
      <c r="BI32" s="37">
        <f t="shared" si="97"/>
        <v>40.957965427010379</v>
      </c>
      <c r="BJ32" s="60">
        <f t="shared" si="98"/>
        <v>92.710445409686031</v>
      </c>
      <c r="BK32">
        <f t="shared" si="99"/>
        <v>37.855262784913251</v>
      </c>
      <c r="BL32" s="60">
        <f t="shared" si="100"/>
        <v>87.91820216164885</v>
      </c>
      <c r="BN32">
        <f t="shared" si="101"/>
        <v>0</v>
      </c>
      <c r="BO32">
        <f t="shared" si="102"/>
        <v>0</v>
      </c>
    </row>
    <row r="33" spans="1:67" ht="14.25" x14ac:dyDescent="0.2">
      <c r="A33" t="s">
        <v>471</v>
      </c>
      <c r="B33">
        <f>2+((VOUT*((Vin_vari/VOUT)^2))/(IOUT_vari*Rcs*ACS))*((1/km)+(kex/(Vin_vari/VOUT)))</f>
        <v>19.957810511002002</v>
      </c>
      <c r="E33" t="s">
        <v>474</v>
      </c>
      <c r="M33" s="66">
        <v>15</v>
      </c>
      <c r="N33" s="36">
        <f t="shared" si="54"/>
        <v>14.125375446227544</v>
      </c>
      <c r="O33" s="91" t="str">
        <f t="shared" si="55"/>
        <v>99.7340425531915</v>
      </c>
      <c r="P33" s="67" t="str">
        <f t="shared" si="56"/>
        <v>1+2.57759488820874i</v>
      </c>
      <c r="Q33" s="67">
        <f t="shared" si="57"/>
        <v>2.7647776416413357</v>
      </c>
      <c r="R33" s="67">
        <f t="shared" si="58"/>
        <v>1.200713406319643</v>
      </c>
      <c r="S33" s="67" t="str">
        <f t="shared" si="59"/>
        <v>1+0.00484587838983242i</v>
      </c>
      <c r="T33" s="67">
        <f t="shared" si="60"/>
        <v>1.0000117411997567</v>
      </c>
      <c r="U33" s="67">
        <f t="shared" si="61"/>
        <v>4.8458404591933853E-3</v>
      </c>
      <c r="V33" t="str">
        <f t="shared" si="62"/>
        <v>1-0.000500563262246426i</v>
      </c>
      <c r="W33" s="67">
        <f t="shared" si="63"/>
        <v>1.0000001252817818</v>
      </c>
      <c r="X33" s="67">
        <f t="shared" si="64"/>
        <v>-5.0056322043879134E-4</v>
      </c>
      <c r="Y33" t="str">
        <f t="shared" si="65"/>
        <v>0.999999952774856+0.000773738448644231i</v>
      </c>
      <c r="Z33" s="67">
        <f t="shared" si="66"/>
        <v>1.0000002521104188</v>
      </c>
      <c r="AA33" s="67">
        <f t="shared" si="67"/>
        <v>7.7373833077920421E-4</v>
      </c>
      <c r="AB33" s="92" t="str">
        <f t="shared" si="68"/>
        <v>13.1675541105809-33.5844127724233i</v>
      </c>
      <c r="AC33" s="37">
        <f t="shared" si="69"/>
        <v>31.14376516182719</v>
      </c>
      <c r="AD33" s="60">
        <f t="shared" si="70"/>
        <v>-68.591176481098501</v>
      </c>
      <c r="AE33" t="str">
        <f t="shared" si="71"/>
        <v>118.329284003155</v>
      </c>
      <c r="AF33" t="str">
        <f t="shared" si="72"/>
        <v>1+2.06207591056699i</v>
      </c>
      <c r="AG33">
        <f t="shared" si="73"/>
        <v>2.2917585084255019</v>
      </c>
      <c r="AH33">
        <f t="shared" si="74"/>
        <v>1.1192625029210537</v>
      </c>
      <c r="AI33" t="str">
        <f t="shared" si="50"/>
        <v>1+0.00484587838983242i</v>
      </c>
      <c r="AJ33">
        <f t="shared" si="75"/>
        <v>1.0000117411997567</v>
      </c>
      <c r="AK33">
        <f t="shared" si="76"/>
        <v>4.8458404591933853E-3</v>
      </c>
      <c r="AL33" t="str">
        <f t="shared" si="77"/>
        <v>1-0.0003375103667161i</v>
      </c>
      <c r="AM33">
        <f t="shared" si="78"/>
        <v>1.0000000569566223</v>
      </c>
      <c r="AN33">
        <f t="shared" si="79"/>
        <v>-3.3751035390046689E-4</v>
      </c>
      <c r="AO33" s="58" t="str">
        <f t="shared" si="80"/>
        <v>22.7391404763974-46.3563618431797i</v>
      </c>
      <c r="AP33">
        <f t="shared" si="81"/>
        <v>34.258570162144778</v>
      </c>
      <c r="AQ33" s="60">
        <f t="shared" si="82"/>
        <v>-63.870709296940248</v>
      </c>
      <c r="AR33" t="str">
        <f t="shared" si="83"/>
        <v>-1.94444444444444</v>
      </c>
      <c r="AS33" t="str">
        <f t="shared" si="51"/>
        <v>1+0.00497013168187939i</v>
      </c>
      <c r="AT33">
        <f t="shared" si="84"/>
        <v>1.0000123510281937</v>
      </c>
      <c r="AU33">
        <f t="shared" si="85"/>
        <v>4.9700907580755189E-3</v>
      </c>
      <c r="AV33" t="str">
        <f t="shared" si="52"/>
        <v>1+0.00497013168187939i</v>
      </c>
      <c r="AW33">
        <f t="shared" si="86"/>
        <v>1.0000123510281937</v>
      </c>
      <c r="AX33">
        <f t="shared" si="87"/>
        <v>4.9700907580755189E-3</v>
      </c>
      <c r="AY33" t="str">
        <f t="shared" si="53"/>
        <v>1-0.428089175629957i</v>
      </c>
      <c r="AZ33">
        <f t="shared" si="88"/>
        <v>1.0877777081240156</v>
      </c>
      <c r="BA33">
        <f t="shared" si="89"/>
        <v>-0.40448429456750007</v>
      </c>
      <c r="BB33" s="58" t="str">
        <f t="shared" si="90"/>
        <v>-1.94025939991211+0.842038963995037i</v>
      </c>
      <c r="BC33">
        <f t="shared" si="91"/>
        <v>6.5066065970260301</v>
      </c>
      <c r="BD33" s="60">
        <f t="shared" si="92"/>
        <v>156.53999181772116</v>
      </c>
      <c r="BE33" s="58" t="str">
        <f t="shared" si="93"/>
        <v>2.73091350036707+76.2500661938448i</v>
      </c>
      <c r="BF33" s="37">
        <f t="shared" si="94"/>
        <v>37.650371758853225</v>
      </c>
      <c r="BG33" s="60">
        <f t="shared" si="95"/>
        <v>87.948815336622673</v>
      </c>
      <c r="BH33" s="58" t="str">
        <f t="shared" si="96"/>
        <v>-5.08596815424189+109.09060910084i</v>
      </c>
      <c r="BI33" s="37">
        <f t="shared" si="97"/>
        <v>40.765176759170828</v>
      </c>
      <c r="BJ33" s="60">
        <f t="shared" si="98"/>
        <v>92.669282520780897</v>
      </c>
      <c r="BK33">
        <f t="shared" si="99"/>
        <v>37.650371758853225</v>
      </c>
      <c r="BL33" s="60">
        <f t="shared" si="100"/>
        <v>87.948815336622673</v>
      </c>
      <c r="BN33">
        <f t="shared" si="101"/>
        <v>0</v>
      </c>
      <c r="BO33">
        <f t="shared" si="102"/>
        <v>0</v>
      </c>
    </row>
    <row r="34" spans="1:67" ht="14.25" x14ac:dyDescent="0.2">
      <c r="M34" s="66">
        <v>16</v>
      </c>
      <c r="N34" s="36">
        <f t="shared" si="54"/>
        <v>14.454397707459275</v>
      </c>
      <c r="O34" s="91" t="str">
        <f t="shared" si="55"/>
        <v>99.7340425531915</v>
      </c>
      <c r="P34" s="67" t="str">
        <f t="shared" si="56"/>
        <v>1+2.63763478604269i</v>
      </c>
      <c r="Q34" s="67">
        <f t="shared" si="57"/>
        <v>2.8208362704245111</v>
      </c>
      <c r="R34" s="67">
        <f t="shared" si="58"/>
        <v>1.2084119068946662</v>
      </c>
      <c r="S34" s="67" t="str">
        <f t="shared" si="59"/>
        <v>1+0.00495875339776026i</v>
      </c>
      <c r="T34" s="67">
        <f t="shared" si="60"/>
        <v>1.000012294542052</v>
      </c>
      <c r="U34" s="67">
        <f t="shared" si="61"/>
        <v>4.9587127543752616E-3</v>
      </c>
      <c r="V34" t="str">
        <f t="shared" si="62"/>
        <v>1-0.000512222878449961i</v>
      </c>
      <c r="W34" s="67">
        <f t="shared" si="63"/>
        <v>1.00000013118613</v>
      </c>
      <c r="X34" s="67">
        <f t="shared" si="64"/>
        <v>-5.1222283365227373E-4</v>
      </c>
      <c r="Y34" t="str">
        <f t="shared" si="65"/>
        <v>0.999999950549204+0.000791761132355823i</v>
      </c>
      <c r="Z34" s="67">
        <f t="shared" si="66"/>
        <v>1.0000002639920158</v>
      </c>
      <c r="AA34" s="67">
        <f t="shared" si="67"/>
        <v>7.9176100606117271E-4</v>
      </c>
      <c r="AB34" s="92" t="str">
        <f t="shared" si="68"/>
        <v>12.6548366497463-33.0143328484522i</v>
      </c>
      <c r="AC34" s="37">
        <f t="shared" si="69"/>
        <v>30.969416507507045</v>
      </c>
      <c r="AD34" s="60">
        <f t="shared" si="70"/>
        <v>-69.027501636345633</v>
      </c>
      <c r="AE34" t="str">
        <f t="shared" si="71"/>
        <v>118.329284003155</v>
      </c>
      <c r="AF34" t="str">
        <f t="shared" si="72"/>
        <v>1+2.11010782883415i</v>
      </c>
      <c r="AG34">
        <f t="shared" si="73"/>
        <v>2.3350706733003115</v>
      </c>
      <c r="AH34">
        <f t="shared" si="74"/>
        <v>1.1282381730061133</v>
      </c>
      <c r="AI34" t="str">
        <f t="shared" si="50"/>
        <v>1+0.00495875339776026i</v>
      </c>
      <c r="AJ34">
        <f t="shared" si="75"/>
        <v>1.000012294542052</v>
      </c>
      <c r="AK34">
        <f t="shared" si="76"/>
        <v>4.9587127543752616E-3</v>
      </c>
      <c r="AL34" t="str">
        <f t="shared" si="77"/>
        <v>1-0.000345371993082693i</v>
      </c>
      <c r="AM34">
        <f t="shared" si="78"/>
        <v>1.0000000596409049</v>
      </c>
      <c r="AN34">
        <f t="shared" si="79"/>
        <v>-3.4537197935049471E-4</v>
      </c>
      <c r="AO34" s="58" t="str">
        <f t="shared" si="80"/>
        <v>21.9129177914994-45.6927212659931i</v>
      </c>
      <c r="AP34">
        <f t="shared" si="81"/>
        <v>34.095951450223531</v>
      </c>
      <c r="AQ34" s="60">
        <f t="shared" si="82"/>
        <v>-64.37896064293659</v>
      </c>
      <c r="AR34" t="str">
        <f t="shared" si="83"/>
        <v>-1.94444444444444</v>
      </c>
      <c r="AS34" t="str">
        <f t="shared" si="51"/>
        <v>1+0.00508590092077974i</v>
      </c>
      <c r="AT34">
        <f t="shared" si="84"/>
        <v>1.0000129331104552</v>
      </c>
      <c r="AU34">
        <f t="shared" si="85"/>
        <v>5.0858570701644784E-3</v>
      </c>
      <c r="AV34" t="str">
        <f t="shared" si="52"/>
        <v>1+0.00508590092077974i</v>
      </c>
      <c r="AW34">
        <f t="shared" si="86"/>
        <v>1.0000129331104552</v>
      </c>
      <c r="AX34">
        <f t="shared" si="87"/>
        <v>5.0858570701644784E-3</v>
      </c>
      <c r="AY34" t="str">
        <f t="shared" si="53"/>
        <v>1-0.418344676313883i</v>
      </c>
      <c r="AZ34">
        <f t="shared" si="88"/>
        <v>1.0839798283179294</v>
      </c>
      <c r="BA34">
        <f t="shared" si="89"/>
        <v>-0.39622005081886036</v>
      </c>
      <c r="BB34" s="58" t="str">
        <f t="shared" si="90"/>
        <v>-1.94025714116082+0.823315937302216i</v>
      </c>
      <c r="BC34">
        <f t="shared" si="91"/>
        <v>6.4762224607163965</v>
      </c>
      <c r="BD34" s="60">
        <f t="shared" si="92"/>
        <v>157.0068651842931</v>
      </c>
      <c r="BE34" s="58" t="str">
        <f t="shared" si="93"/>
        <v>2.62758921363683+74.4752237675619i</v>
      </c>
      <c r="BF34" s="37">
        <f t="shared" si="94"/>
        <v>37.445638968223442</v>
      </c>
      <c r="BG34" s="60">
        <f t="shared" si="95"/>
        <v>87.979363547947472</v>
      </c>
      <c r="BH34" s="58" t="str">
        <f t="shared" si="96"/>
        <v>-4.89714959162669+106.696883185949i</v>
      </c>
      <c r="BI34" s="37">
        <f t="shared" si="97"/>
        <v>40.572173910939952</v>
      </c>
      <c r="BJ34" s="60">
        <f t="shared" si="98"/>
        <v>92.627904541356514</v>
      </c>
      <c r="BK34">
        <f t="shared" si="99"/>
        <v>37.445638968223442</v>
      </c>
      <c r="BL34" s="60">
        <f t="shared" si="100"/>
        <v>87.979363547947472</v>
      </c>
      <c r="BN34">
        <f t="shared" si="101"/>
        <v>0</v>
      </c>
      <c r="BO34">
        <f t="shared" si="102"/>
        <v>0</v>
      </c>
    </row>
    <row r="35" spans="1:67" ht="14.25" x14ac:dyDescent="0.2">
      <c r="A35" t="s">
        <v>367</v>
      </c>
      <c r="B35" s="23">
        <f>Gcomp*((B14/VOUT)*(VOUT/IOUT_vari))/(2*Rcs*ACS)</f>
        <v>99.734042553191486</v>
      </c>
      <c r="C35" t="s">
        <v>118</v>
      </c>
      <c r="E35" t="s">
        <v>473</v>
      </c>
      <c r="M35" s="66">
        <v>17</v>
      </c>
      <c r="N35" s="36">
        <f t="shared" si="54"/>
        <v>14.791083881682074</v>
      </c>
      <c r="O35" s="91" t="str">
        <f t="shared" si="55"/>
        <v>99.7340425531915</v>
      </c>
      <c r="P35" s="67" t="str">
        <f t="shared" si="56"/>
        <v>1+2.69907319275343i</v>
      </c>
      <c r="Q35" s="67">
        <f t="shared" si="57"/>
        <v>2.8783669154296838</v>
      </c>
      <c r="R35" s="67">
        <f t="shared" si="58"/>
        <v>1.2159788428070251</v>
      </c>
      <c r="S35" s="67" t="str">
        <f t="shared" si="59"/>
        <v>1+0.00507425760237645i</v>
      </c>
      <c r="T35" s="67">
        <f t="shared" si="60"/>
        <v>1.0000128739622383</v>
      </c>
      <c r="U35" s="67">
        <f t="shared" si="61"/>
        <v>5.0742140522350744E-3</v>
      </c>
      <c r="V35" t="str">
        <f t="shared" si="62"/>
        <v>1-0.000524154082003721i</v>
      </c>
      <c r="W35" s="67">
        <f t="shared" si="63"/>
        <v>1.0000001373687415</v>
      </c>
      <c r="X35" s="67">
        <f t="shared" si="64"/>
        <v>-5.2415403400213453E-4</v>
      </c>
      <c r="Y35" t="str">
        <f t="shared" si="65"/>
        <v>0.99999994821866+0.000810203618299988i</v>
      </c>
      <c r="Z35" s="67">
        <f t="shared" si="66"/>
        <v>1.0000002764335747</v>
      </c>
      <c r="AA35" s="67">
        <f t="shared" si="67"/>
        <v>8.1020348297283393E-4</v>
      </c>
      <c r="AB35" s="92" t="str">
        <f t="shared" si="68"/>
        <v>12.1594934360348-32.446367879316i</v>
      </c>
      <c r="AC35" s="37">
        <f t="shared" si="69"/>
        <v>30.794055986081169</v>
      </c>
      <c r="AD35" s="60">
        <f t="shared" si="70"/>
        <v>-69.456177674589455</v>
      </c>
      <c r="AE35" t="str">
        <f t="shared" si="71"/>
        <v>118.329284003155</v>
      </c>
      <c r="AF35" t="str">
        <f t="shared" si="72"/>
        <v>1+2.15925855420275i</v>
      </c>
      <c r="AG35">
        <f t="shared" si="73"/>
        <v>2.3795792703538474</v>
      </c>
      <c r="AH35">
        <f t="shared" si="74"/>
        <v>1.137083937830357</v>
      </c>
      <c r="AI35" t="str">
        <f t="shared" si="50"/>
        <v>1+0.00507425760237645i</v>
      </c>
      <c r="AJ35">
        <f t="shared" si="75"/>
        <v>1.0000128739622383</v>
      </c>
      <c r="AK35">
        <f t="shared" si="76"/>
        <v>5.0742140522350744E-3</v>
      </c>
      <c r="AL35" t="str">
        <f t="shared" si="77"/>
        <v>1-0.000353416740251556i</v>
      </c>
      <c r="AM35">
        <f t="shared" si="78"/>
        <v>1.0000000624516943</v>
      </c>
      <c r="AN35">
        <f t="shared" si="79"/>
        <v>-3.5341672553724054E-4</v>
      </c>
      <c r="AO35" s="58" t="str">
        <f t="shared" si="80"/>
        <v>21.1104373325115-45.0242786740785i</v>
      </c>
      <c r="AP35">
        <f t="shared" si="81"/>
        <v>33.93195355822715</v>
      </c>
      <c r="AQ35" s="60">
        <f t="shared" si="82"/>
        <v>-64.879628827039141</v>
      </c>
      <c r="AR35" t="str">
        <f t="shared" si="83"/>
        <v>-1.94444444444444</v>
      </c>
      <c r="AS35" t="str">
        <f t="shared" si="51"/>
        <v>1+0.00520436677166814i</v>
      </c>
      <c r="AT35">
        <f t="shared" si="84"/>
        <v>1.0000135426250456</v>
      </c>
      <c r="AU35">
        <f t="shared" si="85"/>
        <v>5.2043197849217073E-3</v>
      </c>
      <c r="AV35" t="str">
        <f t="shared" si="52"/>
        <v>1+0.00520436677166814i</v>
      </c>
      <c r="AW35">
        <f t="shared" si="86"/>
        <v>1.0000135426250456</v>
      </c>
      <c r="AX35">
        <f t="shared" si="87"/>
        <v>5.2043197849217073E-3</v>
      </c>
      <c r="AY35" t="str">
        <f t="shared" si="53"/>
        <v>1-0.408821988882638i</v>
      </c>
      <c r="AZ35">
        <f t="shared" si="88"/>
        <v>1.0803404179211087</v>
      </c>
      <c r="BA35">
        <f t="shared" si="89"/>
        <v>-0.38808832941879118</v>
      </c>
      <c r="BB35" s="58" t="str">
        <f t="shared" si="90"/>
        <v>-1.9402547759635+0.805029442534167i</v>
      </c>
      <c r="BC35">
        <f t="shared" si="91"/>
        <v>6.4470056422024165</v>
      </c>
      <c r="BD35" s="60">
        <f t="shared" si="92"/>
        <v>157.46599108710805</v>
      </c>
      <c r="BE35" s="58" t="str">
        <f t="shared" si="93"/>
        <v>2.52776623358091+72.7429704628205i</v>
      </c>
      <c r="BF35" s="37">
        <f t="shared" si="94"/>
        <v>37.241061628283575</v>
      </c>
      <c r="BG35" s="60">
        <f t="shared" si="95"/>
        <v>88.009813412518568</v>
      </c>
      <c r="BH35" s="58" t="str">
        <f t="shared" si="96"/>
        <v>-4.71375689558721+104.353095329137i</v>
      </c>
      <c r="BI35" s="37">
        <f t="shared" si="97"/>
        <v>40.378959200429605</v>
      </c>
      <c r="BJ35" s="60">
        <f t="shared" si="98"/>
        <v>92.586362260068881</v>
      </c>
      <c r="BK35">
        <f t="shared" si="99"/>
        <v>37.241061628283575</v>
      </c>
      <c r="BL35" s="60">
        <f t="shared" si="100"/>
        <v>88.009813412518568</v>
      </c>
      <c r="BN35">
        <f t="shared" si="101"/>
        <v>0</v>
      </c>
      <c r="BO35">
        <f t="shared" si="102"/>
        <v>0</v>
      </c>
    </row>
    <row r="36" spans="1:67" ht="14.25" x14ac:dyDescent="0.2">
      <c r="A36" t="s">
        <v>476</v>
      </c>
      <c r="B36" s="23">
        <f>w_p_low</f>
        <v>34.432234432234431</v>
      </c>
      <c r="C36" t="s">
        <v>483</v>
      </c>
      <c r="E36" t="s">
        <v>484</v>
      </c>
      <c r="M36" s="66">
        <v>18</v>
      </c>
      <c r="N36" s="36">
        <f t="shared" si="54"/>
        <v>15.135612484362087</v>
      </c>
      <c r="O36" s="91" t="str">
        <f t="shared" si="55"/>
        <v>99.7340425531915</v>
      </c>
      <c r="P36" s="67" t="str">
        <f t="shared" si="56"/>
        <v>1+2.76194268379743i</v>
      </c>
      <c r="Q36" s="67">
        <f t="shared" si="57"/>
        <v>2.9374014687444672</v>
      </c>
      <c r="R36" s="67">
        <f t="shared" si="58"/>
        <v>1.2234147589755682</v>
      </c>
      <c r="S36" s="67" t="str">
        <f t="shared" si="59"/>
        <v>1+0.00519245224553917i</v>
      </c>
      <c r="T36" s="67">
        <f t="shared" si="60"/>
        <v>1.0000134806892966</v>
      </c>
      <c r="U36" s="67">
        <f t="shared" si="61"/>
        <v>5.1924055807559145E-3</v>
      </c>
      <c r="V36" t="str">
        <f t="shared" si="62"/>
        <v>1-0.00053636319898976i</v>
      </c>
      <c r="W36" s="67">
        <f t="shared" si="63"/>
        <v>1.0000001438427302</v>
      </c>
      <c r="X36" s="67">
        <f t="shared" si="64"/>
        <v>-5.363631475551339E-4</v>
      </c>
      <c r="Y36" t="str">
        <f t="shared" si="65"/>
        <v>0.99999994577828+0.00082907568492689i</v>
      </c>
      <c r="Z36" s="67">
        <f t="shared" si="66"/>
        <v>1.0000002894614852</v>
      </c>
      <c r="AA36" s="67">
        <f t="shared" si="67"/>
        <v>8.2907553992123476E-4</v>
      </c>
      <c r="AB36" s="92" t="str">
        <f t="shared" si="68"/>
        <v>11.6811549099833-31.8809973049039i</v>
      </c>
      <c r="AC36" s="37">
        <f t="shared" si="69"/>
        <v>30.61771812838532</v>
      </c>
      <c r="AD36" s="60">
        <f t="shared" si="70"/>
        <v>-69.877233231993628</v>
      </c>
      <c r="AE36" t="str">
        <f t="shared" si="71"/>
        <v>118.329284003155</v>
      </c>
      <c r="AF36" t="str">
        <f t="shared" si="72"/>
        <v>1+2.20955414703794i</v>
      </c>
      <c r="AG36">
        <f t="shared" si="73"/>
        <v>2.4253101922625402</v>
      </c>
      <c r="AH36">
        <f t="shared" si="74"/>
        <v>1.1457989492458704</v>
      </c>
      <c r="AI36" t="str">
        <f t="shared" si="50"/>
        <v>1+0.00519245224553917i</v>
      </c>
      <c r="AJ36">
        <f t="shared" si="75"/>
        <v>1.0000134806892966</v>
      </c>
      <c r="AK36">
        <f t="shared" si="76"/>
        <v>5.1924055807559145E-3</v>
      </c>
      <c r="AL36" t="str">
        <f t="shared" si="77"/>
        <v>1-0.000361648873654125i</v>
      </c>
      <c r="AM36">
        <f t="shared" si="78"/>
        <v>1.0000000653949517</v>
      </c>
      <c r="AN36">
        <f t="shared" si="79"/>
        <v>-3.6164885788745195E-4</v>
      </c>
      <c r="AO36" s="58" t="str">
        <f t="shared" si="80"/>
        <v>20.3315046238011-44.3519348528856i</v>
      </c>
      <c r="AP36">
        <f t="shared" si="81"/>
        <v>33.766616554651812</v>
      </c>
      <c r="AQ36" s="60">
        <f t="shared" si="82"/>
        <v>-65.372661990238001</v>
      </c>
      <c r="AR36" t="str">
        <f t="shared" si="83"/>
        <v>-1.94444444444444</v>
      </c>
      <c r="AS36" t="str">
        <f t="shared" si="51"/>
        <v>1+0.00532559204670682i</v>
      </c>
      <c r="AT36">
        <f t="shared" si="84"/>
        <v>1.0000141808647756</v>
      </c>
      <c r="AU36">
        <f t="shared" si="85"/>
        <v>5.3255416995394876E-3</v>
      </c>
      <c r="AV36" t="str">
        <f t="shared" si="52"/>
        <v>1+0.00532559204670682i</v>
      </c>
      <c r="AW36">
        <f t="shared" si="86"/>
        <v>1.0000141808647756</v>
      </c>
      <c r="AX36">
        <f t="shared" si="87"/>
        <v>5.3255416995394876E-3</v>
      </c>
      <c r="AY36" t="str">
        <f t="shared" si="53"/>
        <v>1-0.399516064281296i</v>
      </c>
      <c r="AZ36">
        <f t="shared" si="88"/>
        <v>1.0768533259542901</v>
      </c>
      <c r="BA36">
        <f t="shared" si="89"/>
        <v>-0.38008912154290903</v>
      </c>
      <c r="BB36" s="58" t="str">
        <f t="shared" si="90"/>
        <v>-1.94025229930404+0.787169783871852i</v>
      </c>
      <c r="BC36">
        <f t="shared" si="91"/>
        <v>6.4189186873219519</v>
      </c>
      <c r="BD36" s="60">
        <f t="shared" si="92"/>
        <v>157.91736643375174</v>
      </c>
      <c r="BE36" s="58" t="str">
        <f t="shared" si="93"/>
        <v>2.43137008549852+71.0522305108109i</v>
      </c>
      <c r="BF36" s="37">
        <f t="shared" si="94"/>
        <v>37.036636815707269</v>
      </c>
      <c r="BG36" s="60">
        <f t="shared" si="95"/>
        <v>88.040133201758124</v>
      </c>
      <c r="BH36" s="58" t="str">
        <f t="shared" si="96"/>
        <v>-4.53574562219639+102.058289677401i</v>
      </c>
      <c r="BI36" s="37">
        <f t="shared" si="97"/>
        <v>40.185535241973732</v>
      </c>
      <c r="BJ36" s="60">
        <f t="shared" si="98"/>
        <v>92.544704443513766</v>
      </c>
      <c r="BK36">
        <f t="shared" si="99"/>
        <v>37.036636815707269</v>
      </c>
      <c r="BL36" s="60">
        <f t="shared" si="100"/>
        <v>88.040133201758124</v>
      </c>
      <c r="BN36">
        <f t="shared" si="101"/>
        <v>0</v>
      </c>
      <c r="BO36">
        <f t="shared" si="102"/>
        <v>0</v>
      </c>
    </row>
    <row r="37" spans="1:67" ht="14.25" x14ac:dyDescent="0.2">
      <c r="B37" s="23">
        <f>wp_lf/(2*PI())</f>
        <v>5.48006031158907</v>
      </c>
      <c r="C37" t="s">
        <v>70</v>
      </c>
      <c r="E37" t="s">
        <v>485</v>
      </c>
      <c r="M37" s="66">
        <v>19</v>
      </c>
      <c r="N37" s="36">
        <f t="shared" si="54"/>
        <v>15.488166189124817</v>
      </c>
      <c r="O37" s="91" t="str">
        <f t="shared" si="55"/>
        <v>99.7340425531915</v>
      </c>
      <c r="P37" s="67" t="str">
        <f t="shared" si="56"/>
        <v>1+2.82627659341101i</v>
      </c>
      <c r="Q37" s="67">
        <f t="shared" si="57"/>
        <v>2.9979725453150743</v>
      </c>
      <c r="R37" s="67">
        <f t="shared" si="58"/>
        <v>1.2307203078177924</v>
      </c>
      <c r="S37" s="67" t="str">
        <f t="shared" si="59"/>
        <v>1+0.0053133999956127i</v>
      </c>
      <c r="T37" s="67">
        <f t="shared" si="60"/>
        <v>1.0000141160101257</v>
      </c>
      <c r="U37" s="67">
        <f t="shared" si="61"/>
        <v>5.313349993434688E-3</v>
      </c>
      <c r="V37" t="str">
        <f t="shared" si="62"/>
        <v>1-0.000548856702843509i</v>
      </c>
      <c r="W37" s="67">
        <f t="shared" si="63"/>
        <v>1.0000001506218288</v>
      </c>
      <c r="X37" s="67">
        <f t="shared" si="64"/>
        <v>-5.4885664773031461E-4</v>
      </c>
      <c r="Y37" t="str">
        <f t="shared" si="65"/>
        <v>0.99999994322289+0.000848387338456053i</v>
      </c>
      <c r="Z37" s="67">
        <f t="shared" si="66"/>
        <v>1.0000003031033835</v>
      </c>
      <c r="AA37" s="67">
        <f t="shared" si="67"/>
        <v>8.4838718307969575E-4</v>
      </c>
      <c r="AB37" s="92" t="str">
        <f t="shared" si="68"/>
        <v>11.2194416288841-31.3186717127687i</v>
      </c>
      <c r="AC37" s="37">
        <f t="shared" si="69"/>
        <v>30.440436713405976</v>
      </c>
      <c r="AD37" s="60">
        <f t="shared" si="70"/>
        <v>-70.29070304375746</v>
      </c>
      <c r="AE37" t="str">
        <f t="shared" si="71"/>
        <v>118.329284003155</v>
      </c>
      <c r="AF37" t="str">
        <f t="shared" si="72"/>
        <v>1+2.26102127472881i</v>
      </c>
      <c r="AG37">
        <f t="shared" si="73"/>
        <v>2.4722898707021175</v>
      </c>
      <c r="AH37">
        <f t="shared" si="74"/>
        <v>1.1543825316966205</v>
      </c>
      <c r="AI37" t="str">
        <f t="shared" si="50"/>
        <v>1+0.0053133999956127i</v>
      </c>
      <c r="AJ37">
        <f t="shared" si="75"/>
        <v>1.0000141160101257</v>
      </c>
      <c r="AK37">
        <f t="shared" si="76"/>
        <v>5.313349993434688E-3</v>
      </c>
      <c r="AL37" t="str">
        <f t="shared" si="77"/>
        <v>1-0.000370072758076494i</v>
      </c>
      <c r="AM37">
        <f t="shared" si="78"/>
        <v>1.0000000684769208</v>
      </c>
      <c r="AN37">
        <f t="shared" si="79"/>
        <v>-3.7007274118219948E-4</v>
      </c>
      <c r="AO37" s="58" t="str">
        <f t="shared" si="80"/>
        <v>19.5758879793611-43.6765588204324i</v>
      </c>
      <c r="AP37">
        <f t="shared" si="81"/>
        <v>33.599980147147114</v>
      </c>
      <c r="AQ37" s="60">
        <f t="shared" si="82"/>
        <v>-65.858018086326211</v>
      </c>
      <c r="AR37" t="str">
        <f t="shared" si="83"/>
        <v>-1.94444444444444</v>
      </c>
      <c r="AS37" t="str">
        <f t="shared" si="51"/>
        <v>1+0.00544964102114121i</v>
      </c>
      <c r="AT37">
        <f t="shared" si="84"/>
        <v>1.0000148491833805</v>
      </c>
      <c r="AU37">
        <f t="shared" si="85"/>
        <v>5.449587073222714E-3</v>
      </c>
      <c r="AV37" t="str">
        <f t="shared" si="52"/>
        <v>1+0.00544964102114121i</v>
      </c>
      <c r="AW37">
        <f t="shared" si="86"/>
        <v>1.0000148491833805</v>
      </c>
      <c r="AX37">
        <f t="shared" si="87"/>
        <v>5.449587073222714E-3</v>
      </c>
      <c r="AY37" t="str">
        <f t="shared" si="53"/>
        <v>1-0.390421968385457i</v>
      </c>
      <c r="AZ37">
        <f t="shared" si="88"/>
        <v>1.0735126051416326</v>
      </c>
      <c r="BA37">
        <f t="shared" si="89"/>
        <v>-0.37222228173037614</v>
      </c>
      <c r="BB37" s="58" t="str">
        <f t="shared" si="90"/>
        <v>-1.94024970593+0.769727491804858i</v>
      </c>
      <c r="BC37">
        <f t="shared" si="91"/>
        <v>6.391924772938208</v>
      </c>
      <c r="BD37" s="60">
        <f t="shared" si="92"/>
        <v>158.36099587673522</v>
      </c>
      <c r="BE37" s="58" t="str">
        <f t="shared" si="93"/>
        <v>2.33832430298803+69.4019562452696i</v>
      </c>
      <c r="BF37" s="37">
        <f t="shared" si="94"/>
        <v>36.832361486344183</v>
      </c>
      <c r="BG37" s="60">
        <f t="shared" si="95"/>
        <v>88.070292832977785</v>
      </c>
      <c r="BH37" s="58" t="str">
        <f t="shared" si="96"/>
        <v>-4.36306282375521+99.8115295615848i</v>
      </c>
      <c r="BI37" s="37">
        <f t="shared" si="97"/>
        <v>39.991904920085318</v>
      </c>
      <c r="BJ37" s="60">
        <f t="shared" si="98"/>
        <v>92.502977790409034</v>
      </c>
      <c r="BK37">
        <f t="shared" si="99"/>
        <v>36.832361486344183</v>
      </c>
      <c r="BL37" s="60">
        <f t="shared" si="100"/>
        <v>88.070292832977785</v>
      </c>
      <c r="BN37">
        <f t="shared" si="101"/>
        <v>0</v>
      </c>
      <c r="BO37">
        <f t="shared" si="102"/>
        <v>0</v>
      </c>
    </row>
    <row r="38" spans="1:67" ht="14.25" x14ac:dyDescent="0.2">
      <c r="M38" s="66">
        <v>20</v>
      </c>
      <c r="N38" s="36">
        <f t="shared" si="54"/>
        <v>15.848931924611136</v>
      </c>
      <c r="O38" s="91" t="str">
        <f t="shared" si="55"/>
        <v>99.7340425531915</v>
      </c>
      <c r="P38" s="67" t="str">
        <f t="shared" si="56"/>
        <v>1+2.89210903228461i</v>
      </c>
      <c r="Q38" s="67">
        <f t="shared" si="57"/>
        <v>3.0601135035521518</v>
      </c>
      <c r="R38" s="67">
        <f t="shared" si="58"/>
        <v>1.2378962426351563</v>
      </c>
      <c r="S38" s="67" t="str">
        <f t="shared" si="59"/>
        <v>1+0.00543716498069506i</v>
      </c>
      <c r="T38" s="67">
        <f t="shared" si="60"/>
        <v>1.0000147812722706</v>
      </c>
      <c r="U38" s="67">
        <f t="shared" si="61"/>
        <v>5.4371114024387886E-3</v>
      </c>
      <c r="V38" t="str">
        <f t="shared" si="62"/>
        <v>1-0.000561641217786083i</v>
      </c>
      <c r="W38" s="67">
        <f t="shared" si="63"/>
        <v>1.0000001577204163</v>
      </c>
      <c r="X38" s="67">
        <f t="shared" si="64"/>
        <v>-5.616411587312317E-4</v>
      </c>
      <c r="Y38" t="str">
        <f t="shared" si="65"/>
        <v>0.999999940547067+0.000868148818181799i</v>
      </c>
      <c r="Z38" s="67">
        <f t="shared" si="66"/>
        <v>1.0000003173882037</v>
      </c>
      <c r="AA38" s="67">
        <f t="shared" si="67"/>
        <v>8.6814865169303559E-4</v>
      </c>
      <c r="AB38" s="92" t="str">
        <f t="shared" si="68"/>
        <v>10.7739660380417-30.7598133358998i</v>
      </c>
      <c r="AC38" s="37">
        <f t="shared" si="69"/>
        <v>30.262244750252279</v>
      </c>
      <c r="AD38" s="60">
        <f t="shared" si="70"/>
        <v>-70.696627563722856</v>
      </c>
      <c r="AE38" t="str">
        <f t="shared" si="71"/>
        <v>118.329284003155</v>
      </c>
      <c r="AF38" t="str">
        <f t="shared" si="72"/>
        <v>1+2.31368722582769i</v>
      </c>
      <c r="AG38">
        <f t="shared" si="73"/>
        <v>2.5205452939707778</v>
      </c>
      <c r="AH38">
        <f t="shared" si="74"/>
        <v>1.1628341759080079</v>
      </c>
      <c r="AI38" t="str">
        <f t="shared" si="50"/>
        <v>1+0.00543716498069506i</v>
      </c>
      <c r="AJ38">
        <f t="shared" si="75"/>
        <v>1.0000147812722706</v>
      </c>
      <c r="AK38">
        <f t="shared" si="76"/>
        <v>5.4371114024387886E-3</v>
      </c>
      <c r="AL38" t="str">
        <f t="shared" si="77"/>
        <v>1-0.000378692859973687i</v>
      </c>
      <c r="AM38">
        <f t="shared" si="78"/>
        <v>1.0000000717041384</v>
      </c>
      <c r="AN38">
        <f t="shared" si="79"/>
        <v>-3.7869284187112438E-4</v>
      </c>
      <c r="AO38" s="58" t="str">
        <f t="shared" si="80"/>
        <v>18.8433214240767-42.9989866868567i</v>
      </c>
      <c r="AP38">
        <f t="shared" si="81"/>
        <v>33.432083621986528</v>
      </c>
      <c r="AQ38" s="60">
        <f t="shared" si="82"/>
        <v>-66.335664518570866</v>
      </c>
      <c r="AR38" t="str">
        <f t="shared" si="83"/>
        <v>-1.94444444444444</v>
      </c>
      <c r="AS38" t="str">
        <f t="shared" si="51"/>
        <v>1+0.00557657946737953i</v>
      </c>
      <c r="AT38">
        <f t="shared" si="84"/>
        <v>1.0000155489983924</v>
      </c>
      <c r="AU38">
        <f t="shared" si="85"/>
        <v>5.5765216611919277E-3</v>
      </c>
      <c r="AV38" t="str">
        <f t="shared" si="52"/>
        <v>1+0.00557657946737953i</v>
      </c>
      <c r="AW38">
        <f t="shared" si="86"/>
        <v>1.0000155489983924</v>
      </c>
      <c r="AX38">
        <f t="shared" si="87"/>
        <v>5.5765216611919277E-3</v>
      </c>
      <c r="AY38" t="str">
        <f t="shared" si="53"/>
        <v>1-0.381534879385101i</v>
      </c>
      <c r="AZ38">
        <f t="shared" si="88"/>
        <v>1.0703125077225826</v>
      </c>
      <c r="BA38">
        <f t="shared" si="89"/>
        <v>-0.36448753476181844</v>
      </c>
      <c r="BB38" s="58" t="str">
        <f t="shared" si="90"/>
        <v>-1.94024699034143+0.752693318110122i</v>
      </c>
      <c r="BC38">
        <f t="shared" si="91"/>
        <v>6.3659877419470456</v>
      </c>
      <c r="BD38" s="60">
        <f t="shared" si="92"/>
        <v>158.79689141747031</v>
      </c>
      <c r="BE38" s="58" t="str">
        <f t="shared" si="93"/>
        <v>2.24855078489522+67.7911274948231i</v>
      </c>
      <c r="BF38" s="37">
        <f t="shared" si="94"/>
        <v>36.628232492199324</v>
      </c>
      <c r="BG38" s="60">
        <f t="shared" si="95"/>
        <v>88.10026385374745</v>
      </c>
      <c r="BH38" s="58" t="str">
        <f t="shared" si="96"/>
        <v>-4.19564771639787+97.6118966338088i</v>
      </c>
      <c r="BI38" s="37">
        <f t="shared" si="97"/>
        <v>39.798071363933573</v>
      </c>
      <c r="BJ38" s="60">
        <f t="shared" si="98"/>
        <v>92.461226898899426</v>
      </c>
      <c r="BK38">
        <f t="shared" si="99"/>
        <v>36.628232492199324</v>
      </c>
      <c r="BL38" s="60">
        <f t="shared" si="100"/>
        <v>88.10026385374745</v>
      </c>
      <c r="BN38">
        <f t="shared" si="101"/>
        <v>0</v>
      </c>
      <c r="BO38">
        <f t="shared" si="102"/>
        <v>0</v>
      </c>
    </row>
    <row r="39" spans="1:67" ht="14.25" x14ac:dyDescent="0.2">
      <c r="A39" t="s">
        <v>477</v>
      </c>
      <c r="B39" s="23">
        <f>((VOUT/IOUT_vari)*((Vin_vari/VOUT)^2))/Lm</f>
        <v>177304.96453900708</v>
      </c>
      <c r="C39" t="s">
        <v>483</v>
      </c>
      <c r="M39" s="66">
        <v>21</v>
      </c>
      <c r="N39" s="36">
        <f t="shared" si="54"/>
        <v>16.218100973589298</v>
      </c>
      <c r="O39" s="91" t="str">
        <f t="shared" si="55"/>
        <v>99.7340425531915</v>
      </c>
      <c r="P39" s="67" t="str">
        <f t="shared" si="56"/>
        <v>1+2.95947490564871i</v>
      </c>
      <c r="Q39" s="67">
        <f t="shared" si="57"/>
        <v>3.1238584662504221</v>
      </c>
      <c r="R39" s="67">
        <f t="shared" si="58"/>
        <v>1.2449434111235591</v>
      </c>
      <c r="S39" s="67" t="str">
        <f t="shared" si="59"/>
        <v>1+0.00556381282261957i</v>
      </c>
      <c r="T39" s="67">
        <f t="shared" si="60"/>
        <v>1.00001547788678</v>
      </c>
      <c r="U39" s="67">
        <f t="shared" si="61"/>
        <v>5.5637554125316244E-3</v>
      </c>
      <c r="V39" t="str">
        <f t="shared" si="62"/>
        <v>1-0.000574723522336526i</v>
      </c>
      <c r="W39" s="67">
        <f t="shared" si="63"/>
        <v>1.0000001651535499</v>
      </c>
      <c r="X39" s="67">
        <f t="shared" si="64"/>
        <v>-5.7472345905811332E-4</v>
      </c>
      <c r="Y39" t="str">
        <f t="shared" si="65"/>
        <v>0.999999937745136+0.000888370601902251i</v>
      </c>
      <c r="Z39" s="67">
        <f t="shared" si="66"/>
        <v>1.0000003323462459</v>
      </c>
      <c r="AA39" s="67">
        <f t="shared" si="67"/>
        <v>8.8837042350633057E-4</v>
      </c>
      <c r="AB39" s="92" t="str">
        <f t="shared" si="68"/>
        <v>10.3443341399713-30.2048166358653i</v>
      </c>
      <c r="AC39" s="37">
        <f t="shared" si="69"/>
        <v>30.083174463584047</v>
      </c>
      <c r="AD39" s="60">
        <f t="shared" si="70"/>
        <v>-71.095052591121245</v>
      </c>
      <c r="AE39" t="str">
        <f t="shared" si="71"/>
        <v>118.329284003155</v>
      </c>
      <c r="AF39" t="str">
        <f t="shared" si="72"/>
        <v>1+2.36757992451896i</v>
      </c>
      <c r="AG39">
        <f t="shared" si="73"/>
        <v>2.5701040249346336</v>
      </c>
      <c r="AH39">
        <f t="shared" si="74"/>
        <v>1.1711535323776843</v>
      </c>
      <c r="AI39" t="str">
        <f t="shared" si="50"/>
        <v>1+0.00556381282261957i</v>
      </c>
      <c r="AJ39">
        <f t="shared" si="75"/>
        <v>1.00001547788678</v>
      </c>
      <c r="AK39">
        <f t="shared" si="76"/>
        <v>5.5637554125316244E-3</v>
      </c>
      <c r="AL39" t="str">
        <f t="shared" si="77"/>
        <v>1-0.00038751374983783i</v>
      </c>
      <c r="AM39">
        <f t="shared" si="78"/>
        <v>1.0000000750834503</v>
      </c>
      <c r="AN39">
        <f t="shared" si="79"/>
        <v>-3.8751373044058473E-4</v>
      </c>
      <c r="AO39" s="58" t="str">
        <f t="shared" si="80"/>
        <v>18.1335075841916-42.320020754376i</v>
      </c>
      <c r="AP39">
        <f t="shared" si="81"/>
        <v>33.262965788463653</v>
      </c>
      <c r="AQ39" s="60">
        <f t="shared" si="82"/>
        <v>-66.805577764955871</v>
      </c>
      <c r="AR39" t="str">
        <f t="shared" si="83"/>
        <v>-1.94444444444444</v>
      </c>
      <c r="AS39" t="str">
        <f t="shared" si="51"/>
        <v>1+0.0057064746898662i</v>
      </c>
      <c r="AT39">
        <f t="shared" si="84"/>
        <v>1.0000162817941447</v>
      </c>
      <c r="AU39">
        <f t="shared" si="85"/>
        <v>5.706412749474689E-3</v>
      </c>
      <c r="AV39" t="str">
        <f t="shared" si="52"/>
        <v>1+0.0057064746898662i</v>
      </c>
      <c r="AW39">
        <f t="shared" si="86"/>
        <v>1.0000162817941447</v>
      </c>
      <c r="AX39">
        <f t="shared" si="87"/>
        <v>5.706412749474689E-3</v>
      </c>
      <c r="AY39" t="str">
        <f t="shared" si="53"/>
        <v>1-0.372850085228008i</v>
      </c>
      <c r="AZ39">
        <f t="shared" si="88"/>
        <v>1.0672474811657007</v>
      </c>
      <c r="BA39">
        <f t="shared" si="89"/>
        <v>-0.35688448252175609</v>
      </c>
      <c r="BB39" s="58" t="str">
        <f t="shared" si="90"/>
        <v>-1.94024414677927+0.736058230947993i</v>
      </c>
      <c r="BC39">
        <f t="shared" si="91"/>
        <v>6.3410721340079501</v>
      </c>
      <c r="BD39" s="60">
        <f t="shared" si="92"/>
        <v>159.22507201108846</v>
      </c>
      <c r="BE39" s="58" t="str">
        <f t="shared" si="93"/>
        <v>2.16197013169523+66.218750969681i</v>
      </c>
      <c r="BF39" s="37">
        <f t="shared" si="94"/>
        <v>36.42424659759201</v>
      </c>
      <c r="BG39" s="60">
        <f t="shared" si="95"/>
        <v>88.130019419967226</v>
      </c>
      <c r="BH39" s="58" t="str">
        <f t="shared" si="96"/>
        <v>-4.0334323406569+95.4584900735574i</v>
      </c>
      <c r="BI39" s="37">
        <f t="shared" si="97"/>
        <v>39.604037922471605</v>
      </c>
      <c r="BJ39" s="60">
        <f t="shared" si="98"/>
        <v>92.419494246132601</v>
      </c>
      <c r="BK39">
        <f t="shared" si="99"/>
        <v>36.42424659759201</v>
      </c>
      <c r="BL39" s="60">
        <f t="shared" si="100"/>
        <v>88.130019419967226</v>
      </c>
      <c r="BN39">
        <f t="shared" si="101"/>
        <v>0</v>
      </c>
      <c r="BO39">
        <f t="shared" si="102"/>
        <v>0</v>
      </c>
    </row>
    <row r="40" spans="1:67" ht="14.25" x14ac:dyDescent="0.2">
      <c r="B40" s="23">
        <f>wz_rhp/(2*PI())</f>
        <v>28218.961541116194</v>
      </c>
      <c r="C40" t="s">
        <v>70</v>
      </c>
      <c r="E40" t="s">
        <v>486</v>
      </c>
      <c r="M40" s="66">
        <v>22</v>
      </c>
      <c r="N40" s="36">
        <f t="shared" si="54"/>
        <v>16.595869074375614</v>
      </c>
      <c r="O40" s="91" t="str">
        <f t="shared" si="55"/>
        <v>99.7340425531915</v>
      </c>
      <c r="P40" s="67" t="str">
        <f t="shared" si="56"/>
        <v>1+3.02840993178108i</v>
      </c>
      <c r="Q40" s="67">
        <f t="shared" si="57"/>
        <v>3.1892423418282729</v>
      </c>
      <c r="R40" s="67">
        <f t="shared" si="58"/>
        <v>1.2518627490274339</v>
      </c>
      <c r="S40" s="67" t="str">
        <f t="shared" si="59"/>
        <v>1+0.00569341067174842i</v>
      </c>
      <c r="T40" s="67">
        <f t="shared" si="60"/>
        <v>1.0000162073311998</v>
      </c>
      <c r="U40" s="67">
        <f t="shared" si="61"/>
        <v>5.6933491557847179E-3</v>
      </c>
      <c r="V40" t="str">
        <f t="shared" si="62"/>
        <v>1-0.000588110552905881i</v>
      </c>
      <c r="W40" s="67">
        <f t="shared" si="63"/>
        <v>1.0000001729369963</v>
      </c>
      <c r="X40" s="67">
        <f t="shared" si="64"/>
        <v>-5.8811048510184084E-4</v>
      </c>
      <c r="Y40" t="str">
        <f t="shared" si="65"/>
        <v>0.999999934811155+0.000909063411474812i</v>
      </c>
      <c r="Z40" s="67">
        <f t="shared" si="66"/>
        <v>1.0000003480092396</v>
      </c>
      <c r="AA40" s="67">
        <f t="shared" si="67"/>
        <v>9.0906322032014255E-4</v>
      </c>
      <c r="AB40" s="92" t="str">
        <f t="shared" si="68"/>
        <v>9.93014706063124-29.6540489601846i</v>
      </c>
      <c r="AC40" s="37">
        <f t="shared" si="69"/>
        <v>29.903257282289225</v>
      </c>
      <c r="AD40" s="60">
        <f t="shared" si="70"/>
        <v>-71.486028905514743</v>
      </c>
      <c r="AE40" t="str">
        <f t="shared" si="71"/>
        <v>118.329284003155</v>
      </c>
      <c r="AF40" t="str">
        <f t="shared" si="72"/>
        <v>1+2.42272794542486i</v>
      </c>
      <c r="AG40">
        <f t="shared" si="73"/>
        <v>2.6209942192882769</v>
      </c>
      <c r="AH40">
        <f t="shared" si="74"/>
        <v>1.179340404713237</v>
      </c>
      <c r="AI40" t="str">
        <f t="shared" si="50"/>
        <v>1+0.00569341067174842i</v>
      </c>
      <c r="AJ40">
        <f t="shared" si="75"/>
        <v>1.0000162073311998</v>
      </c>
      <c r="AK40">
        <f t="shared" si="76"/>
        <v>5.6933491557847179E-3</v>
      </c>
      <c r="AL40" t="str">
        <f t="shared" si="77"/>
        <v>1-0.00039654010462149i</v>
      </c>
      <c r="AM40">
        <f t="shared" si="78"/>
        <v>1.0000000786220242</v>
      </c>
      <c r="AN40">
        <f t="shared" si="79"/>
        <v>-3.9654008383696734E-4</v>
      </c>
      <c r="AO40" s="58" t="str">
        <f t="shared" si="80"/>
        <v>17.4461205296167-41.6404288446873i</v>
      </c>
      <c r="AP40">
        <f t="shared" si="81"/>
        <v>33.092664928146988</v>
      </c>
      <c r="AQ40" s="60">
        <f t="shared" si="82"/>
        <v>-67.267742994609719</v>
      </c>
      <c r="AR40" t="str">
        <f t="shared" si="83"/>
        <v>-1.94444444444444</v>
      </c>
      <c r="AS40" t="str">
        <f t="shared" si="51"/>
        <v>1+0.00583939556076759i</v>
      </c>
      <c r="AT40">
        <f t="shared" si="84"/>
        <v>1.0000170491249212</v>
      </c>
      <c r="AU40">
        <f t="shared" si="85"/>
        <v>5.8393291905034245E-3</v>
      </c>
      <c r="AV40" t="str">
        <f t="shared" si="52"/>
        <v>1+0.00583939556076759i</v>
      </c>
      <c r="AW40">
        <f t="shared" si="86"/>
        <v>1.0000170491249212</v>
      </c>
      <c r="AX40">
        <f t="shared" si="87"/>
        <v>5.8393291905034245E-3</v>
      </c>
      <c r="AY40" t="str">
        <f t="shared" si="53"/>
        <v>1-0.364362981121354i</v>
      </c>
      <c r="AZ40">
        <f t="shared" si="88"/>
        <v>1.0643121637995312</v>
      </c>
      <c r="BA40">
        <f t="shared" si="89"/>
        <v>-0.34941261081519104</v>
      </c>
      <c r="BB40" s="58" t="str">
        <f t="shared" si="90"/>
        <v>-1.94024116921308+0.719813410072952i</v>
      </c>
      <c r="BC40">
        <f t="shared" si="91"/>
        <v>6.3171432121754805</v>
      </c>
      <c r="BD40" s="60">
        <f t="shared" si="92"/>
        <v>159.64556317383901</v>
      </c>
      <c r="BE40" s="58" t="str">
        <f t="shared" si="93"/>
        <v>2.07850196112377+64.6838596446494i</v>
      </c>
      <c r="BF40" s="37">
        <f t="shared" si="94"/>
        <v>36.220400494464712</v>
      </c>
      <c r="BG40" s="60">
        <f t="shared" si="95"/>
        <v>88.159534268324251</v>
      </c>
      <c r="BH40" s="58" t="str">
        <f t="shared" si="96"/>
        <v>-3.87634221102135+93.3504258591173i</v>
      </c>
      <c r="BI40" s="37">
        <f t="shared" si="97"/>
        <v>39.409808140322468</v>
      </c>
      <c r="BJ40" s="60">
        <f t="shared" si="98"/>
        <v>92.377820179229289</v>
      </c>
      <c r="BK40">
        <f t="shared" si="99"/>
        <v>36.220400494464712</v>
      </c>
      <c r="BL40" s="60">
        <f t="shared" si="100"/>
        <v>88.159534268324251</v>
      </c>
      <c r="BN40">
        <f t="shared" si="101"/>
        <v>0</v>
      </c>
      <c r="BO40">
        <f t="shared" si="102"/>
        <v>0</v>
      </c>
    </row>
    <row r="41" spans="1:67" ht="14.25" x14ac:dyDescent="0.2">
      <c r="M41" s="66">
        <v>23</v>
      </c>
      <c r="N41" s="36">
        <f t="shared" si="54"/>
        <v>16.982436524617448</v>
      </c>
      <c r="O41" s="91" t="str">
        <f t="shared" si="55"/>
        <v>99.7340425531915</v>
      </c>
      <c r="P41" s="67" t="str">
        <f t="shared" si="56"/>
        <v>1+3.098950660945i</v>
      </c>
      <c r="Q41" s="67">
        <f t="shared" si="57"/>
        <v>3.2563008458942257</v>
      </c>
      <c r="R41" s="67">
        <f t="shared" si="58"/>
        <v>1.2586552739533636</v>
      </c>
      <c r="S41" s="67" t="str">
        <f t="shared" si="59"/>
        <v>1+0.0058260272425766i</v>
      </c>
      <c r="T41" s="67">
        <f t="shared" si="60"/>
        <v>1.0000169711527056</v>
      </c>
      <c r="U41" s="67">
        <f t="shared" si="61"/>
        <v>5.8259613270943292E-3</v>
      </c>
      <c r="V41" t="str">
        <f t="shared" si="62"/>
        <v>1-0.000601809407474945i</v>
      </c>
      <c r="W41" s="67">
        <f t="shared" si="63"/>
        <v>1.0000001810872652</v>
      </c>
      <c r="X41" s="67">
        <f t="shared" si="64"/>
        <v>-6.0180933482160775E-4</v>
      </c>
      <c r="Y41" t="str">
        <f t="shared" si="65"/>
        <v>0.999999931738899+0.000930238218501008i</v>
      </c>
      <c r="Z41" s="67">
        <f t="shared" si="66"/>
        <v>1.0000003644104065</v>
      </c>
      <c r="AA41" s="67">
        <f t="shared" si="67"/>
        <v>9.3023801367509372E-4</v>
      </c>
      <c r="AB41" s="92" t="str">
        <f t="shared" si="68"/>
        <v>9.53100251269214-29.1078512633476i</v>
      </c>
      <c r="AC41" s="37">
        <f t="shared" si="69"/>
        <v>29.722523831204889</v>
      </c>
      <c r="AD41" s="60">
        <f t="shared" si="70"/>
        <v>-71.86961191084427</v>
      </c>
      <c r="AE41" t="str">
        <f t="shared" si="71"/>
        <v>118.329284003155</v>
      </c>
      <c r="AF41" t="str">
        <f t="shared" si="72"/>
        <v>1+2.479160528756i</v>
      </c>
      <c r="AG41">
        <f t="shared" si="73"/>
        <v>2.6732446441247628</v>
      </c>
      <c r="AH41">
        <f t="shared" si="74"/>
        <v>1.1873947428597371</v>
      </c>
      <c r="AI41" t="str">
        <f t="shared" si="50"/>
        <v>1+0.0058260272425766i</v>
      </c>
      <c r="AJ41">
        <f t="shared" si="75"/>
        <v>1.0000169711527056</v>
      </c>
      <c r="AK41">
        <f t="shared" si="76"/>
        <v>5.8259613270943292E-3</v>
      </c>
      <c r="AL41" t="str">
        <f t="shared" si="77"/>
        <v>1-0.000405776710217447i</v>
      </c>
      <c r="AM41">
        <f t="shared" si="78"/>
        <v>1.0000000823273658</v>
      </c>
      <c r="AN41">
        <f t="shared" si="79"/>
        <v>-4.0577668794642986E-4</v>
      </c>
      <c r="AO41" s="58" t="str">
        <f t="shared" si="80"/>
        <v>16.7808085527499-40.9609438399769i</v>
      </c>
      <c r="AP41">
        <f t="shared" si="81"/>
        <v>32.921218748899847</v>
      </c>
      <c r="AQ41" s="60">
        <f t="shared" si="82"/>
        <v>-67.722153677879774</v>
      </c>
      <c r="AR41" t="str">
        <f t="shared" si="83"/>
        <v>-1.94444444444444</v>
      </c>
      <c r="AS41" t="str">
        <f t="shared" si="51"/>
        <v>1+0.0059754125564888i</v>
      </c>
      <c r="AT41">
        <f t="shared" si="84"/>
        <v>1.0000178526182522</v>
      </c>
      <c r="AU41">
        <f t="shared" si="85"/>
        <v>5.9753414395380226E-3</v>
      </c>
      <c r="AV41" t="str">
        <f t="shared" si="52"/>
        <v>1+0.0059754125564888i</v>
      </c>
      <c r="AW41">
        <f t="shared" si="86"/>
        <v>1.0000178526182522</v>
      </c>
      <c r="AX41">
        <f t="shared" si="87"/>
        <v>5.9753414395380226E-3</v>
      </c>
      <c r="AY41" t="str">
        <f t="shared" si="53"/>
        <v>1-0.356069067090208i</v>
      </c>
      <c r="AZ41">
        <f t="shared" si="88"/>
        <v>1.0615013803752169</v>
      </c>
      <c r="BA41">
        <f t="shared" si="89"/>
        <v>-0.34207129611097098</v>
      </c>
      <c r="BB41" s="58" t="str">
        <f t="shared" si="90"/>
        <v>-1.94023805132831+0.703950242156555i</v>
      </c>
      <c r="BC41">
        <f t="shared" si="91"/>
        <v>6.2941669856205573</v>
      </c>
      <c r="BD41" s="60">
        <f t="shared" si="92"/>
        <v>160.05839659463629</v>
      </c>
      <c r="BE41" s="58" t="str">
        <f t="shared" si="93"/>
        <v>1.99806520305951+63.1855121403562i</v>
      </c>
      <c r="BF41" s="37">
        <f t="shared" si="94"/>
        <v>36.016690816825445</v>
      </c>
      <c r="BG41" s="60">
        <f t="shared" si="95"/>
        <v>88.188784683792036</v>
      </c>
      <c r="BH41" s="58" t="str">
        <f t="shared" si="96"/>
        <v>-3.72429695098812+91.2868361009362i</v>
      </c>
      <c r="BI41" s="37">
        <f t="shared" si="97"/>
        <v>39.215385734520403</v>
      </c>
      <c r="BJ41" s="60">
        <f t="shared" si="98"/>
        <v>92.336242916756518</v>
      </c>
      <c r="BK41">
        <f t="shared" si="99"/>
        <v>36.016690816825445</v>
      </c>
      <c r="BL41" s="60">
        <f t="shared" si="100"/>
        <v>88.188784683792036</v>
      </c>
      <c r="BN41">
        <f t="shared" si="101"/>
        <v>0</v>
      </c>
      <c r="BO41">
        <f t="shared" si="102"/>
        <v>0</v>
      </c>
    </row>
    <row r="42" spans="1:67" ht="14.25" x14ac:dyDescent="0.2">
      <c r="A42" t="s">
        <v>478</v>
      </c>
      <c r="B42" s="23">
        <f>1/(COUT*RESR)</f>
        <v>18315.018315018315</v>
      </c>
      <c r="C42" t="s">
        <v>483</v>
      </c>
      <c r="M42" s="66">
        <v>24</v>
      </c>
      <c r="N42" s="36">
        <f t="shared" si="54"/>
        <v>17.378008287493756</v>
      </c>
      <c r="O42" s="91" t="str">
        <f t="shared" si="55"/>
        <v>99.7340425531915</v>
      </c>
      <c r="P42" s="67" t="str">
        <f t="shared" si="56"/>
        <v>1+3.17113449476884i</v>
      </c>
      <c r="Q42" s="67">
        <f t="shared" si="57"/>
        <v>3.3250705231487685</v>
      </c>
      <c r="R42" s="67">
        <f t="shared" si="58"/>
        <v>1.2653220793568025</v>
      </c>
      <c r="S42" s="67" t="str">
        <f t="shared" si="59"/>
        <v>1+0.00596173285016542i</v>
      </c>
      <c r="T42" s="67">
        <f t="shared" si="60"/>
        <v>1.0000177709713847</v>
      </c>
      <c r="U42" s="67">
        <f t="shared" si="61"/>
        <v>5.9616622205214409E-3</v>
      </c>
      <c r="V42" t="str">
        <f t="shared" si="62"/>
        <v>1-0.000615827349357747i</v>
      </c>
      <c r="W42" s="67">
        <f t="shared" si="63"/>
        <v>1.0000001896216442</v>
      </c>
      <c r="X42" s="67">
        <f t="shared" si="64"/>
        <v>-6.1582727150829436E-4</v>
      </c>
      <c r="Y42" t="str">
        <f t="shared" si="65"/>
        <v>0.999999928521853+0.000951906250143818i</v>
      </c>
      <c r="Z42" s="67">
        <f t="shared" si="66"/>
        <v>1.0000003815845373</v>
      </c>
      <c r="AA42" s="67">
        <f t="shared" si="67"/>
        <v>9.5190603066890045E-4</v>
      </c>
      <c r="AB42" s="92" t="str">
        <f t="shared" si="68"/>
        <v>9.14649615664811-28.5665388814803i</v>
      </c>
      <c r="AC42" s="37">
        <f t="shared" si="69"/>
        <v>29.541003925674268</v>
      </c>
      <c r="AD42" s="60">
        <f t="shared" si="70"/>
        <v>-72.245861289360633</v>
      </c>
      <c r="AE42" t="str">
        <f t="shared" si="71"/>
        <v>118.329284003155</v>
      </c>
      <c r="AF42" t="str">
        <f t="shared" si="72"/>
        <v>1+2.53690759581507i</v>
      </c>
      <c r="AG42">
        <f t="shared" si="73"/>
        <v>2.7268846968113998</v>
      </c>
      <c r="AH42">
        <f t="shared" si="74"/>
        <v>1.1953166362574792</v>
      </c>
      <c r="AI42" t="str">
        <f t="shared" si="50"/>
        <v>1+0.00596173285016542i</v>
      </c>
      <c r="AJ42">
        <f t="shared" si="75"/>
        <v>1.0000177709713847</v>
      </c>
      <c r="AK42">
        <f t="shared" si="76"/>
        <v>5.9616622205214409E-3</v>
      </c>
      <c r="AL42" t="str">
        <f t="shared" si="77"/>
        <v>1-0.000415228463996253i</v>
      </c>
      <c r="AM42">
        <f t="shared" si="78"/>
        <v>1.0000000862073348</v>
      </c>
      <c r="AN42">
        <f t="shared" si="79"/>
        <v>-4.1522844013242824E-4</v>
      </c>
      <c r="AO42" s="58" t="str">
        <f t="shared" si="80"/>
        <v>16.1371968704507-40.2822634230737i</v>
      </c>
      <c r="AP42">
        <f t="shared" si="81"/>
        <v>32.748664343543567</v>
      </c>
      <c r="AQ42" s="60">
        <f t="shared" si="82"/>
        <v>-68.168811192362625</v>
      </c>
      <c r="AR42" t="str">
        <f t="shared" si="83"/>
        <v>-1.94444444444444</v>
      </c>
      <c r="AS42" t="str">
        <f t="shared" si="51"/>
        <v>1+0.00611459779504144i</v>
      </c>
      <c r="AT42">
        <f t="shared" si="84"/>
        <v>1.0000186939783651</v>
      </c>
      <c r="AU42">
        <f t="shared" si="85"/>
        <v>6.114521591932689E-3</v>
      </c>
      <c r="AV42" t="str">
        <f t="shared" si="52"/>
        <v>1+0.00611459779504144i</v>
      </c>
      <c r="AW42">
        <f t="shared" si="86"/>
        <v>1.0000186939783651</v>
      </c>
      <c r="AX42">
        <f t="shared" si="87"/>
        <v>6.114521591932689E-3</v>
      </c>
      <c r="AY42" t="str">
        <f t="shared" si="53"/>
        <v>1-0.347963945591561i</v>
      </c>
      <c r="AZ42">
        <f t="shared" si="88"/>
        <v>1.0588101375750267</v>
      </c>
      <c r="BA42">
        <f t="shared" si="89"/>
        <v>-0.33485981218728511</v>
      </c>
      <c r="BB42" s="58" t="str">
        <f t="shared" si="90"/>
        <v>-1.94023478651291+0.688460316219953i</v>
      </c>
      <c r="BC42">
        <f t="shared" si="91"/>
        <v>6.2721102286371462</v>
      </c>
      <c r="BD42" s="60">
        <f t="shared" si="92"/>
        <v>160.46360975216581</v>
      </c>
      <c r="BE42" s="58" t="str">
        <f t="shared" si="93"/>
        <v>1.92057837381821+61.7227921044322i</v>
      </c>
      <c r="BF42" s="37">
        <f t="shared" si="94"/>
        <v>35.813114154311414</v>
      </c>
      <c r="BG42" s="60">
        <f t="shared" si="95"/>
        <v>88.21774846280519</v>
      </c>
      <c r="BH42" s="58" t="str">
        <f t="shared" si="96"/>
        <v>-3.57721091055095+89.2668684332583i</v>
      </c>
      <c r="BI42" s="37">
        <f t="shared" si="97"/>
        <v>39.020774572180706</v>
      </c>
      <c r="BJ42" s="60">
        <f t="shared" si="98"/>
        <v>92.294798559803198</v>
      </c>
      <c r="BK42">
        <f t="shared" si="99"/>
        <v>35.813114154311414</v>
      </c>
      <c r="BL42" s="60">
        <f t="shared" si="100"/>
        <v>88.21774846280519</v>
      </c>
      <c r="BN42">
        <f t="shared" si="101"/>
        <v>0</v>
      </c>
      <c r="BO42">
        <f t="shared" si="102"/>
        <v>0</v>
      </c>
    </row>
    <row r="43" spans="1:67" ht="14.25" x14ac:dyDescent="0.2">
      <c r="B43" s="23">
        <f>B42/(2*PI())</f>
        <v>2914.9256976537608</v>
      </c>
      <c r="C43" t="s">
        <v>70</v>
      </c>
      <c r="E43" t="s">
        <v>487</v>
      </c>
      <c r="M43" s="66">
        <v>25</v>
      </c>
      <c r="N43" s="36">
        <f t="shared" si="54"/>
        <v>17.782794100389236</v>
      </c>
      <c r="O43" s="91" t="str">
        <f t="shared" si="55"/>
        <v>99.7340425531915</v>
      </c>
      <c r="P43" s="67" t="str">
        <f t="shared" si="56"/>
        <v>1+3.24499970607671i</v>
      </c>
      <c r="Q43" s="67">
        <f t="shared" si="57"/>
        <v>3.3955887696300819</v>
      </c>
      <c r="R43" s="67">
        <f t="shared" si="58"/>
        <v>1.2718643287131555</v>
      </c>
      <c r="S43" s="67" t="str">
        <f t="shared" si="59"/>
        <v>1+0.00610059944742421i</v>
      </c>
      <c r="T43" s="67">
        <f t="shared" si="60"/>
        <v>1.0000186084836711</v>
      </c>
      <c r="U43" s="67">
        <f t="shared" si="61"/>
        <v>6.1005237664732235E-3</v>
      </c>
      <c r="V43" t="str">
        <f t="shared" si="62"/>
        <v>1-0.000630171811052611i</v>
      </c>
      <c r="W43" s="67">
        <f t="shared" si="63"/>
        <v>1.0000001985582361</v>
      </c>
      <c r="X43" s="67">
        <f t="shared" si="64"/>
        <v>-6.3017172763542046E-4</v>
      </c>
      <c r="Y43" t="str">
        <f t="shared" si="65"/>
        <v>0.999999925153191+0.000974078995080414i</v>
      </c>
      <c r="Z43" s="67">
        <f t="shared" si="66"/>
        <v>1.0000003995680584</v>
      </c>
      <c r="AA43" s="67">
        <f t="shared" si="67"/>
        <v>9.740787599088087E-4</v>
      </c>
      <c r="AB43" s="92" t="str">
        <f t="shared" si="68"/>
        <v>8.77622286128569-28.0304023512915i</v>
      </c>
      <c r="AC43" s="37">
        <f t="shared" si="69"/>
        <v>29.358726568738049</v>
      </c>
      <c r="AD43" s="60">
        <f t="shared" si="70"/>
        <v>-72.61484066608331</v>
      </c>
      <c r="AE43" t="str">
        <f t="shared" si="71"/>
        <v>118.329284003155</v>
      </c>
      <c r="AF43" t="str">
        <f t="shared" si="72"/>
        <v>1+2.59599976486137i</v>
      </c>
      <c r="AG43">
        <f t="shared" si="73"/>
        <v>2.7819444241681555</v>
      </c>
      <c r="AH43">
        <f t="shared" si="74"/>
        <v>1.2031063069672161</v>
      </c>
      <c r="AI43" t="str">
        <f t="shared" si="50"/>
        <v>1+0.00610059944742421i</v>
      </c>
      <c r="AJ43">
        <f t="shared" si="75"/>
        <v>1.0000186084836711</v>
      </c>
      <c r="AK43">
        <f t="shared" si="76"/>
        <v>6.1005237664732235E-3</v>
      </c>
      <c r="AL43" t="str">
        <f t="shared" si="77"/>
        <v>1-0.000424900377402865i</v>
      </c>
      <c r="AM43">
        <f t="shared" si="78"/>
        <v>1.0000000902701613</v>
      </c>
      <c r="AN43">
        <f t="shared" si="79"/>
        <v>-4.2490035183231624E-4</v>
      </c>
      <c r="AO43" s="58" t="str">
        <f t="shared" si="80"/>
        <v>15.5148902377644-39.6050500019133i</v>
      </c>
      <c r="AP43">
        <f t="shared" si="81"/>
        <v>32.575038153027364</v>
      </c>
      <c r="AQ43" s="60">
        <f t="shared" si="82"/>
        <v>-68.607724427027776</v>
      </c>
      <c r="AR43" t="str">
        <f t="shared" si="83"/>
        <v>-1.94444444444444</v>
      </c>
      <c r="AS43" t="str">
        <f t="shared" si="51"/>
        <v>1+0.00625702507428123i</v>
      </c>
      <c r="AT43">
        <f t="shared" si="84"/>
        <v>1.0000195749898</v>
      </c>
      <c r="AU43">
        <f t="shared" si="85"/>
        <v>6.2569434212654072E-3</v>
      </c>
      <c r="AV43" t="str">
        <f t="shared" si="52"/>
        <v>1+0.00625702507428123i</v>
      </c>
      <c r="AW43">
        <f t="shared" si="86"/>
        <v>1.0000195749898</v>
      </c>
      <c r="AX43">
        <f t="shared" si="87"/>
        <v>6.2569434212654072E-3</v>
      </c>
      <c r="AY43" t="str">
        <f t="shared" si="53"/>
        <v>1-0.340043319182718i</v>
      </c>
      <c r="AZ43">
        <f t="shared" si="88"/>
        <v>1.0562336194804631</v>
      </c>
      <c r="BA43">
        <f t="shared" si="89"/>
        <v>-0.32777733665756292</v>
      </c>
      <c r="BB43" s="58" t="str">
        <f t="shared" si="90"/>
        <v>-1.94023136784327+0.673335419173785i</v>
      </c>
      <c r="BC43">
        <f t="shared" si="91"/>
        <v>6.2509404961366419</v>
      </c>
      <c r="BD43" s="60">
        <f t="shared" si="92"/>
        <v>160.8612455387923</v>
      </c>
      <c r="BE43" s="58" t="str">
        <f t="shared" si="93"/>
        <v>1.845959830167+60.2948075943099i</v>
      </c>
      <c r="BF43" s="37">
        <f t="shared" si="94"/>
        <v>35.609667064874692</v>
      </c>
      <c r="BG43" s="60">
        <f t="shared" si="95"/>
        <v>88.246404872708993</v>
      </c>
      <c r="BH43" s="58" t="str">
        <f t="shared" si="96"/>
        <v>-3.43499376351881+87.2896854603937i</v>
      </c>
      <c r="BI43" s="37">
        <f t="shared" si="97"/>
        <v>38.825978649164007</v>
      </c>
      <c r="BJ43" s="60">
        <f t="shared" si="98"/>
        <v>92.253521111764528</v>
      </c>
      <c r="BK43">
        <f t="shared" si="99"/>
        <v>35.609667064874692</v>
      </c>
      <c r="BL43" s="60">
        <f t="shared" si="100"/>
        <v>88.246404872708993</v>
      </c>
      <c r="BN43">
        <f t="shared" si="101"/>
        <v>0</v>
      </c>
      <c r="BO43">
        <f t="shared" si="102"/>
        <v>0</v>
      </c>
    </row>
    <row r="44" spans="1:67" ht="14.25" x14ac:dyDescent="0.2">
      <c r="M44" s="66">
        <v>26</v>
      </c>
      <c r="N44" s="36">
        <f t="shared" si="54"/>
        <v>18.197008586099841</v>
      </c>
      <c r="O44" s="91" t="str">
        <f t="shared" si="55"/>
        <v>99.7340425531915</v>
      </c>
      <c r="P44" s="67" t="str">
        <f t="shared" si="56"/>
        <v>1+3.32058545918141i</v>
      </c>
      <c r="Q44" s="67">
        <f t="shared" si="57"/>
        <v>3.4678938553143488</v>
      </c>
      <c r="R44" s="67">
        <f t="shared" si="58"/>
        <v>1.2782832498824976</v>
      </c>
      <c r="S44" s="67" t="str">
        <f t="shared" si="59"/>
        <v>1+0.00624270066326105i</v>
      </c>
      <c r="T44" s="67">
        <f t="shared" si="60"/>
        <v>1.0000194854659439</v>
      </c>
      <c r="U44" s="67">
        <f t="shared" si="61"/>
        <v>6.2426195697463695E-3</v>
      </c>
      <c r="V44" t="str">
        <f t="shared" si="62"/>
        <v>1-0.000644850398183009i</v>
      </c>
      <c r="W44" s="67">
        <f t="shared" si="63"/>
        <v>1.0000002079159964</v>
      </c>
      <c r="X44" s="67">
        <f t="shared" si="64"/>
        <v>-6.4485030879987996E-4</v>
      </c>
      <c r="Y44" t="str">
        <f t="shared" si="65"/>
        <v>0.99999992162577+0.000996768209593669i</v>
      </c>
      <c r="Z44" s="67">
        <f t="shared" si="66"/>
        <v>1.0000004183991174</v>
      </c>
      <c r="AA44" s="67">
        <f t="shared" si="67"/>
        <v>9.9676795760275899E-4</v>
      </c>
      <c r="AB44" s="92" t="str">
        <f t="shared" si="68"/>
        <v>8.41977786562588-27.4997082645641i</v>
      </c>
      <c r="AC44" s="37">
        <f t="shared" si="69"/>
        <v>29.175719950757891</v>
      </c>
      <c r="AD44" s="60">
        <f t="shared" si="70"/>
        <v>-72.976617284318067</v>
      </c>
      <c r="AE44" t="str">
        <f t="shared" si="71"/>
        <v>118.329284003155</v>
      </c>
      <c r="AF44" t="str">
        <f t="shared" si="72"/>
        <v>1+2.65646836734513i</v>
      </c>
      <c r="AG44">
        <f t="shared" si="73"/>
        <v>2.8384545419480123</v>
      </c>
      <c r="AH44">
        <f t="shared" si="74"/>
        <v>1.2107641027974489</v>
      </c>
      <c r="AI44" t="str">
        <f t="shared" si="50"/>
        <v>1+0.00624270066326105i</v>
      </c>
      <c r="AJ44">
        <f t="shared" si="75"/>
        <v>1.0000194854659439</v>
      </c>
      <c r="AK44">
        <f t="shared" si="76"/>
        <v>6.2426195697463695E-3</v>
      </c>
      <c r="AL44" t="str">
        <f t="shared" si="77"/>
        <v>1-0.0004347975786138i</v>
      </c>
      <c r="AM44">
        <f t="shared" si="78"/>
        <v>1.0000000945244627</v>
      </c>
      <c r="AN44">
        <f t="shared" si="79"/>
        <v>-4.3479755121446346E-4</v>
      </c>
      <c r="AO44" s="58" t="str">
        <f t="shared" si="80"/>
        <v>14.9134754638275-38.9299308032696i</v>
      </c>
      <c r="AP44">
        <f t="shared" si="81"/>
        <v>32.400375933944417</v>
      </c>
      <c r="AQ44" s="60">
        <f t="shared" si="82"/>
        <v>-69.038909386412612</v>
      </c>
      <c r="AR44" t="str">
        <f t="shared" si="83"/>
        <v>-1.94444444444444</v>
      </c>
      <c r="AS44" t="str">
        <f t="shared" si="51"/>
        <v>1+0.00640276991103695i</v>
      </c>
      <c r="AT44">
        <f t="shared" si="84"/>
        <v>1.0000204975211926</v>
      </c>
      <c r="AU44">
        <f t="shared" si="85"/>
        <v>6.402682418351022E-3</v>
      </c>
      <c r="AV44" t="str">
        <f t="shared" si="52"/>
        <v>1+0.00640276991103695i</v>
      </c>
      <c r="AW44">
        <f t="shared" si="86"/>
        <v>1.0000204975211926</v>
      </c>
      <c r="AX44">
        <f t="shared" si="87"/>
        <v>6.402682418351022E-3</v>
      </c>
      <c r="AY44" t="str">
        <f t="shared" si="53"/>
        <v>1-0.332302988242709i</v>
      </c>
      <c r="AZ44">
        <f t="shared" si="88"/>
        <v>1.0537671830129434</v>
      </c>
      <c r="BA44">
        <f t="shared" si="89"/>
        <v>-0.32082295735752758</v>
      </c>
      <c r="BB44" s="58" t="str">
        <f t="shared" si="90"/>
        <v>-1.9402277880696+0.658567531462832i</v>
      </c>
      <c r="BC44">
        <f t="shared" si="91"/>
        <v>6.2306261358355597</v>
      </c>
      <c r="BD44" s="60">
        <f t="shared" si="92"/>
        <v>161.25135189237389</v>
      </c>
      <c r="BE44" s="58" t="str">
        <f t="shared" si="93"/>
        <v>1.77412800348134+58.9006904631451i</v>
      </c>
      <c r="BF44" s="37">
        <f t="shared" si="94"/>
        <v>35.406346086593445</v>
      </c>
      <c r="BG44" s="60">
        <f t="shared" si="95"/>
        <v>88.274734608055851</v>
      </c>
      <c r="BH44" s="58" t="str">
        <f t="shared" si="96"/>
        <v>-3.29755108248415+85.3544642538748i</v>
      </c>
      <c r="BI44" s="37">
        <f t="shared" si="97"/>
        <v>38.631002069779981</v>
      </c>
      <c r="BJ44" s="60">
        <f t="shared" si="98"/>
        <v>92.212442505961292</v>
      </c>
      <c r="BK44">
        <f t="shared" si="99"/>
        <v>35.406346086593445</v>
      </c>
      <c r="BL44" s="60">
        <f t="shared" si="100"/>
        <v>88.274734608055851</v>
      </c>
      <c r="BN44">
        <f t="shared" si="101"/>
        <v>0</v>
      </c>
      <c r="BO44">
        <f t="shared" si="102"/>
        <v>0</v>
      </c>
    </row>
    <row r="45" spans="1:67" ht="14.25" x14ac:dyDescent="0.2">
      <c r="M45" s="66">
        <v>27</v>
      </c>
      <c r="N45" s="36">
        <f t="shared" si="54"/>
        <v>18.62087136662868</v>
      </c>
      <c r="O45" s="91" t="str">
        <f t="shared" si="55"/>
        <v>99.7340425531915</v>
      </c>
      <c r="P45" s="67" t="str">
        <f t="shared" si="56"/>
        <v>1+3.3979318306497i</v>
      </c>
      <c r="Q45" s="67">
        <f t="shared" si="57"/>
        <v>3.5420249470807548</v>
      </c>
      <c r="R45" s="67">
        <f t="shared" si="58"/>
        <v>1.2845801296751391</v>
      </c>
      <c r="S45" s="67" t="str">
        <f t="shared" si="59"/>
        <v>1+0.00638811184162144i</v>
      </c>
      <c r="T45" s="67">
        <f t="shared" si="60"/>
        <v>1.0000204037782934</v>
      </c>
      <c r="U45" s="67">
        <f t="shared" si="61"/>
        <v>6.3880249484506834E-3</v>
      </c>
      <c r="V45" t="str">
        <f t="shared" si="62"/>
        <v>1-0.000659870893530127i</v>
      </c>
      <c r="W45" s="67">
        <f t="shared" si="63"/>
        <v>1.0000002177147744</v>
      </c>
      <c r="X45" s="67">
        <f t="shared" si="64"/>
        <v>-6.5987079775437971E-4</v>
      </c>
      <c r="Y45" t="str">
        <f t="shared" si="65"/>
        <v>0.999999917932106+0.00101998592380543i</v>
      </c>
      <c r="Z45" s="67">
        <f t="shared" si="66"/>
        <v>1.0000004381176557</v>
      </c>
      <c r="AA45" s="67">
        <f t="shared" si="67"/>
        <v>1.0199856537923121E-3</v>
      </c>
      <c r="AB45" s="92" t="str">
        <f t="shared" si="68"/>
        <v>8.0767578449795-26.9747001501177i</v>
      </c>
      <c r="AC45" s="37">
        <f t="shared" si="69"/>
        <v>28.992011451278813</v>
      </c>
      <c r="AD45" s="60">
        <f t="shared" si="70"/>
        <v>-73.331261692644404</v>
      </c>
      <c r="AE45" t="str">
        <f t="shared" si="71"/>
        <v>118.329284003155</v>
      </c>
      <c r="AF45" t="str">
        <f t="shared" si="72"/>
        <v>1+2.71834546451976i</v>
      </c>
      <c r="AG45">
        <f t="shared" si="73"/>
        <v>2.8964464546190301</v>
      </c>
      <c r="AH45">
        <f t="shared" si="74"/>
        <v>1.2182904904652501</v>
      </c>
      <c r="AI45" t="str">
        <f t="shared" si="50"/>
        <v>1+0.00638811184162144i</v>
      </c>
      <c r="AJ45">
        <f t="shared" si="75"/>
        <v>1.0000204037782934</v>
      </c>
      <c r="AK45">
        <f t="shared" si="76"/>
        <v>6.3880249484506834E-3</v>
      </c>
      <c r="AL45" t="str">
        <f t="shared" si="77"/>
        <v>1-0.000444925315256142i</v>
      </c>
      <c r="AM45">
        <f t="shared" si="78"/>
        <v>1.0000000989792632</v>
      </c>
      <c r="AN45">
        <f t="shared" si="79"/>
        <v>-4.4492528589722412E-4</v>
      </c>
      <c r="AO45" s="58" t="str">
        <f t="shared" si="80"/>
        <v>14.3325238221597-38.2574981207273i</v>
      </c>
      <c r="AP45">
        <f t="shared" si="81"/>
        <v>32.224712730222784</v>
      </c>
      <c r="AQ45" s="60">
        <f t="shared" si="82"/>
        <v>-69.462388796691982</v>
      </c>
      <c r="AR45" t="str">
        <f t="shared" si="83"/>
        <v>-1.94444444444444</v>
      </c>
      <c r="AS45" t="str">
        <f t="shared" si="51"/>
        <v>1+0.00655190958115018i</v>
      </c>
      <c r="AT45">
        <f t="shared" si="84"/>
        <v>1.0000214635292382</v>
      </c>
      <c r="AU45">
        <f t="shared" si="85"/>
        <v>6.5518158311568151E-3</v>
      </c>
      <c r="AV45" t="str">
        <f t="shared" si="52"/>
        <v>1+0.00655190958115018i</v>
      </c>
      <c r="AW45">
        <f t="shared" si="86"/>
        <v>1.0000214635292382</v>
      </c>
      <c r="AX45">
        <f t="shared" si="87"/>
        <v>6.5518158311568151E-3</v>
      </c>
      <c r="AY45" t="str">
        <f t="shared" si="53"/>
        <v>1-0.324738848745616i</v>
      </c>
      <c r="AZ45">
        <f t="shared" si="88"/>
        <v>1.0514063533594553</v>
      </c>
      <c r="BA45">
        <f t="shared" si="89"/>
        <v>-0.31399567857689392</v>
      </c>
      <c r="BB45" s="58" t="str">
        <f t="shared" si="90"/>
        <v>-1.94022403960056+0.644148822813333i</v>
      </c>
      <c r="BC45">
        <f t="shared" si="91"/>
        <v>6.2111362973430069</v>
      </c>
      <c r="BD45" s="60">
        <f t="shared" si="92"/>
        <v>161.63398143692532</v>
      </c>
      <c r="BE45" s="58" t="str">
        <f t="shared" si="93"/>
        <v>1.70500161457932+57.5395957502671i</v>
      </c>
      <c r="BF45" s="37">
        <f t="shared" si="94"/>
        <v>35.203147748621817</v>
      </c>
      <c r="BG45" s="60">
        <f t="shared" si="95"/>
        <v>88.302719744280907</v>
      </c>
      <c r="BH45" s="58" t="str">
        <f t="shared" si="96"/>
        <v>-3.16478488965216+83.4603958967966i</v>
      </c>
      <c r="BI45" s="37">
        <f t="shared" si="97"/>
        <v>38.435849027565794</v>
      </c>
      <c r="BJ45" s="60">
        <f t="shared" si="98"/>
        <v>92.171592640233314</v>
      </c>
      <c r="BK45">
        <f t="shared" si="99"/>
        <v>35.203147748621817</v>
      </c>
      <c r="BL45" s="60">
        <f t="shared" si="100"/>
        <v>88.302719744280907</v>
      </c>
      <c r="BN45">
        <f t="shared" si="101"/>
        <v>0</v>
      </c>
      <c r="BO45">
        <f t="shared" si="102"/>
        <v>0</v>
      </c>
    </row>
    <row r="46" spans="1:67" ht="14.25" x14ac:dyDescent="0.2">
      <c r="A46" t="s">
        <v>480</v>
      </c>
      <c r="B46" s="23">
        <f>(Rcs*Vin_vari*ACS)/Lm</f>
        <v>40000</v>
      </c>
      <c r="C46" t="s">
        <v>118</v>
      </c>
      <c r="E46" t="s">
        <v>488</v>
      </c>
      <c r="J46">
        <f>(0.5-(1-(Vin_vari/VOUT)))</f>
        <v>-0.16666666666666674</v>
      </c>
      <c r="M46" s="66">
        <v>28</v>
      </c>
      <c r="N46" s="36">
        <f t="shared" si="54"/>
        <v>19.054607179632477</v>
      </c>
      <c r="O46" s="91" t="str">
        <f t="shared" si="55"/>
        <v>99.7340425531915</v>
      </c>
      <c r="P46" s="67" t="str">
        <f t="shared" si="56"/>
        <v>1+3.47707983055155i</v>
      </c>
      <c r="Q46" s="67">
        <f t="shared" si="57"/>
        <v>3.6180221320534232</v>
      </c>
      <c r="R46" s="67">
        <f t="shared" si="58"/>
        <v>1.2907563086235718</v>
      </c>
      <c r="S46" s="67" t="str">
        <f t="shared" si="59"/>
        <v>1+0.00653691008143692i</v>
      </c>
      <c r="T46" s="67">
        <f t="shared" si="60"/>
        <v>1.0000213653684669</v>
      </c>
      <c r="U46" s="67">
        <f t="shared" si="61"/>
        <v>6.5368169738343968E-3</v>
      </c>
      <c r="V46" t="str">
        <f t="shared" si="62"/>
        <v>1-0.000675241261159418i</v>
      </c>
      <c r="W46" s="67">
        <f t="shared" si="63"/>
        <v>1.0000002279753544</v>
      </c>
      <c r="X46" s="67">
        <f t="shared" si="64"/>
        <v>-6.7524115853385719E-4</v>
      </c>
      <c r="Y46" t="str">
        <f t="shared" si="65"/>
        <v>0.999999914064366+0.00104374444805511i</v>
      </c>
      <c r="Z46" s="67">
        <f>IMABS(Y46)</f>
        <v>1.0000004587655009</v>
      </c>
      <c r="AA46" s="67">
        <f t="shared" si="67"/>
        <v>1.0437441587308478E-3</v>
      </c>
      <c r="AB46" s="92" t="str">
        <f t="shared" si="68"/>
        <v>7.74676188417878-26.4555993758106i</v>
      </c>
      <c r="AC46" s="37">
        <f t="shared" si="69"/>
        <v>28.807627642939568</v>
      </c>
      <c r="AD46" s="60">
        <f t="shared" si="70"/>
        <v>-73.678847443690259</v>
      </c>
      <c r="AE46" t="str">
        <f t="shared" si="71"/>
        <v>118.329284003155</v>
      </c>
      <c r="AF46" t="str">
        <f t="shared" si="72"/>
        <v>1+2.78166386444124i</v>
      </c>
      <c r="AG46">
        <f t="shared" si="73"/>
        <v>2.955952275450024</v>
      </c>
      <c r="AH46">
        <f t="shared" si="74"/>
        <v>1.2256860488193004</v>
      </c>
      <c r="AI46" t="str">
        <f t="shared" si="50"/>
        <v>1+0.00653691008143692i</v>
      </c>
      <c r="AJ46">
        <f t="shared" si="75"/>
        <v>1.0000213653684669</v>
      </c>
      <c r="AK46">
        <f t="shared" si="76"/>
        <v>6.5368169738343968E-3</v>
      </c>
      <c r="AL46" t="str">
        <f t="shared" si="77"/>
        <v>1-0.000455288957189915i</v>
      </c>
      <c r="AM46">
        <f t="shared" si="78"/>
        <v>1.0000001036440118</v>
      </c>
      <c r="AN46">
        <f t="shared" si="79"/>
        <v>-4.5528892573126788E-4</v>
      </c>
      <c r="AO46" s="58" t="str">
        <f t="shared" si="80"/>
        <v>13.7715933491964-37.5883097020284i</v>
      </c>
      <c r="AP46">
        <f t="shared" si="81"/>
        <v>32.04808284880712</v>
      </c>
      <c r="AQ46" s="60">
        <f t="shared" si="82"/>
        <v>-69.878191715264975</v>
      </c>
      <c r="AR46" t="str">
        <f t="shared" si="83"/>
        <v>-1.94444444444444</v>
      </c>
      <c r="AS46" t="str">
        <f t="shared" si="51"/>
        <v>1+0.0067045231604481i</v>
      </c>
      <c r="AT46">
        <f t="shared" si="84"/>
        <v>1.0000224750628401</v>
      </c>
      <c r="AU46">
        <f t="shared" si="85"/>
        <v>6.7044227056422779E-3</v>
      </c>
      <c r="AV46" t="str">
        <f t="shared" si="52"/>
        <v>1+0.0067045231604481i</v>
      </c>
      <c r="AW46">
        <f t="shared" si="86"/>
        <v>1.0000224750628401</v>
      </c>
      <c r="AX46">
        <f t="shared" si="87"/>
        <v>6.7044227056422779E-3</v>
      </c>
      <c r="AY46" t="str">
        <f t="shared" si="53"/>
        <v>1-0.317346890084556i</v>
      </c>
      <c r="AZ46">
        <f t="shared" si="88"/>
        <v>1.0491468193948545</v>
      </c>
      <c r="BA46">
        <f t="shared" si="89"/>
        <v>-0.30729442712145211</v>
      </c>
      <c r="BB46" s="58" t="str">
        <f t="shared" si="90"/>
        <v>-1.94022011448714+0.630071648080581i</v>
      </c>
      <c r="BC46">
        <f t="shared" si="91"/>
        <v>6.192440938354232</v>
      </c>
      <c r="BD46" s="60">
        <f t="shared" si="92"/>
        <v>162.00919113294535</v>
      </c>
      <c r="BE46" s="58" t="str">
        <f t="shared" si="93"/>
        <v>1.63849986985061+56.2107010774135i</v>
      </c>
      <c r="BF46" s="37">
        <f t="shared" si="94"/>
        <v>35.000068581293803</v>
      </c>
      <c r="BG46" s="60">
        <f t="shared" si="95"/>
        <v>88.330343689255102</v>
      </c>
      <c r="BH46" s="58" t="str">
        <f t="shared" si="96"/>
        <v>-3.03659418212785+81.6066850716714i</v>
      </c>
      <c r="BI46" s="37">
        <f t="shared" si="97"/>
        <v>38.240523787161358</v>
      </c>
      <c r="BJ46" s="60">
        <f t="shared" si="98"/>
        <v>92.130999417680371</v>
      </c>
      <c r="BK46">
        <f t="shared" si="99"/>
        <v>35.000068581293803</v>
      </c>
      <c r="BL46" s="60">
        <f t="shared" si="100"/>
        <v>88.330343689255102</v>
      </c>
      <c r="BN46">
        <f t="shared" si="101"/>
        <v>0</v>
      </c>
      <c r="BO46">
        <f t="shared" si="102"/>
        <v>0</v>
      </c>
    </row>
    <row r="47" spans="1:67" ht="14.25" x14ac:dyDescent="0.2">
      <c r="A47" t="s">
        <v>479</v>
      </c>
      <c r="B47" s="23">
        <f>(B26*(B25+B24)*fsw)</f>
        <v>156000</v>
      </c>
      <c r="C47" t="s">
        <v>118</v>
      </c>
      <c r="J47">
        <f>Lm*fsw</f>
        <v>1.3</v>
      </c>
      <c r="M47" s="66">
        <v>29</v>
      </c>
      <c r="N47" s="36">
        <f t="shared" si="54"/>
        <v>19.498445997580465</v>
      </c>
      <c r="O47" s="91" t="str">
        <f t="shared" si="55"/>
        <v>99.7340425531915</v>
      </c>
      <c r="P47" s="67" t="str">
        <f t="shared" si="56"/>
        <v>1+3.55807142420417i</v>
      </c>
      <c r="Q47" s="67">
        <f t="shared" si="57"/>
        <v>3.6959264413321717</v>
      </c>
      <c r="R47" s="67">
        <f t="shared" si="58"/>
        <v>1.2968131759645938</v>
      </c>
      <c r="S47" s="67" t="str">
        <f t="shared" si="59"/>
        <v>1+0.00668917427750383i</v>
      </c>
      <c r="T47" s="67">
        <f t="shared" si="60"/>
        <v>1.000022372275998</v>
      </c>
      <c r="U47" s="67">
        <f t="shared" si="61"/>
        <v>6.6890745110308068E-3</v>
      </c>
      <c r="V47" t="str">
        <f t="shared" si="62"/>
        <v>1-0.000690969650643253i</v>
      </c>
      <c r="W47" s="67">
        <f t="shared" si="63"/>
        <v>1.0000002387195006</v>
      </c>
      <c r="X47" s="67">
        <f t="shared" si="64"/>
        <v>-6.9096954067798474E-4</v>
      </c>
      <c r="Y47" t="str">
        <f t="shared" si="65"/>
        <v>0.999999910014344+0.00106805637942674i</v>
      </c>
      <c r="Z47" s="67">
        <f t="shared" si="66"/>
        <v>1.0000004803864475</v>
      </c>
      <c r="AA47" s="67">
        <f t="shared" si="67"/>
        <v>1.068056069410216E-3</v>
      </c>
      <c r="AB47" s="92" t="str">
        <f t="shared" si="68"/>
        <v>7.4293923614036-25.9426060637986i</v>
      </c>
      <c r="AC47" s="37">
        <f t="shared" si="69"/>
        <v>28.622594297248803</v>
      </c>
      <c r="AD47" s="60">
        <f t="shared" si="70"/>
        <v>-74.019450804910278</v>
      </c>
      <c r="AE47" t="str">
        <f t="shared" si="71"/>
        <v>118.329284003155</v>
      </c>
      <c r="AF47" t="str">
        <f t="shared" si="72"/>
        <v>1+2.84645713936333i</v>
      </c>
      <c r="AG47">
        <f t="shared" si="73"/>
        <v>3.0170048469023829</v>
      </c>
      <c r="AH47">
        <f t="shared" si="74"/>
        <v>1.2329514621508491</v>
      </c>
      <c r="AI47" t="str">
        <f t="shared" si="50"/>
        <v>1+0.00668917427750383i</v>
      </c>
      <c r="AJ47">
        <f t="shared" si="75"/>
        <v>1.000022372275998</v>
      </c>
      <c r="AK47">
        <f t="shared" si="76"/>
        <v>6.6890745110308068E-3</v>
      </c>
      <c r="AL47" t="str">
        <f t="shared" si="77"/>
        <v>1-0.000465893999355253i</v>
      </c>
      <c r="AM47">
        <f t="shared" si="78"/>
        <v>1.0000001085286034</v>
      </c>
      <c r="AN47">
        <f t="shared" si="79"/>
        <v>-4.6589396564670549E-4</v>
      </c>
      <c r="AO47" s="58" t="str">
        <f t="shared" si="80"/>
        <v>13.2302310264589-36.9228892612259i</v>
      </c>
      <c r="AP47">
        <f t="shared" si="81"/>
        <v>31.870519839137064</v>
      </c>
      <c r="AQ47" s="60">
        <f t="shared" si="82"/>
        <v>-70.286353145329088</v>
      </c>
      <c r="AR47" t="str">
        <f t="shared" si="83"/>
        <v>-1.94444444444444</v>
      </c>
      <c r="AS47" t="str">
        <f t="shared" si="51"/>
        <v>1+0.00686069156667058i</v>
      </c>
      <c r="AT47">
        <f t="shared" si="84"/>
        <v>1.0000235342674557</v>
      </c>
      <c r="AU47">
        <f t="shared" si="85"/>
        <v>6.8605839275436504E-3</v>
      </c>
      <c r="AV47" t="str">
        <f t="shared" si="52"/>
        <v>1+0.00686069156667058i</v>
      </c>
      <c r="AW47">
        <f t="shared" si="86"/>
        <v>1.0000235342674557</v>
      </c>
      <c r="AX47">
        <f t="shared" si="87"/>
        <v>6.8605839275436504E-3</v>
      </c>
      <c r="AY47" t="str">
        <f t="shared" si="53"/>
        <v>1-0.310123192945199i</v>
      </c>
      <c r="AZ47">
        <f t="shared" si="88"/>
        <v>1.0469844291117825</v>
      </c>
      <c r="BA47">
        <f t="shared" si="89"/>
        <v>-0.30071805819365699</v>
      </c>
      <c r="BB47" s="58" t="str">
        <f t="shared" si="90"/>
        <v>-1.94021600440585+0.616328543194609i</v>
      </c>
      <c r="BC47">
        <f t="shared" si="91"/>
        <v>6.1745108281551122</v>
      </c>
      <c r="BD47" s="60">
        <f t="shared" si="92"/>
        <v>162.37704193809049</v>
      </c>
      <c r="BE47" s="58" t="str">
        <f t="shared" si="93"/>
        <v>1.57454263936678+54.9132060519033i</v>
      </c>
      <c r="BF47" s="37">
        <f t="shared" si="94"/>
        <v>34.79710512540391</v>
      </c>
      <c r="BG47" s="60">
        <f t="shared" si="95"/>
        <v>88.357591133180222</v>
      </c>
      <c r="BH47" s="58" t="str">
        <f t="shared" si="96"/>
        <v>-2.91287543061517+79.7925496882009i</v>
      </c>
      <c r="BI47" s="37">
        <f t="shared" si="97"/>
        <v>38.045030667292174</v>
      </c>
      <c r="BJ47" s="60">
        <f t="shared" si="98"/>
        <v>92.090688792761398</v>
      </c>
      <c r="BK47">
        <f t="shared" si="99"/>
        <v>34.79710512540391</v>
      </c>
      <c r="BL47" s="60">
        <f t="shared" si="100"/>
        <v>88.357591133180222</v>
      </c>
      <c r="BN47">
        <f t="shared" si="101"/>
        <v>0</v>
      </c>
      <c r="BO47">
        <f t="shared" si="102"/>
        <v>0</v>
      </c>
    </row>
    <row r="48" spans="1:67" ht="14.25" x14ac:dyDescent="0.2">
      <c r="A48" t="s">
        <v>481</v>
      </c>
      <c r="B48" s="23">
        <f>2*PI()*fsw</f>
        <v>816814.08993334626</v>
      </c>
      <c r="C48" t="s">
        <v>489</v>
      </c>
      <c r="M48" s="66">
        <v>30</v>
      </c>
      <c r="N48" s="36">
        <f t="shared" si="54"/>
        <v>19.952623149688804</v>
      </c>
      <c r="O48" s="91" t="str">
        <f t="shared" si="55"/>
        <v>99.7340425531915</v>
      </c>
      <c r="P48" s="67" t="str">
        <f t="shared" si="56"/>
        <v>1+3.64094955442253i</v>
      </c>
      <c r="Q48" s="67">
        <f t="shared" si="57"/>
        <v>3.7757798741252939</v>
      </c>
      <c r="R48" s="67">
        <f t="shared" si="58"/>
        <v>1.3027521648339697</v>
      </c>
      <c r="S48" s="67" t="str">
        <f t="shared" si="59"/>
        <v>1+0.00684498516231436i</v>
      </c>
      <c r="T48" s="67">
        <f t="shared" si="60"/>
        <v>1.0000234266365324</v>
      </c>
      <c r="U48" s="67">
        <f t="shared" si="61"/>
        <v>6.8448782607477545E-3</v>
      </c>
      <c r="V48" t="str">
        <f t="shared" si="62"/>
        <v>1-0.000707064401381923i</v>
      </c>
      <c r="W48" s="67">
        <f t="shared" si="63"/>
        <v>1.0000002499700027</v>
      </c>
      <c r="X48" s="67">
        <f t="shared" si="64"/>
        <v>-7.0706428355201681E-4</v>
      </c>
      <c r="Y48" t="str">
        <f t="shared" si="65"/>
        <v>0.999999905773451+0.00109293460842814i</v>
      </c>
      <c r="Z48" s="67">
        <f t="shared" si="66"/>
        <v>1.0000005030263581</v>
      </c>
      <c r="AA48" s="67">
        <f t="shared" si="67"/>
        <v>1.092934276239458E-3</v>
      </c>
      <c r="AB48" s="92" t="str">
        <f t="shared" si="68"/>
        <v>7.1242557462962-25.4359000128949i</v>
      </c>
      <c r="AC48" s="37">
        <f t="shared" si="69"/>
        <v>28.436936392051074</v>
      </c>
      <c r="AD48" s="60">
        <f t="shared" si="70"/>
        <v>-74.353150481501814</v>
      </c>
      <c r="AE48" t="str">
        <f t="shared" si="71"/>
        <v>118.329284003155</v>
      </c>
      <c r="AF48" t="str">
        <f t="shared" si="72"/>
        <v>1+2.91275964353803i</v>
      </c>
      <c r="AG48">
        <f t="shared" si="73"/>
        <v>3.0796377613322954</v>
      </c>
      <c r="AH48">
        <f t="shared" si="74"/>
        <v>1.2400875136155802</v>
      </c>
      <c r="AI48" t="str">
        <f t="shared" si="50"/>
        <v>1+0.00684498516231436i</v>
      </c>
      <c r="AJ48">
        <f t="shared" si="75"/>
        <v>1.0000234266365324</v>
      </c>
      <c r="AK48">
        <f t="shared" si="76"/>
        <v>6.8448782607477545E-3</v>
      </c>
      <c r="AL48" t="str">
        <f t="shared" si="77"/>
        <v>1-0.000476746064685886i</v>
      </c>
      <c r="AM48">
        <f t="shared" si="78"/>
        <v>1.0000001136433987</v>
      </c>
      <c r="AN48">
        <f t="shared" si="79"/>
        <v>-4.7674602856652681E-4</v>
      </c>
      <c r="AO48" s="58" t="str">
        <f t="shared" si="80"/>
        <v>12.707974843174-36.2617271015105i</v>
      </c>
      <c r="AP48">
        <f t="shared" si="81"/>
        <v>31.692056476223073</v>
      </c>
      <c r="AQ48" s="60">
        <f t="shared" si="82"/>
        <v>-70.686913656759558</v>
      </c>
      <c r="AR48" t="str">
        <f t="shared" si="83"/>
        <v>-1.94444444444444</v>
      </c>
      <c r="AS48" t="str">
        <f t="shared" si="51"/>
        <v>1+0.00702049760237368i</v>
      </c>
      <c r="AT48">
        <f t="shared" si="84"/>
        <v>1.0000246433896443</v>
      </c>
      <c r="AU48">
        <f t="shared" si="85"/>
        <v>7.0203822651246812E-3</v>
      </c>
      <c r="AV48" t="str">
        <f t="shared" si="52"/>
        <v>1+0.00702049760237368i</v>
      </c>
      <c r="AW48">
        <f t="shared" si="86"/>
        <v>1.0000246433896443</v>
      </c>
      <c r="AX48">
        <f t="shared" si="87"/>
        <v>7.0203822651246812E-3</v>
      </c>
      <c r="AY48" t="str">
        <f t="shared" si="53"/>
        <v>1-0.303063927227709i</v>
      </c>
      <c r="AZ48">
        <f t="shared" si="88"/>
        <v>1.0449151850684735</v>
      </c>
      <c r="BA48">
        <f t="shared" si="89"/>
        <v>-0.29426536108196311</v>
      </c>
      <c r="BB48" s="58" t="str">
        <f t="shared" si="90"/>
        <v>-1.94021170064105+0.602912221201881i</v>
      </c>
      <c r="BC48">
        <f t="shared" si="91"/>
        <v>6.1573175486382681</v>
      </c>
      <c r="BD48" s="60">
        <f t="shared" si="92"/>
        <v>162.73759847875013</v>
      </c>
      <c r="BE48" s="58" t="str">
        <f t="shared" si="93"/>
        <v>1.5130506177203+53.6463316777642i</v>
      </c>
      <c r="BF48" s="37">
        <f t="shared" si="94"/>
        <v>34.594253940689342</v>
      </c>
      <c r="BG48" s="60">
        <f t="shared" si="95"/>
        <v>88.384447997248316</v>
      </c>
      <c r="BH48" s="58" t="str">
        <f t="shared" si="96"/>
        <v>-2.79352305079016+78.017220547479i</v>
      </c>
      <c r="BI48" s="37">
        <f t="shared" si="97"/>
        <v>37.849374024861341</v>
      </c>
      <c r="BJ48" s="60">
        <f t="shared" si="98"/>
        <v>92.050684821990572</v>
      </c>
      <c r="BK48">
        <f t="shared" si="99"/>
        <v>34.594253940689342</v>
      </c>
      <c r="BL48" s="60">
        <f t="shared" si="100"/>
        <v>88.384447997248316</v>
      </c>
      <c r="BN48">
        <f t="shared" si="101"/>
        <v>0</v>
      </c>
      <c r="BO48">
        <f t="shared" si="102"/>
        <v>0</v>
      </c>
    </row>
    <row r="49" spans="1:67" ht="14.25" x14ac:dyDescent="0.2">
      <c r="A49" t="s">
        <v>482</v>
      </c>
      <c r="B49" s="23">
        <f>1/(PI()*(((Vin_vari/VOUT)*(1+(Se/B46)))-0.5))</f>
        <v>0.28086166427981535</v>
      </c>
      <c r="M49" s="66">
        <v>31</v>
      </c>
      <c r="N49" s="36">
        <f t="shared" si="54"/>
        <v>20.4173794466953</v>
      </c>
      <c r="O49" s="91" t="str">
        <f t="shared" si="55"/>
        <v>99.7340425531915</v>
      </c>
      <c r="P49" s="67" t="str">
        <f t="shared" si="56"/>
        <v>1+3.7257581642883i</v>
      </c>
      <c r="Q49" s="67">
        <f t="shared" si="57"/>
        <v>3.8576254222981428</v>
      </c>
      <c r="R49" s="67">
        <f t="shared" si="58"/>
        <v>1.3085747476746254</v>
      </c>
      <c r="S49" s="67" t="str">
        <f t="shared" si="59"/>
        <v>1+0.007004425348862i</v>
      </c>
      <c r="T49" s="67">
        <f t="shared" si="60"/>
        <v>1.0000245306863567</v>
      </c>
      <c r="U49" s="67">
        <f t="shared" si="61"/>
        <v>7.004310801921378E-3</v>
      </c>
      <c r="V49" t="str">
        <f t="shared" si="62"/>
        <v>1-0.000723534047025305i</v>
      </c>
      <c r="W49" s="67">
        <f t="shared" si="63"/>
        <v>1.0000002617507244</v>
      </c>
      <c r="X49" s="67">
        <f t="shared" si="64"/>
        <v>-7.2353392076828762E-4</v>
      </c>
      <c r="Y49" t="str">
        <f t="shared" si="65"/>
        <v>0.99999990133269+0.00111839232582562i</v>
      </c>
      <c r="Z49" s="67">
        <f t="shared" si="66"/>
        <v>1.0000005267332535</v>
      </c>
      <c r="AA49" s="67">
        <f t="shared" si="67"/>
        <v>1.1183919698790447E-3</v>
      </c>
      <c r="AB49" s="92" t="str">
        <f t="shared" si="68"/>
        <v>6.83096331626853-24.9356416224857i</v>
      </c>
      <c r="AC49" s="37">
        <f t="shared" si="69"/>
        <v>28.250678120514504</v>
      </c>
      <c r="AD49" s="60">
        <f t="shared" si="70"/>
        <v>-74.680027351514653</v>
      </c>
      <c r="AE49" t="str">
        <f t="shared" si="71"/>
        <v>118.329284003155</v>
      </c>
      <c r="AF49" t="str">
        <f t="shared" si="72"/>
        <v>1+2.98060653143064i</v>
      </c>
      <c r="AG49">
        <f t="shared" si="73"/>
        <v>3.1438853820085408</v>
      </c>
      <c r="AH49">
        <f t="shared" si="74"/>
        <v>1.2470950787866164</v>
      </c>
      <c r="AI49" t="str">
        <f t="shared" si="50"/>
        <v>1+0.007004425348862i</v>
      </c>
      <c r="AJ49">
        <f t="shared" si="75"/>
        <v>1.0000245306863567</v>
      </c>
      <c r="AK49">
        <f t="shared" si="76"/>
        <v>7.004310801921378E-3</v>
      </c>
      <c r="AL49" t="str">
        <f t="shared" si="77"/>
        <v>1-0.000487850907090492i</v>
      </c>
      <c r="AM49">
        <f t="shared" si="78"/>
        <v>1.0000001189992467</v>
      </c>
      <c r="AN49">
        <f t="shared" si="79"/>
        <v>-4.8785086838790158E-4</v>
      </c>
      <c r="AO49" s="58" t="str">
        <f t="shared" si="80"/>
        <v>12.204355737449-35.6052808350955i</v>
      </c>
      <c r="AP49">
        <f t="shared" si="81"/>
        <v>31.51272474711525</v>
      </c>
      <c r="AQ49" s="60">
        <f t="shared" si="82"/>
        <v>-71.079919014450482</v>
      </c>
      <c r="AR49" t="str">
        <f t="shared" si="83"/>
        <v>-1.94444444444444</v>
      </c>
      <c r="AS49" t="str">
        <f t="shared" si="51"/>
        <v>1+0.0071840259988328i</v>
      </c>
      <c r="AT49">
        <f t="shared" si="84"/>
        <v>1.0000258047818325</v>
      </c>
      <c r="AU49">
        <f t="shared" si="85"/>
        <v>7.1839024129161204E-3</v>
      </c>
      <c r="AV49" t="str">
        <f t="shared" si="52"/>
        <v>1+0.0071840259988328i</v>
      </c>
      <c r="AW49">
        <f t="shared" si="86"/>
        <v>1.0000258047818325</v>
      </c>
      <c r="AX49">
        <f t="shared" si="87"/>
        <v>7.1839024129161204E-3</v>
      </c>
      <c r="AY49" t="str">
        <f t="shared" si="53"/>
        <v>1-0.296165350015961i</v>
      </c>
      <c r="AZ49">
        <f t="shared" si="88"/>
        <v>1.0429352398639509</v>
      </c>
      <c r="BA49">
        <f t="shared" si="89"/>
        <v>-0.28793506465107122</v>
      </c>
      <c r="BB49" s="58" t="str">
        <f t="shared" si="90"/>
        <v>-1.94020719406653+0.589815568400774i</v>
      </c>
      <c r="BC49">
        <f t="shared" si="91"/>
        <v>6.1408334930278627</v>
      </c>
      <c r="BD49" s="60">
        <f t="shared" si="92"/>
        <v>163.09092873297317</v>
      </c>
      <c r="BE49" s="58" t="str">
        <f t="shared" si="93"/>
        <v>1.45394546837564+52.4093197757213i</v>
      </c>
      <c r="BF49" s="37">
        <f t="shared" si="94"/>
        <v>34.391511613542363</v>
      </c>
      <c r="BG49" s="60">
        <f t="shared" si="95"/>
        <v>88.41090138145853</v>
      </c>
      <c r="BH49" s="58" t="str">
        <f t="shared" si="96"/>
        <v>-2.67842984692464+76.2799410392602i</v>
      </c>
      <c r="BI49" s="37">
        <f t="shared" si="97"/>
        <v>37.653558240143113</v>
      </c>
      <c r="BJ49" s="60">
        <f t="shared" si="98"/>
        <v>92.011009718522686</v>
      </c>
      <c r="BK49">
        <f t="shared" si="99"/>
        <v>34.391511613542363</v>
      </c>
      <c r="BL49" s="60">
        <f t="shared" si="100"/>
        <v>88.41090138145853</v>
      </c>
      <c r="BN49">
        <f t="shared" si="101"/>
        <v>0</v>
      </c>
      <c r="BO49">
        <f t="shared" si="102"/>
        <v>0</v>
      </c>
    </row>
    <row r="50" spans="1:67" ht="14.25" x14ac:dyDescent="0.2">
      <c r="M50" s="66">
        <v>32</v>
      </c>
      <c r="N50" s="36">
        <f t="shared" si="54"/>
        <v>20.8929613085404</v>
      </c>
      <c r="O50" s="91" t="str">
        <f t="shared" si="55"/>
        <v>99.7340425531915</v>
      </c>
      <c r="P50" s="67" t="str">
        <f t="shared" si="56"/>
        <v>1+3.81254222044904i</v>
      </c>
      <c r="Q50" s="67">
        <f t="shared" si="57"/>
        <v>3.9415070953515352</v>
      </c>
      <c r="R50" s="67">
        <f t="shared" si="58"/>
        <v>1.3142824318581328</v>
      </c>
      <c r="S50" s="67" t="str">
        <f t="shared" si="59"/>
        <v>1+0.0071675793744442i</v>
      </c>
      <c r="T50" s="67">
        <f t="shared" si="60"/>
        <v>1.0000256867671393</v>
      </c>
      <c r="U50" s="67">
        <f t="shared" si="61"/>
        <v>7.1674566353562407E-3</v>
      </c>
      <c r="V50" t="str">
        <f t="shared" si="62"/>
        <v>1-0.000740387319997533i</v>
      </c>
      <c r="W50" s="67">
        <f t="shared" si="63"/>
        <v>1.0000002740866543</v>
      </c>
      <c r="X50" s="67">
        <f t="shared" si="64"/>
        <v>-7.4038718471070345E-4</v>
      </c>
      <c r="Y50" t="str">
        <f t="shared" si="65"/>
        <v>0.999999896682643+0.00114444302963794i</v>
      </c>
      <c r="Z50" s="67">
        <f t="shared" si="66"/>
        <v>1.0000005515574204</v>
      </c>
      <c r="AA50" s="67">
        <f t="shared" si="67"/>
        <v>1.1444426482343246E-3</v>
      </c>
      <c r="AB50" s="92" t="str">
        <f t="shared" si="68"/>
        <v>6.54913179505684-24.4419728130416i</v>
      </c>
      <c r="AC50" s="37">
        <f t="shared" si="69"/>
        <v>28.063842901479646</v>
      </c>
      <c r="AD50" s="60">
        <f t="shared" si="70"/>
        <v>-75.000164213140366</v>
      </c>
      <c r="AE50" t="str">
        <f t="shared" si="71"/>
        <v>118.329284003155</v>
      </c>
      <c r="AF50" t="str">
        <f t="shared" si="72"/>
        <v>1+3.05003377635924i</v>
      </c>
      <c r="AG50">
        <f t="shared" si="73"/>
        <v>3.2097828644523925</v>
      </c>
      <c r="AH50">
        <f t="shared" si="74"/>
        <v>1.2539751193563307</v>
      </c>
      <c r="AI50" t="str">
        <f t="shared" si="50"/>
        <v>1+0.0071675793744442i</v>
      </c>
      <c r="AJ50">
        <f t="shared" si="75"/>
        <v>1.0000256867671393</v>
      </c>
      <c r="AK50">
        <f t="shared" si="76"/>
        <v>7.1674566353562407E-3</v>
      </c>
      <c r="AL50" t="str">
        <f t="shared" si="77"/>
        <v>1-0.000499214414503513i</v>
      </c>
      <c r="AM50">
        <f t="shared" si="78"/>
        <v>1.0000001246075081</v>
      </c>
      <c r="AN50">
        <f t="shared" si="79"/>
        <v>-4.9921437303294047E-4</v>
      </c>
      <c r="AO50" s="58" t="str">
        <f t="shared" si="80"/>
        <v>11.7188994152711-34.9539761871519i</v>
      </c>
      <c r="AP50">
        <f t="shared" si="81"/>
        <v>31.332555840558435</v>
      </c>
      <c r="AQ50" s="60">
        <f t="shared" si="82"/>
        <v>-71.465419815129522</v>
      </c>
      <c r="AR50" t="str">
        <f t="shared" si="83"/>
        <v>-1.94444444444444</v>
      </c>
      <c r="AS50" t="str">
        <f t="shared" si="51"/>
        <v>1+0.00735136346096839i</v>
      </c>
      <c r="AT50">
        <f t="shared" si="84"/>
        <v>1.000027020907303</v>
      </c>
      <c r="AU50">
        <f t="shared" si="85"/>
        <v>7.3512310364660625E-3</v>
      </c>
      <c r="AV50" t="str">
        <f t="shared" si="52"/>
        <v>1+0.00735136346096839i</v>
      </c>
      <c r="AW50">
        <f t="shared" si="86"/>
        <v>1.000027020907303</v>
      </c>
      <c r="AX50">
        <f t="shared" si="87"/>
        <v>7.3512310364660625E-3</v>
      </c>
      <c r="AY50" t="str">
        <f t="shared" si="53"/>
        <v>1-0.289423803593001i</v>
      </c>
      <c r="AZ50">
        <f t="shared" si="88"/>
        <v>1.0410408916494298</v>
      </c>
      <c r="BA50">
        <f t="shared" si="89"/>
        <v>-0.28172584262717065</v>
      </c>
      <c r="BB50" s="58" t="str">
        <f t="shared" si="90"/>
        <v>-1.94020247512614+0.577031640568913i</v>
      </c>
      <c r="BC50">
        <f t="shared" si="91"/>
        <v>6.1250318625036488</v>
      </c>
      <c r="BD50" s="60">
        <f t="shared" si="92"/>
        <v>163.43710372508122</v>
      </c>
      <c r="BE50" s="58" t="str">
        <f t="shared" si="93"/>
        <v>1.39714995235358+51.2014324128328i</v>
      </c>
      <c r="BF50" s="37">
        <f t="shared" si="94"/>
        <v>34.188874763983293</v>
      </c>
      <c r="BG50" s="60">
        <f t="shared" si="95"/>
        <v>88.436939511940849</v>
      </c>
      <c r="BH50" s="58" t="str">
        <f t="shared" si="96"/>
        <v>-2.56748742758428+74.5799668690682i</v>
      </c>
      <c r="BI50" s="37">
        <f t="shared" si="97"/>
        <v>37.457587703062082</v>
      </c>
      <c r="BJ50" s="60">
        <f t="shared" si="98"/>
        <v>91.971683909951679</v>
      </c>
      <c r="BK50">
        <f t="shared" si="99"/>
        <v>34.188874763983293</v>
      </c>
      <c r="BL50" s="60">
        <f t="shared" si="100"/>
        <v>88.436939511940849</v>
      </c>
      <c r="BN50">
        <f t="shared" si="101"/>
        <v>0</v>
      </c>
      <c r="BO50">
        <f t="shared" si="102"/>
        <v>0</v>
      </c>
    </row>
    <row r="51" spans="1:67" ht="15" x14ac:dyDescent="0.2">
      <c r="A51" s="74" t="s">
        <v>490</v>
      </c>
      <c r="M51" s="66">
        <v>33</v>
      </c>
      <c r="N51" s="36">
        <f t="shared" si="54"/>
        <v>21.379620895022335</v>
      </c>
      <c r="O51" s="91" t="str">
        <f t="shared" si="55"/>
        <v>99.7340425531915</v>
      </c>
      <c r="P51" s="67" t="str">
        <f t="shared" si="56"/>
        <v>1+3.90134773696i</v>
      </c>
      <c r="Q51" s="67">
        <f t="shared" si="57"/>
        <v>4.0274699458447749</v>
      </c>
      <c r="R51" s="67">
        <f t="shared" si="58"/>
        <v>1.3198767555181827</v>
      </c>
      <c r="S51" s="67" t="str">
        <f t="shared" si="59"/>
        <v>1+0.00733453374548481i</v>
      </c>
      <c r="T51" s="67">
        <f t="shared" si="60"/>
        <v>1.0000268973308986</v>
      </c>
      <c r="U51" s="67">
        <f t="shared" si="61"/>
        <v>7.3344022283736033E-3</v>
      </c>
      <c r="V51" t="str">
        <f t="shared" si="62"/>
        <v>1-0.000757633156127002i</v>
      </c>
      <c r="W51" s="67">
        <f t="shared" si="63"/>
        <v>1.0000002870039586</v>
      </c>
      <c r="X51" s="67">
        <f t="shared" si="64"/>
        <v>-7.5763301116455459E-4</v>
      </c>
      <c r="Y51" t="str">
        <f t="shared" si="65"/>
        <v>0.999999891813446+0.00117110053229306i</v>
      </c>
      <c r="Z51" s="67">
        <f t="shared" si="66"/>
        <v>1.0000005775515133</v>
      </c>
      <c r="AA51" s="67">
        <f t="shared" si="67"/>
        <v>1.1711001236117352E-3</v>
      </c>
      <c r="AB51" s="92" t="str">
        <f t="shared" si="68"/>
        <v>6.2783839176754-23.9550179388276i</v>
      </c>
      <c r="AC51" s="37">
        <f t="shared" si="69"/>
        <v>27.876453391018558</v>
      </c>
      <c r="AD51" s="60">
        <f t="shared" si="70"/>
        <v>-75.31364554410483</v>
      </c>
      <c r="AE51" t="str">
        <f t="shared" si="71"/>
        <v>118.329284003155</v>
      </c>
      <c r="AF51" t="str">
        <f t="shared" si="72"/>
        <v>1+3.121078189568i</v>
      </c>
      <c r="AG51">
        <f t="shared" si="73"/>
        <v>3.2773661781066008</v>
      </c>
      <c r="AH51">
        <f t="shared" si="74"/>
        <v>1.2607286770020909</v>
      </c>
      <c r="AI51" t="str">
        <f t="shared" si="50"/>
        <v>1+0.00733453374548481i</v>
      </c>
      <c r="AJ51">
        <f t="shared" si="75"/>
        <v>1.0000268973308986</v>
      </c>
      <c r="AK51">
        <f t="shared" si="76"/>
        <v>7.3344022283736033E-3</v>
      </c>
      <c r="AL51" t="str">
        <f t="shared" si="77"/>
        <v>1-0.000510842612006983i</v>
      </c>
      <c r="AM51">
        <f t="shared" si="78"/>
        <v>1.0000001304800785</v>
      </c>
      <c r="AN51">
        <f t="shared" si="79"/>
        <v>-5.1084256757046433E-4</v>
      </c>
      <c r="AO51" s="58" t="str">
        <f t="shared" si="80"/>
        <v>11.2511280476445-34.308207871457i</v>
      </c>
      <c r="AP51">
        <f t="shared" si="81"/>
        <v>31.151580139627622</v>
      </c>
      <c r="AQ51" s="60">
        <f t="shared" si="82"/>
        <v>-71.843471133512082</v>
      </c>
      <c r="AR51" t="str">
        <f t="shared" si="83"/>
        <v>-1.94444444444444</v>
      </c>
      <c r="AS51" t="str">
        <f t="shared" si="51"/>
        <v>1+0.00752259871331773i</v>
      </c>
      <c r="AT51">
        <f t="shared" si="84"/>
        <v>1.0000282943454157</v>
      </c>
      <c r="AU51">
        <f t="shared" si="85"/>
        <v>7.5224568181238294E-3</v>
      </c>
      <c r="AV51" t="str">
        <f t="shared" si="52"/>
        <v>1+0.00752259871331773i</v>
      </c>
      <c r="AW51">
        <f t="shared" si="86"/>
        <v>1.0000282943454157</v>
      </c>
      <c r="AX51">
        <f t="shared" si="87"/>
        <v>7.5224568181238294E-3</v>
      </c>
      <c r="AY51" t="str">
        <f t="shared" si="53"/>
        <v>1-0.282835713501686i</v>
      </c>
      <c r="AZ51">
        <f t="shared" si="88"/>
        <v>1.0392285796839922</v>
      </c>
      <c r="BA51">
        <f t="shared" si="89"/>
        <v>-0.27563631867389332</v>
      </c>
      <c r="BB51" s="58" t="str">
        <f t="shared" si="90"/>
        <v>-1.94019753381354+0.564553659280281i</v>
      </c>
      <c r="BC51">
        <f t="shared" si="91"/>
        <v>6.1098866609094973</v>
      </c>
      <c r="BD51" s="60">
        <f t="shared" si="92"/>
        <v>163.776197232215</v>
      </c>
      <c r="BE51" s="58" t="str">
        <f t="shared" si="93"/>
        <v>1.34258804208149+50.0219513424625i</v>
      </c>
      <c r="BF51" s="37">
        <f t="shared" si="94"/>
        <v>33.986340051928053</v>
      </c>
      <c r="BG51" s="60">
        <f t="shared" si="95"/>
        <v>88.462551688110182</v>
      </c>
      <c r="BH51" s="58" t="str">
        <f t="shared" si="96"/>
        <v>-2.46058659348062+72.9165658120919i</v>
      </c>
      <c r="BI51" s="37">
        <f t="shared" si="97"/>
        <v>37.261466800537121</v>
      </c>
      <c r="BJ51" s="60">
        <f t="shared" si="98"/>
        <v>91.932726098702929</v>
      </c>
      <c r="BK51">
        <f t="shared" si="99"/>
        <v>33.986340051928053</v>
      </c>
      <c r="BL51" s="60">
        <f t="shared" si="100"/>
        <v>88.462551688110182</v>
      </c>
      <c r="BN51">
        <f t="shared" si="101"/>
        <v>0</v>
      </c>
      <c r="BO51">
        <f t="shared" si="102"/>
        <v>0</v>
      </c>
    </row>
    <row r="52" spans="1:67" ht="14.25" x14ac:dyDescent="0.2">
      <c r="A52" t="s">
        <v>491</v>
      </c>
      <c r="M52" s="66">
        <v>34</v>
      </c>
      <c r="N52" s="36">
        <f t="shared" si="54"/>
        <v>21.877616239495538</v>
      </c>
      <c r="O52" s="91" t="str">
        <f t="shared" si="55"/>
        <v>99.7340425531915</v>
      </c>
      <c r="P52" s="67" t="str">
        <f t="shared" si="56"/>
        <v>1+3.99222179968155i</v>
      </c>
      <c r="Q52" s="67">
        <f t="shared" si="57"/>
        <v>4.1155600952789637</v>
      </c>
      <c r="R52" s="67">
        <f t="shared" si="58"/>
        <v>1.3253592835938064</v>
      </c>
      <c r="S52" s="67" t="str">
        <f t="shared" si="59"/>
        <v>1+0.00750537698340132i</v>
      </c>
      <c r="T52" s="67">
        <f t="shared" si="60"/>
        <v>1.0000281649451994</v>
      </c>
      <c r="U52" s="67">
        <f t="shared" si="61"/>
        <v>7.5052360604920517E-3</v>
      </c>
      <c r="V52" t="str">
        <f t="shared" si="62"/>
        <v>1-0.000775280699384312i</v>
      </c>
      <c r="W52" s="67">
        <f t="shared" si="63"/>
        <v>1.0000003005300362</v>
      </c>
      <c r="X52" s="67">
        <f t="shared" si="64"/>
        <v>-7.7528054405425352E-4</v>
      </c>
      <c r="Y52" t="str">
        <f t="shared" si="65"/>
        <v>0.999999886714771+0.00119837896795175i</v>
      </c>
      <c r="Z52" s="67">
        <f t="shared" si="66"/>
        <v>1.00000060477067</v>
      </c>
      <c r="AA52" s="67">
        <f t="shared" si="67"/>
        <v>1.1983785300418346E-3</v>
      </c>
      <c r="AB52" s="92" t="str">
        <f t="shared" si="68"/>
        <v>6.01834892596674-23.4748846889392i</v>
      </c>
      <c r="AC52" s="37">
        <f t="shared" si="69"/>
        <v>27.688531495059372</v>
      </c>
      <c r="AD52" s="60">
        <f t="shared" si="70"/>
        <v>-75.620557273035288</v>
      </c>
      <c r="AE52" t="str">
        <f t="shared" si="71"/>
        <v>118.329284003155</v>
      </c>
      <c r="AF52" t="str">
        <f t="shared" si="72"/>
        <v>1+3.19377743974524i</v>
      </c>
      <c r="AG52">
        <f t="shared" si="73"/>
        <v>3.3466721283426706</v>
      </c>
      <c r="AH52">
        <f t="shared" si="74"/>
        <v>1.2673568674288622</v>
      </c>
      <c r="AI52" t="str">
        <f t="shared" si="50"/>
        <v>1+0.00750537698340132i</v>
      </c>
      <c r="AJ52">
        <f t="shared" si="75"/>
        <v>1.0000281649451994</v>
      </c>
      <c r="AK52">
        <f t="shared" si="76"/>
        <v>7.5052360604920517E-3</v>
      </c>
      <c r="AL52" t="str">
        <f t="shared" si="77"/>
        <v>1-0.000522741665025142i</v>
      </c>
      <c r="AM52">
        <f t="shared" si="78"/>
        <v>1.0000001366294149</v>
      </c>
      <c r="AN52">
        <f t="shared" si="79"/>
        <v>-5.2274161741055472E-4</v>
      </c>
      <c r="AO52" s="58" t="str">
        <f t="shared" si="80"/>
        <v>10.8005618470898-33.6683405261299i</v>
      </c>
      <c r="AP52">
        <f t="shared" si="81"/>
        <v>30.969827217137365</v>
      </c>
      <c r="AQ52" s="60">
        <f t="shared" si="82"/>
        <v>-72.214132178532637</v>
      </c>
      <c r="AR52" t="str">
        <f t="shared" si="83"/>
        <v>-1.94444444444444</v>
      </c>
      <c r="AS52" t="str">
        <f t="shared" si="51"/>
        <v>1+0.00769782254707825i</v>
      </c>
      <c r="AT52">
        <f t="shared" si="84"/>
        <v>1.0000296277970799</v>
      </c>
      <c r="AU52">
        <f t="shared" si="85"/>
        <v>7.697670503881952E-3</v>
      </c>
      <c r="AV52" t="str">
        <f t="shared" si="52"/>
        <v>1+0.00769782254707825i</v>
      </c>
      <c r="AW52">
        <f t="shared" si="86"/>
        <v>1.0000296277970799</v>
      </c>
      <c r="AX52">
        <f t="shared" si="87"/>
        <v>7.697670503881952E-3</v>
      </c>
      <c r="AY52" t="str">
        <f t="shared" si="53"/>
        <v>1-0.276397586649441i</v>
      </c>
      <c r="AZ52">
        <f t="shared" si="88"/>
        <v>1.0374948799418893</v>
      </c>
      <c r="BA52">
        <f t="shared" si="89"/>
        <v>-0.26966507125621031</v>
      </c>
      <c r="BB52" s="58" t="str">
        <f t="shared" si="90"/>
        <v>-1.94019235965103+0.552375008310147i</v>
      </c>
      <c r="BC52">
        <f t="shared" si="91"/>
        <v>6.0953726877241357</v>
      </c>
      <c r="BD52" s="60">
        <f t="shared" si="92"/>
        <v>164.10828550296978</v>
      </c>
      <c r="BE52" s="58" t="str">
        <f t="shared" si="93"/>
        <v>1.29018502125788+48.870177455163i</v>
      </c>
      <c r="BF52" s="37">
        <f t="shared" si="94"/>
        <v>33.783904182783509</v>
      </c>
      <c r="BG52" s="60">
        <f t="shared" si="95"/>
        <v>88.48772822993449</v>
      </c>
      <c r="BH52" s="58" t="str">
        <f t="shared" si="96"/>
        <v>-2.35761769775218+71.2890174909669i</v>
      </c>
      <c r="BI52" s="37">
        <f t="shared" si="97"/>
        <v>37.065199904861508</v>
      </c>
      <c r="BJ52" s="60">
        <f t="shared" si="98"/>
        <v>91.894153324437141</v>
      </c>
      <c r="BK52">
        <f t="shared" si="99"/>
        <v>33.783904182783509</v>
      </c>
      <c r="BL52" s="60">
        <f t="shared" si="100"/>
        <v>88.48772822993449</v>
      </c>
      <c r="BN52">
        <f t="shared" si="101"/>
        <v>0</v>
      </c>
      <c r="BO52">
        <f t="shared" si="102"/>
        <v>0</v>
      </c>
    </row>
    <row r="53" spans="1:67" ht="15" x14ac:dyDescent="0.25">
      <c r="A53" t="s">
        <v>492</v>
      </c>
      <c r="B53" s="29">
        <f>RFB_TOP</f>
        <v>28800</v>
      </c>
      <c r="C53" s="70" t="s">
        <v>459</v>
      </c>
      <c r="E53" t="s">
        <v>500</v>
      </c>
      <c r="M53" s="66">
        <v>35</v>
      </c>
      <c r="N53" s="36">
        <f t="shared" si="54"/>
        <v>22.387211385683404</v>
      </c>
      <c r="O53" s="91" t="str">
        <f t="shared" si="55"/>
        <v>99.7340425531915</v>
      </c>
      <c r="P53" s="67" t="str">
        <f t="shared" si="56"/>
        <v>1+4.0852125912446i</v>
      </c>
      <c r="Q53" s="67">
        <f t="shared" si="57"/>
        <v>4.2058247604558403</v>
      </c>
      <c r="R53" s="67">
        <f t="shared" si="58"/>
        <v>1.330731604079215</v>
      </c>
      <c r="S53" s="67" t="str">
        <f t="shared" si="59"/>
        <v>1+0.00768019967153986i</v>
      </c>
      <c r="T53" s="67">
        <f t="shared" si="60"/>
        <v>1.0000294922985995</v>
      </c>
      <c r="U53" s="67">
        <f t="shared" si="61"/>
        <v>7.6800486701625427E-3</v>
      </c>
      <c r="V53" t="str">
        <f t="shared" si="62"/>
        <v>1-0.00079333930673049i</v>
      </c>
      <c r="W53" s="67">
        <f t="shared" si="63"/>
        <v>1.0000003146935783</v>
      </c>
      <c r="X53" s="67">
        <f t="shared" si="64"/>
        <v>-7.9333914029133649E-4</v>
      </c>
      <c r="Y53" t="str">
        <f t="shared" si="65"/>
        <v>0.999999881375803+0.00122629280000167i</v>
      </c>
      <c r="Z53" s="67">
        <f t="shared" si="66"/>
        <v>1.0000006332726252</v>
      </c>
      <c r="AA53" s="67">
        <f t="shared" si="67"/>
        <v>1.2262923307727574E-3</v>
      </c>
      <c r="AB53" s="92" t="str">
        <f t="shared" si="68"/>
        <v>5.76866299895563-23.0016649732958i</v>
      </c>
      <c r="AC53" s="37">
        <f t="shared" si="69"/>
        <v>27.500098382942248</v>
      </c>
      <c r="AD53" s="60">
        <f t="shared" si="70"/>
        <v>-75.920986562621479</v>
      </c>
      <c r="AE53" t="str">
        <f t="shared" si="71"/>
        <v>118.329284003155</v>
      </c>
      <c r="AF53" t="str">
        <f t="shared" si="72"/>
        <v>1+3.26817007299568i</v>
      </c>
      <c r="AG53">
        <f t="shared" si="73"/>
        <v>3.4177383788149425</v>
      </c>
      <c r="AH53">
        <f t="shared" si="74"/>
        <v>1.2738608745992186</v>
      </c>
      <c r="AI53" t="str">
        <f t="shared" si="50"/>
        <v>1+0.00768019967153986i</v>
      </c>
      <c r="AJ53">
        <f t="shared" si="75"/>
        <v>1.0000294922985995</v>
      </c>
      <c r="AK53">
        <f t="shared" si="76"/>
        <v>7.6800486701625427E-3</v>
      </c>
      <c r="AL53" t="str">
        <f t="shared" si="77"/>
        <v>1-0.000534917882593403i</v>
      </c>
      <c r="AM53">
        <f t="shared" si="78"/>
        <v>1.0000001430685603</v>
      </c>
      <c r="AN53">
        <f t="shared" si="79"/>
        <v>-5.3491783157345386E-4</v>
      </c>
      <c r="AO53" s="58" t="str">
        <f t="shared" si="80"/>
        <v>10.3667205255355-33.0347096985785i</v>
      </c>
      <c r="AP53">
        <f t="shared" si="81"/>
        <v>30.787325833623154</v>
      </c>
      <c r="AQ53" s="60">
        <f t="shared" si="82"/>
        <v>-72.577465960259175</v>
      </c>
      <c r="AR53" t="str">
        <f t="shared" si="83"/>
        <v>-1.94444444444444</v>
      </c>
      <c r="AS53" t="str">
        <f t="shared" si="51"/>
        <v>1+0.00787712786824598i</v>
      </c>
      <c r="AT53">
        <f t="shared" si="84"/>
        <v>1.0000310240904793</v>
      </c>
      <c r="AU53">
        <f t="shared" si="85"/>
        <v>7.8769649512988871E-3</v>
      </c>
      <c r="AV53" t="str">
        <f t="shared" si="52"/>
        <v>1+0.00787712786824598i</v>
      </c>
      <c r="AW53">
        <f t="shared" si="86"/>
        <v>1.0000310240904793</v>
      </c>
      <c r="AX53">
        <f t="shared" si="87"/>
        <v>7.8769649512988871E-3</v>
      </c>
      <c r="AY53" t="str">
        <f t="shared" si="53"/>
        <v>1-0.270106009456192i</v>
      </c>
      <c r="AZ53">
        <f t="shared" si="88"/>
        <v>1.0358365007781627</v>
      </c>
      <c r="BA53">
        <f t="shared" si="89"/>
        <v>-0.26381063829098195</v>
      </c>
      <c r="BB53" s="58" t="str">
        <f t="shared" si="90"/>
        <v>-1.94018694166733+0.540489230125965i</v>
      </c>
      <c r="BC53">
        <f t="shared" si="91"/>
        <v>6.0814655294641451</v>
      </c>
      <c r="BD53" s="60">
        <f t="shared" si="92"/>
        <v>164.43344698819251</v>
      </c>
      <c r="BE53" s="58" t="str">
        <f t="shared" si="93"/>
        <v>1.23986757157881+47.745430240957i</v>
      </c>
      <c r="BF53" s="37">
        <f t="shared" si="94"/>
        <v>33.581563912406395</v>
      </c>
      <c r="BG53" s="60">
        <f t="shared" si="95"/>
        <v>88.512460425571007</v>
      </c>
      <c r="BH53" s="58" t="str">
        <f t="shared" si="96"/>
        <v>-2.25847097913922+69.6966131747308i</v>
      </c>
      <c r="BI53" s="37">
        <f t="shared" si="97"/>
        <v>36.868791363087297</v>
      </c>
      <c r="BJ53" s="60">
        <f t="shared" si="98"/>
        <v>91.855981027933311</v>
      </c>
      <c r="BK53">
        <f t="shared" si="99"/>
        <v>33.581563912406395</v>
      </c>
      <c r="BL53" s="60">
        <f t="shared" si="100"/>
        <v>88.512460425571007</v>
      </c>
      <c r="BN53">
        <f t="shared" si="101"/>
        <v>0</v>
      </c>
      <c r="BO53">
        <f t="shared" si="102"/>
        <v>0</v>
      </c>
    </row>
    <row r="54" spans="1:67" ht="15" x14ac:dyDescent="0.25">
      <c r="A54" t="s">
        <v>493</v>
      </c>
      <c r="B54" s="29">
        <f>Calculations!$B$162</f>
        <v>576</v>
      </c>
      <c r="C54" s="70" t="s">
        <v>459</v>
      </c>
      <c r="E54" t="s">
        <v>501</v>
      </c>
      <c r="M54" s="66">
        <v>36</v>
      </c>
      <c r="N54" s="36">
        <f t="shared" si="54"/>
        <v>22.908676527677727</v>
      </c>
      <c r="O54" s="91" t="str">
        <f t="shared" si="55"/>
        <v>99.7340425531915</v>
      </c>
      <c r="P54" s="67" t="str">
        <f t="shared" si="56"/>
        <v>1+4.1803694165977i</v>
      </c>
      <c r="Q54" s="67">
        <f t="shared" si="57"/>
        <v>4.298312280328803</v>
      </c>
      <c r="R54" s="67">
        <f t="shared" si="58"/>
        <v>1.3359953244764577</v>
      </c>
      <c r="S54" s="67" t="str">
        <f t="shared" si="59"/>
        <v>1+0.00785909450320368i</v>
      </c>
      <c r="T54" s="67">
        <f t="shared" si="60"/>
        <v>1.0000308822063497</v>
      </c>
      <c r="U54" s="67">
        <f t="shared" si="61"/>
        <v>7.8589327025826283E-3</v>
      </c>
      <c r="V54" t="str">
        <f t="shared" si="62"/>
        <v>1-0.000811818553078182i</v>
      </c>
      <c r="W54" s="67">
        <f t="shared" si="63"/>
        <v>1.0000003295246271</v>
      </c>
      <c r="X54" s="67">
        <f t="shared" si="64"/>
        <v>-8.1181837473541898E-4</v>
      </c>
      <c r="Y54" t="str">
        <f t="shared" si="65"/>
        <v>0.999999875785217+0.00125485682872605i</v>
      </c>
      <c r="Z54" s="67">
        <f t="shared" si="66"/>
        <v>1.0000006631178351</v>
      </c>
      <c r="AA54" s="67">
        <f t="shared" si="67"/>
        <v>1.2548563259382293E-3</v>
      </c>
      <c r="AB54" s="92" t="str">
        <f t="shared" si="68"/>
        <v>5.52896962218165-22.5354357906866i</v>
      </c>
      <c r="AC54" s="37">
        <f t="shared" si="69"/>
        <v>27.311174501779767</v>
      </c>
      <c r="AD54" s="60">
        <f t="shared" si="70"/>
        <v>-76.215021604351719</v>
      </c>
      <c r="AE54" t="str">
        <f t="shared" si="71"/>
        <v>118.329284003155</v>
      </c>
      <c r="AF54" t="str">
        <f t="shared" si="72"/>
        <v>1+3.34429553327816i</v>
      </c>
      <c r="AG54">
        <f t="shared" si="73"/>
        <v>3.4906034741723753</v>
      </c>
      <c r="AH54">
        <f t="shared" si="74"/>
        <v>1.2802419451594327</v>
      </c>
      <c r="AI54" t="str">
        <f t="shared" si="50"/>
        <v>1+0.00785909450320368i</v>
      </c>
      <c r="AJ54">
        <f t="shared" si="75"/>
        <v>1.0000308822063497</v>
      </c>
      <c r="AK54">
        <f t="shared" si="76"/>
        <v>7.8589327025826283E-3</v>
      </c>
      <c r="AL54" t="str">
        <f t="shared" si="77"/>
        <v>1-0.000547377720703488i</v>
      </c>
      <c r="AM54">
        <f t="shared" si="78"/>
        <v>1.0000001498111732</v>
      </c>
      <c r="AN54">
        <f t="shared" si="79"/>
        <v>-5.4737766603462799E-4</v>
      </c>
      <c r="AO54" s="58" t="str">
        <f t="shared" si="80"/>
        <v>9.94912463631423-32.4076228695463i</v>
      </c>
      <c r="AP54">
        <f t="shared" si="81"/>
        <v>30.604103937695982</v>
      </c>
      <c r="AQ54" s="60">
        <f t="shared" si="82"/>
        <v>-72.93353896798267</v>
      </c>
      <c r="AR54" t="str">
        <f t="shared" si="83"/>
        <v>-1.94444444444444</v>
      </c>
      <c r="AS54" t="str">
        <f t="shared" si="51"/>
        <v>1+0.00806060974687554i</v>
      </c>
      <c r="AT54">
        <f t="shared" si="84"/>
        <v>1.0000324861870695</v>
      </c>
      <c r="AU54">
        <f t="shared" si="85"/>
        <v>8.0604351785278569E-3</v>
      </c>
      <c r="AV54" t="str">
        <f t="shared" si="52"/>
        <v>1+0.00806060974687554i</v>
      </c>
      <c r="AW54">
        <f t="shared" si="86"/>
        <v>1.0000324861870695</v>
      </c>
      <c r="AX54">
        <f t="shared" si="87"/>
        <v>8.0604351785278569E-3</v>
      </c>
      <c r="AY54" t="str">
        <f t="shared" si="53"/>
        <v>1-0.263957646044433i</v>
      </c>
      <c r="AZ54">
        <f t="shared" si="88"/>
        <v>1.0342502786585643</v>
      </c>
      <c r="BA54">
        <f t="shared" si="89"/>
        <v>-0.25807152158401153</v>
      </c>
      <c r="BB54" s="58" t="str">
        <f t="shared" si="90"/>
        <v>-1.94018126837435+0.528890022462294i</v>
      </c>
      <c r="BC54">
        <f t="shared" si="91"/>
        <v>6.0681415496817959</v>
      </c>
      <c r="BD54" s="60">
        <f t="shared" si="92"/>
        <v>164.75176208394834</v>
      </c>
      <c r="BE54" s="58" t="str">
        <f t="shared" si="93"/>
        <v>1.19156384716617+46.647047263412i</v>
      </c>
      <c r="BF54" s="37">
        <f t="shared" si="94"/>
        <v>33.379316051461558</v>
      </c>
      <c r="BG54" s="60">
        <f t="shared" si="95"/>
        <v>88.536740479596617</v>
      </c>
      <c r="BH54" s="58" t="str">
        <f t="shared" si="96"/>
        <v>-2.16303686867474+68.1386555964143i</v>
      </c>
      <c r="BI54" s="37">
        <f t="shared" si="97"/>
        <v>36.672245487377772</v>
      </c>
      <c r="BJ54" s="60">
        <f t="shared" si="98"/>
        <v>91.818223115965651</v>
      </c>
      <c r="BK54">
        <f t="shared" si="99"/>
        <v>33.379316051461558</v>
      </c>
      <c r="BL54" s="60">
        <f t="shared" si="100"/>
        <v>88.536740479596617</v>
      </c>
      <c r="BN54">
        <f t="shared" si="101"/>
        <v>0</v>
      </c>
      <c r="BO54">
        <f t="shared" si="102"/>
        <v>0</v>
      </c>
    </row>
    <row r="55" spans="1:67" ht="15" x14ac:dyDescent="0.25">
      <c r="A55" t="s">
        <v>494</v>
      </c>
      <c r="B55" s="29">
        <f>Rcomp_S</f>
        <v>56000</v>
      </c>
      <c r="C55" s="70" t="s">
        <v>459</v>
      </c>
      <c r="E55" t="s">
        <v>502</v>
      </c>
      <c r="M55" s="66">
        <v>37</v>
      </c>
      <c r="N55" s="36">
        <f t="shared" si="54"/>
        <v>23.442288153199236</v>
      </c>
      <c r="O55" s="91" t="str">
        <f t="shared" si="55"/>
        <v>99.7340425531915</v>
      </c>
      <c r="P55" s="67" t="str">
        <f t="shared" si="56"/>
        <v>1+4.27774272914922i</v>
      </c>
      <c r="Q55" s="67">
        <f t="shared" si="57"/>
        <v>4.3930721433626623</v>
      </c>
      <c r="R55" s="67">
        <f t="shared" si="58"/>
        <v>1.3411520684464528</v>
      </c>
      <c r="S55" s="67" t="str">
        <f t="shared" si="59"/>
        <v>1+0.00804215633080053i</v>
      </c>
      <c r="T55" s="67">
        <f t="shared" si="60"/>
        <v>1.0000323376163638</v>
      </c>
      <c r="U55" s="67">
        <f t="shared" si="61"/>
        <v>8.0419829586142605E-3</v>
      </c>
      <c r="V55" t="str">
        <f t="shared" si="62"/>
        <v>1-0.000830728236368406i</v>
      </c>
      <c r="W55" s="67">
        <f t="shared" si="63"/>
        <v>1.0000003450546417</v>
      </c>
      <c r="X55" s="67">
        <f t="shared" si="64"/>
        <v>-8.3072804527069602E-4</v>
      </c>
      <c r="Y55" t="str">
        <f t="shared" si="65"/>
        <v>0.999999869931154+0.00128408619915102i</v>
      </c>
      <c r="Z55" s="67">
        <f t="shared" si="66"/>
        <v>1.0000006943696049</v>
      </c>
      <c r="AA55" s="67">
        <f t="shared" si="67"/>
        <v>1.2840856604041844E-3</v>
      </c>
      <c r="AB55" s="92" t="str">
        <f t="shared" si="68"/>
        <v>5.2989199001246-22.0762600763981i</v>
      </c>
      <c r="AC55" s="37">
        <f t="shared" si="69"/>
        <v>27.121779591503458</v>
      </c>
      <c r="AD55" s="60">
        <f t="shared" si="70"/>
        <v>-76.502751424569141</v>
      </c>
      <c r="AE55" t="str">
        <f t="shared" si="71"/>
        <v>118.329284003155</v>
      </c>
      <c r="AF55" t="str">
        <f t="shared" si="72"/>
        <v>1+3.42219418331937i</v>
      </c>
      <c r="AG55">
        <f t="shared" si="73"/>
        <v>3.5653068631388423</v>
      </c>
      <c r="AH55">
        <f t="shared" si="74"/>
        <v>1.2865013830683152</v>
      </c>
      <c r="AI55" t="str">
        <f t="shared" si="50"/>
        <v>1+0.00804215633080053i</v>
      </c>
      <c r="AJ55">
        <f t="shared" si="75"/>
        <v>1.0000323376163638</v>
      </c>
      <c r="AK55">
        <f t="shared" si="76"/>
        <v>8.0419829586142605E-3</v>
      </c>
      <c r="AL55" t="str">
        <f t="shared" si="77"/>
        <v>1-0.000560127785726492i</v>
      </c>
      <c r="AM55">
        <f t="shared" si="78"/>
        <v>1.000000156871556</v>
      </c>
      <c r="AN55">
        <f t="shared" si="79"/>
        <v>-5.6012772714775358E-4</v>
      </c>
      <c r="AO55" s="58" t="str">
        <f t="shared" si="80"/>
        <v>9.54729680355526-31.7873605069207i</v>
      </c>
      <c r="AP55">
        <f t="shared" si="81"/>
        <v>30.420188668576607</v>
      </c>
      <c r="AQ55" s="60">
        <f t="shared" si="82"/>
        <v>-73.282420859866775</v>
      </c>
      <c r="AR55" t="str">
        <f t="shared" si="83"/>
        <v>-1.94444444444444</v>
      </c>
      <c r="AS55" t="str">
        <f t="shared" si="51"/>
        <v>1+0.00824836546748769i</v>
      </c>
      <c r="AT55">
        <f t="shared" si="84"/>
        <v>1.0000340171878581</v>
      </c>
      <c r="AU55">
        <f t="shared" si="85"/>
        <v>8.24817841447671E-3</v>
      </c>
      <c r="AV55" t="str">
        <f t="shared" si="52"/>
        <v>1+0.00824836546748769i</v>
      </c>
      <c r="AW55">
        <f t="shared" si="86"/>
        <v>1.0000340171878581</v>
      </c>
      <c r="AX55">
        <f t="shared" si="87"/>
        <v>8.24817841447671E-3</v>
      </c>
      <c r="AY55" t="str">
        <f t="shared" si="53"/>
        <v>1-0.257949236470499i</v>
      </c>
      <c r="AZ55">
        <f t="shared" si="88"/>
        <v>1.032733173959137</v>
      </c>
      <c r="BA55">
        <f t="shared" si="89"/>
        <v>-0.2524461910546531</v>
      </c>
      <c r="BB55" s="58" t="str">
        <f t="shared" si="90"/>
        <v>-1.94017532774288+0.517571234977973i</v>
      </c>
      <c r="BC55">
        <f t="shared" si="91"/>
        <v>6.055377877711865</v>
      </c>
      <c r="BD55" s="60">
        <f t="shared" si="92"/>
        <v>165.06331288659467</v>
      </c>
      <c r="BE55" s="58" t="str">
        <f t="shared" si="93"/>
        <v>1.14520353752877+45.5743836458196i</v>
      </c>
      <c r="BF55" s="37">
        <f t="shared" si="94"/>
        <v>33.177157469215324</v>
      </c>
      <c r="BG55" s="60">
        <f t="shared" si="95"/>
        <v>88.560561462025561</v>
      </c>
      <c r="BH55" s="58" t="str">
        <f t="shared" si="96"/>
        <v>-2.07120627063939+66.6144587869133i</v>
      </c>
      <c r="BI55" s="37">
        <f t="shared" si="97"/>
        <v>36.475566546288469</v>
      </c>
      <c r="BJ55" s="60">
        <f t="shared" si="98"/>
        <v>91.780892026727926</v>
      </c>
      <c r="BK55">
        <f t="shared" si="99"/>
        <v>33.177157469215324</v>
      </c>
      <c r="BL55" s="60">
        <f t="shared" si="100"/>
        <v>88.560561462025561</v>
      </c>
      <c r="BN55">
        <f t="shared" si="101"/>
        <v>0</v>
      </c>
      <c r="BO55">
        <f t="shared" si="102"/>
        <v>0</v>
      </c>
    </row>
    <row r="56" spans="1:67" ht="15" x14ac:dyDescent="0.25">
      <c r="A56" t="s">
        <v>495</v>
      </c>
      <c r="B56" s="29">
        <f>Ccomp_S</f>
        <v>4.7000000000000005E-7</v>
      </c>
      <c r="C56" s="70" t="s">
        <v>354</v>
      </c>
      <c r="E56" t="s">
        <v>503</v>
      </c>
      <c r="M56" s="66">
        <v>38</v>
      </c>
      <c r="N56" s="36">
        <f t="shared" si="54"/>
        <v>23.988329190194907</v>
      </c>
      <c r="O56" s="91" t="str">
        <f t="shared" si="55"/>
        <v>99.7340425531915</v>
      </c>
      <c r="P56" s="67" t="str">
        <f t="shared" si="56"/>
        <v>1+4.37738415751833i</v>
      </c>
      <c r="Q56" s="67">
        <f t="shared" si="57"/>
        <v>4.4901550154190062</v>
      </c>
      <c r="R56" s="67">
        <f t="shared" si="58"/>
        <v>1.3462034726534109</v>
      </c>
      <c r="S56" s="67" t="str">
        <f t="shared" si="59"/>
        <v>1+0.00822948221613446i</v>
      </c>
      <c r="T56" s="67">
        <f t="shared" si="60"/>
        <v>1.0000338616154685</v>
      </c>
      <c r="U56" s="67">
        <f t="shared" si="61"/>
        <v>8.2292964448296129E-3</v>
      </c>
      <c r="V56" t="str">
        <f t="shared" si="62"/>
        <v>1-0.000850078382765537i</v>
      </c>
      <c r="W56" s="67">
        <f t="shared" si="63"/>
        <v>1.0000003613165631</v>
      </c>
      <c r="X56" s="67">
        <f t="shared" si="64"/>
        <v>-8.5007817800065565E-4</v>
      </c>
      <c r="Y56" t="str">
        <f t="shared" si="65"/>
        <v>0.999999863801198+0.00131399640907566i</v>
      </c>
      <c r="Z56" s="67">
        <f t="shared" si="66"/>
        <v>1.0000007270942244</v>
      </c>
      <c r="AA56" s="67">
        <f t="shared" si="67"/>
        <v>1.3139958317980479E-3</v>
      </c>
      <c r="AB56" s="92" t="str">
        <f t="shared" si="68"/>
        <v>5.07817281575043-21.6241875273532i</v>
      </c>
      <c r="AC56" s="37">
        <f t="shared" si="69"/>
        <v>26.931932700486122</v>
      </c>
      <c r="AD56" s="60">
        <f t="shared" si="70"/>
        <v>-76.784265701560244</v>
      </c>
      <c r="AE56" t="str">
        <f t="shared" si="71"/>
        <v>118.329284003155</v>
      </c>
      <c r="AF56" t="str">
        <f t="shared" si="72"/>
        <v>1+3.50190732601466i</v>
      </c>
      <c r="AG56">
        <f t="shared" si="73"/>
        <v>3.6418889219737527</v>
      </c>
      <c r="AH56">
        <f t="shared" si="74"/>
        <v>1.2926405444337603</v>
      </c>
      <c r="AI56" t="str">
        <f t="shared" si="50"/>
        <v>1+0.00822948221613446i</v>
      </c>
      <c r="AJ56">
        <f t="shared" si="75"/>
        <v>1.0000338616154685</v>
      </c>
      <c r="AK56">
        <f t="shared" si="76"/>
        <v>8.2292964448296129E-3</v>
      </c>
      <c r="AL56" t="str">
        <f t="shared" si="77"/>
        <v>1-0.000573174837915653i</v>
      </c>
      <c r="AM56">
        <f t="shared" si="78"/>
        <v>1.0000001642646839</v>
      </c>
      <c r="AN56">
        <f t="shared" si="79"/>
        <v>-5.7317477514740446E-4</v>
      </c>
      <c r="AO56" s="58" t="str">
        <f t="shared" si="80"/>
        <v>9.16076284274875-31.174177140732i</v>
      </c>
      <c r="AP56">
        <f t="shared" si="81"/>
        <v>30.235606360621684</v>
      </c>
      <c r="AQ56" s="60">
        <f t="shared" si="82"/>
        <v>-73.62418416443596</v>
      </c>
      <c r="AR56" t="str">
        <f t="shared" si="83"/>
        <v>-1.94444444444444</v>
      </c>
      <c r="AS56" t="str">
        <f t="shared" si="51"/>
        <v>1+0.0084404945806507i</v>
      </c>
      <c r="AT56">
        <f t="shared" si="84"/>
        <v>1.0000356203399787</v>
      </c>
      <c r="AU56">
        <f t="shared" si="85"/>
        <v>8.4402941501239073E-3</v>
      </c>
      <c r="AV56" t="str">
        <f t="shared" si="52"/>
        <v>1+0.0084404945806507i</v>
      </c>
      <c r="AW56">
        <f t="shared" si="86"/>
        <v>1.0000356203399787</v>
      </c>
      <c r="AX56">
        <f t="shared" si="87"/>
        <v>8.4402941501239073E-3</v>
      </c>
      <c r="AY56" t="str">
        <f t="shared" si="53"/>
        <v>1-0.252077594996104i</v>
      </c>
      <c r="AZ56">
        <f t="shared" si="88"/>
        <v>1.0312822668401798</v>
      </c>
      <c r="BA56">
        <f t="shared" si="89"/>
        <v>-0.24693308874998071</v>
      </c>
      <c r="BB56" s="58" t="str">
        <f t="shared" si="90"/>
        <v>-1.94016910717707+0.506526865993764i</v>
      </c>
      <c r="BC56">
        <f t="shared" si="91"/>
        <v>6.0431523963128839</v>
      </c>
      <c r="BD56" s="60">
        <f t="shared" si="92"/>
        <v>165.36818295984568</v>
      </c>
      <c r="BE56" s="58" t="str">
        <f t="shared" si="93"/>
        <v>1.10071791986628+44.5268115697112i</v>
      </c>
      <c r="BF56" s="37">
        <f t="shared" si="94"/>
        <v>32.975085096799013</v>
      </c>
      <c r="BG56" s="60">
        <f t="shared" si="95"/>
        <v>88.583917258285439</v>
      </c>
      <c r="BH56" s="58" t="str">
        <f t="shared" si="96"/>
        <v>-1.9828708186473+65.1233479229635i</v>
      </c>
      <c r="BI56" s="37">
        <f t="shared" si="97"/>
        <v>36.278758756934572</v>
      </c>
      <c r="BJ56" s="60">
        <f t="shared" si="98"/>
        <v>91.743998795409723</v>
      </c>
      <c r="BK56">
        <f t="shared" si="99"/>
        <v>32.975085096799013</v>
      </c>
      <c r="BL56" s="60">
        <f t="shared" si="100"/>
        <v>88.583917258285439</v>
      </c>
      <c r="BN56">
        <f t="shared" si="101"/>
        <v>0</v>
      </c>
      <c r="BO56">
        <f t="shared" si="102"/>
        <v>0</v>
      </c>
    </row>
    <row r="57" spans="1:67" ht="15" x14ac:dyDescent="0.25">
      <c r="A57" t="s">
        <v>392</v>
      </c>
      <c r="B57" s="29">
        <f>CHF_S</f>
        <v>1.0000000000000001E-9</v>
      </c>
      <c r="C57" s="70" t="s">
        <v>354</v>
      </c>
      <c r="E57" t="s">
        <v>504</v>
      </c>
      <c r="M57" s="66">
        <v>39</v>
      </c>
      <c r="N57" s="36">
        <f t="shared" si="54"/>
        <v>24.547089156850316</v>
      </c>
      <c r="O57" s="91" t="str">
        <f t="shared" si="55"/>
        <v>99.7340425531915</v>
      </c>
      <c r="P57" s="67" t="str">
        <f t="shared" si="56"/>
        <v>1+4.47934653290929i</v>
      </c>
      <c r="Q57" s="67">
        <f t="shared" si="57"/>
        <v>4.589612768184967</v>
      </c>
      <c r="R57" s="67">
        <f t="shared" si="58"/>
        <v>1.3511511837972692</v>
      </c>
      <c r="S57" s="67" t="str">
        <f t="shared" si="59"/>
        <v>1+0.00842117148186946i</v>
      </c>
      <c r="T57" s="67">
        <f t="shared" si="60"/>
        <v>1.0000354574359487</v>
      </c>
      <c r="U57" s="67">
        <f t="shared" si="61"/>
        <v>8.42097242471114E-3</v>
      </c>
      <c r="V57" t="str">
        <f t="shared" si="62"/>
        <v>1-0.000869879251973329i</v>
      </c>
      <c r="W57" s="67">
        <f t="shared" si="63"/>
        <v>1.000000378344885</v>
      </c>
      <c r="X57" s="67">
        <f t="shared" si="64"/>
        <v>-8.698790325638101E-4</v>
      </c>
      <c r="Y57" t="str">
        <f t="shared" si="65"/>
        <v>0.999999857382347+0.0013446033172892i</v>
      </c>
      <c r="Z57" s="67">
        <f t="shared" si="66"/>
        <v>1.0000007613611077</v>
      </c>
      <c r="AA57" s="67">
        <f t="shared" si="67"/>
        <v>1.344602698725118E-3</v>
      </c>
      <c r="AB57" s="92" t="str">
        <f t="shared" si="68"/>
        <v>4.86639544109441-21.1792554030622i</v>
      </c>
      <c r="AC57" s="37">
        <f t="shared" si="69"/>
        <v>26.74165220163853</v>
      </c>
      <c r="AD57" s="60">
        <f t="shared" si="70"/>
        <v>-77.05965459336818</v>
      </c>
      <c r="AE57" t="str">
        <f t="shared" si="71"/>
        <v>118.329284003155</v>
      </c>
      <c r="AF57" t="str">
        <f t="shared" si="72"/>
        <v>1+3.58347722632743i</v>
      </c>
      <c r="AG57">
        <f t="shared" si="73"/>
        <v>3.7203909783257099</v>
      </c>
      <c r="AH57">
        <f t="shared" si="74"/>
        <v>1.2986608325603659</v>
      </c>
      <c r="AI57" t="str">
        <f t="shared" si="50"/>
        <v>1+0.00842117148186946i</v>
      </c>
      <c r="AJ57">
        <f t="shared" si="75"/>
        <v>1.0000354574359487</v>
      </c>
      <c r="AK57">
        <f t="shared" si="76"/>
        <v>8.42097242471114E-3</v>
      </c>
      <c r="AL57" t="str">
        <f t="shared" si="77"/>
        <v>1-0.000586525794990744i</v>
      </c>
      <c r="AM57">
        <f t="shared" si="78"/>
        <v>1.0000001720062393</v>
      </c>
      <c r="AN57">
        <f t="shared" si="79"/>
        <v>-5.8652572773335455E-4</v>
      </c>
      <c r="AO57" s="58" t="str">
        <f t="shared" si="80"/>
        <v>8.78905277664124-30.568302451537i</v>
      </c>
      <c r="AP57">
        <f t="shared" si="81"/>
        <v>30.050382549662</v>
      </c>
      <c r="AQ57" s="60">
        <f t="shared" si="82"/>
        <v>-73.958903994097625</v>
      </c>
      <c r="AR57" t="str">
        <f t="shared" si="83"/>
        <v>-1.94444444444444</v>
      </c>
      <c r="AS57" t="str">
        <f t="shared" si="51"/>
        <v>1+0.00863709895576352i</v>
      </c>
      <c r="AT57">
        <f t="shared" si="84"/>
        <v>1.0000372990435766</v>
      </c>
      <c r="AU57">
        <f t="shared" si="85"/>
        <v>8.6368841910173261E-3</v>
      </c>
      <c r="AV57" t="str">
        <f t="shared" si="52"/>
        <v>1+0.00863709895576352i</v>
      </c>
      <c r="AW57">
        <f t="shared" si="86"/>
        <v>1.0000372990435766</v>
      </c>
      <c r="AX57">
        <f t="shared" si="87"/>
        <v>8.6368841910173261E-3</v>
      </c>
      <c r="AY57" t="str">
        <f t="shared" si="53"/>
        <v>1-0.246339608399218i</v>
      </c>
      <c r="AZ57">
        <f t="shared" si="88"/>
        <v>1.0298947531987335</v>
      </c>
      <c r="BA57">
        <f t="shared" si="89"/>
        <v>-0.24153063265139005</v>
      </c>
      <c r="BB57" s="58" t="str">
        <f t="shared" si="90"/>
        <v>-1.94016259348777+0.495751059308703i</v>
      </c>
      <c r="BC57">
        <f t="shared" si="91"/>
        <v>6.0314437283406876</v>
      </c>
      <c r="BD57" s="60">
        <f t="shared" si="92"/>
        <v>165.66645711366215</v>
      </c>
      <c r="BE57" s="58" t="str">
        <f t="shared" si="93"/>
        <v>1.05803990150687+43.5037197858826i</v>
      </c>
      <c r="BF57" s="37">
        <f t="shared" si="94"/>
        <v>32.773095929979206</v>
      </c>
      <c r="BG57" s="60">
        <f t="shared" si="95"/>
        <v>88.606802520293968</v>
      </c>
      <c r="BH57" s="58" t="str">
        <f t="shared" si="96"/>
        <v>-1.89792310781086+63.6646591872326i</v>
      </c>
      <c r="BI57" s="37">
        <f t="shared" si="97"/>
        <v>36.081826278002694</v>
      </c>
      <c r="BJ57" s="60">
        <f t="shared" si="98"/>
        <v>91.707553119564523</v>
      </c>
      <c r="BK57">
        <f t="shared" si="99"/>
        <v>32.773095929979206</v>
      </c>
      <c r="BL57" s="60">
        <f t="shared" si="100"/>
        <v>88.606802520293968</v>
      </c>
      <c r="BN57">
        <f t="shared" si="101"/>
        <v>0</v>
      </c>
      <c r="BO57">
        <f t="shared" si="102"/>
        <v>0</v>
      </c>
    </row>
    <row r="58" spans="1:67" ht="15" x14ac:dyDescent="0.25">
      <c r="C58" s="70"/>
      <c r="M58" s="66">
        <v>40</v>
      </c>
      <c r="N58" s="36">
        <f t="shared" si="54"/>
        <v>25.118864315095799</v>
      </c>
      <c r="O58" s="91" t="str">
        <f t="shared" si="55"/>
        <v>99.7340425531915</v>
      </c>
      <c r="P58" s="67" t="str">
        <f t="shared" si="56"/>
        <v>1+4.58368391712319i</v>
      </c>
      <c r="Q58" s="67">
        <f t="shared" si="57"/>
        <v>4.6914985081628018</v>
      </c>
      <c r="R58" s="67">
        <f t="shared" si="58"/>
        <v>1.3559968558283588</v>
      </c>
      <c r="S58" s="67" t="str">
        <f t="shared" si="59"/>
        <v>1+0.00861732576419159i</v>
      </c>
      <c r="T58" s="67">
        <f t="shared" si="60"/>
        <v>1.0000371284624017</v>
      </c>
      <c r="U58" s="67">
        <f t="shared" si="61"/>
        <v>8.617112471031297E-3</v>
      </c>
      <c r="V58" t="str">
        <f t="shared" si="62"/>
        <v>1-0.000890141342674735i</v>
      </c>
      <c r="W58" s="67">
        <f t="shared" si="63"/>
        <v>1.0000003961757264</v>
      </c>
      <c r="X58" s="67">
        <f t="shared" si="64"/>
        <v>-8.9014110757320479E-4</v>
      </c>
      <c r="Y58" t="str">
        <f t="shared" si="65"/>
        <v>0.999999850660984+0.0013759231519795i</v>
      </c>
      <c r="Z58" s="67">
        <f t="shared" si="66"/>
        <v>1.0000007972429372</v>
      </c>
      <c r="AA58" s="67">
        <f t="shared" si="67"/>
        <v>1.375922489176173E-3</v>
      </c>
      <c r="AB58" s="92" t="str">
        <f t="shared" si="68"/>
        <v>4.66326310267257-20.741489301019i</v>
      </c>
      <c r="AC58" s="37">
        <f t="shared" si="69"/>
        <v>26.55095580888517</v>
      </c>
      <c r="AD58" s="60">
        <f t="shared" si="70"/>
        <v>-77.32900857599688</v>
      </c>
      <c r="AE58" t="str">
        <f t="shared" si="71"/>
        <v>118.329284003155</v>
      </c>
      <c r="AF58" t="str">
        <f t="shared" si="72"/>
        <v>1+3.66694713369855i</v>
      </c>
      <c r="AG58">
        <f t="shared" si="73"/>
        <v>3.8008553354922641</v>
      </c>
      <c r="AH58">
        <f t="shared" si="74"/>
        <v>1.3045636932100295</v>
      </c>
      <c r="AI58" t="str">
        <f t="shared" si="50"/>
        <v>1+0.00861732576419159i</v>
      </c>
      <c r="AJ58">
        <f t="shared" si="75"/>
        <v>1.0000371284624017</v>
      </c>
      <c r="AK58">
        <f t="shared" si="76"/>
        <v>8.617112471031297E-3</v>
      </c>
      <c r="AL58" t="str">
        <f t="shared" si="77"/>
        <v>1-0.000600187735805928i</v>
      </c>
      <c r="AM58">
        <f t="shared" si="78"/>
        <v>1.0000001801126428</v>
      </c>
      <c r="AN58">
        <f t="shared" si="79"/>
        <v>-6.0018766373833748E-4</v>
      </c>
      <c r="AO58" s="58" t="str">
        <f t="shared" si="80"/>
        <v>8.43170175092714-29.96994236511i</v>
      </c>
      <c r="AP58">
        <f t="shared" si="81"/>
        <v>29.864541980977833</v>
      </c>
      <c r="AQ58" s="60">
        <f t="shared" si="82"/>
        <v>-74.28665777080262</v>
      </c>
      <c r="AR58" t="str">
        <f t="shared" si="83"/>
        <v>-1.94444444444444</v>
      </c>
      <c r="AS58" t="str">
        <f t="shared" si="51"/>
        <v>1+0.00883828283506827i</v>
      </c>
      <c r="AT58">
        <f t="shared" si="84"/>
        <v>1.0000390568590172</v>
      </c>
      <c r="AU58">
        <f t="shared" si="85"/>
        <v>8.8380527109820466E-3</v>
      </c>
      <c r="AV58" t="str">
        <f t="shared" si="52"/>
        <v>1+0.00883828283506827i</v>
      </c>
      <c r="AW58">
        <f t="shared" si="86"/>
        <v>1.0000390568590172</v>
      </c>
      <c r="AX58">
        <f t="shared" si="87"/>
        <v>8.8380527109820466E-3</v>
      </c>
      <c r="AY58" t="str">
        <f t="shared" si="53"/>
        <v>1-0.240732234323394i</v>
      </c>
      <c r="AZ58">
        <f t="shared" si="88"/>
        <v>1.0285679407031572</v>
      </c>
      <c r="BA58">
        <f t="shared" si="89"/>
        <v>-0.23623722027727187</v>
      </c>
      <c r="BB58" s="58" t="str">
        <f t="shared" si="90"/>
        <v>-1.94015577286462+0.485238101093489i</v>
      </c>
      <c r="BC58">
        <f t="shared" si="91"/>
        <v>6.0202312225828711</v>
      </c>
      <c r="BD58" s="60">
        <f t="shared" si="92"/>
        <v>165.9582211947565</v>
      </c>
      <c r="BE58" s="58" t="str">
        <f t="shared" si="93"/>
        <v>1.01710405324061+42.5045131380219i</v>
      </c>
      <c r="BF58" s="37">
        <f t="shared" si="94"/>
        <v>32.571187031468035</v>
      </c>
      <c r="BG58" s="60">
        <f t="shared" si="95"/>
        <v>88.629212618759624</v>
      </c>
      <c r="BH58" s="58" t="str">
        <f t="shared" si="96"/>
        <v>-1.81625690400673+62.2377396386946i</v>
      </c>
      <c r="BI58" s="37">
        <f t="shared" si="97"/>
        <v>35.884773203560705</v>
      </c>
      <c r="BJ58" s="60">
        <f t="shared" si="98"/>
        <v>91.671563423953884</v>
      </c>
      <c r="BK58">
        <f t="shared" si="99"/>
        <v>32.571187031468035</v>
      </c>
      <c r="BL58" s="60">
        <f t="shared" si="100"/>
        <v>88.629212618759624</v>
      </c>
      <c r="BN58">
        <f t="shared" si="101"/>
        <v>0</v>
      </c>
      <c r="BO58">
        <f t="shared" si="102"/>
        <v>0</v>
      </c>
    </row>
    <row r="59" spans="1:67" ht="14.25" x14ac:dyDescent="0.2">
      <c r="A59" t="s">
        <v>496</v>
      </c>
      <c r="B59" s="23">
        <f>-(Rcomp_S) / (RFBT)</f>
        <v>-1.9444444444444444</v>
      </c>
      <c r="C59" t="s">
        <v>118</v>
      </c>
      <c r="E59" t="s">
        <v>704</v>
      </c>
      <c r="J59" t="s">
        <v>419</v>
      </c>
      <c r="K59" s="23">
        <f>-(Rcomp_S)/(RFB_TOP)</f>
        <v>-1.9444444444444444</v>
      </c>
      <c r="L59" t="s">
        <v>118</v>
      </c>
      <c r="M59" s="66">
        <v>41</v>
      </c>
      <c r="N59" s="36">
        <f t="shared" si="54"/>
        <v>25.703957827688647</v>
      </c>
      <c r="O59" s="91" t="str">
        <f t="shared" si="55"/>
        <v>99.7340425531915</v>
      </c>
      <c r="P59" s="67" t="str">
        <f t="shared" si="56"/>
        <v>1+4.69045163122214i</v>
      </c>
      <c r="Q59" s="67">
        <f t="shared" si="57"/>
        <v>4.7958666062385875</v>
      </c>
      <c r="R59" s="67">
        <f t="shared" si="58"/>
        <v>1.3607421473382797</v>
      </c>
      <c r="S59" s="67" t="str">
        <f t="shared" si="59"/>
        <v>1+0.00881804906669762i</v>
      </c>
      <c r="T59" s="67">
        <f t="shared" si="60"/>
        <v>1.0000388782389127</v>
      </c>
      <c r="U59" s="67">
        <f t="shared" si="61"/>
        <v>8.8178205194385656E-3</v>
      </c>
      <c r="V59" t="str">
        <f t="shared" si="62"/>
        <v>1-0.000910875398098436i</v>
      </c>
      <c r="W59" s="67">
        <f t="shared" si="63"/>
        <v>1.0000004148469093</v>
      </c>
      <c r="X59" s="67">
        <f t="shared" si="64"/>
        <v>-9.1087514618261333E-4</v>
      </c>
      <c r="Y59" t="str">
        <f t="shared" si="65"/>
        <v>0.999999843622853+0.00140797251933746i</v>
      </c>
      <c r="Z59" s="67">
        <f t="shared" si="66"/>
        <v>1.0000008348158245</v>
      </c>
      <c r="AA59" s="67">
        <f t="shared" si="67"/>
        <v>1.4079718091309314E-3</v>
      </c>
      <c r="AB59" s="92" t="str">
        <f t="shared" si="68"/>
        <v>4.46845950537012-20.3109039054862i</v>
      </c>
      <c r="AC59" s="37">
        <f t="shared" si="69"/>
        <v>26.359860593933121</v>
      </c>
      <c r="AD59" s="60">
        <f t="shared" si="70"/>
        <v>-77.592418291660763</v>
      </c>
      <c r="AE59" t="str">
        <f t="shared" si="71"/>
        <v>118.329284003155</v>
      </c>
      <c r="AF59" t="str">
        <f t="shared" si="72"/>
        <v>1+3.75236130497771i</v>
      </c>
      <c r="AG59">
        <f t="shared" si="73"/>
        <v>3.8833252970996419</v>
      </c>
      <c r="AH59">
        <f t="shared" si="74"/>
        <v>1.3103506100761146</v>
      </c>
      <c r="AI59" t="str">
        <f t="shared" si="50"/>
        <v>1+0.00881804906669762i</v>
      </c>
      <c r="AJ59">
        <f t="shared" si="75"/>
        <v>1.0000388782389127</v>
      </c>
      <c r="AK59">
        <f t="shared" si="76"/>
        <v>8.8178205194385656E-3</v>
      </c>
      <c r="AL59" t="str">
        <f t="shared" si="77"/>
        <v>1-0.000614167904103057i</v>
      </c>
      <c r="AM59">
        <f t="shared" si="78"/>
        <v>1.0000001886010894</v>
      </c>
      <c r="AN59">
        <f t="shared" si="79"/>
        <v>-6.1416782688124326E-4</v>
      </c>
      <c r="AO59" s="58" t="str">
        <f t="shared" si="80"/>
        <v>8.08825085442827-29.3792801470928i</v>
      </c>
      <c r="AP59">
        <f t="shared" si="81"/>
        <v>29.678108618747785</v>
      </c>
      <c r="AQ59" s="60">
        <f t="shared" si="82"/>
        <v>-74.607524963879328</v>
      </c>
      <c r="AR59" t="str">
        <f t="shared" si="83"/>
        <v>-1.94444444444444</v>
      </c>
      <c r="AS59" t="str">
        <f t="shared" si="51"/>
        <v>1+0.00904415288892061i</v>
      </c>
      <c r="AT59">
        <f t="shared" si="84"/>
        <v>1.0000408975144357</v>
      </c>
      <c r="AU59">
        <f t="shared" si="85"/>
        <v>9.0439063070642534E-3</v>
      </c>
      <c r="AV59" t="str">
        <f t="shared" si="52"/>
        <v>1+0.00904415288892061i</v>
      </c>
      <c r="AW59">
        <f t="shared" si="86"/>
        <v>1.0000408975144357</v>
      </c>
      <c r="AX59">
        <f t="shared" si="87"/>
        <v>9.0439063070642534E-3</v>
      </c>
      <c r="AY59" t="str">
        <f t="shared" si="53"/>
        <v>1-0.235252499664677i</v>
      </c>
      <c r="AZ59">
        <f t="shared" si="88"/>
        <v>1.027299244912834</v>
      </c>
      <c r="BA59">
        <f t="shared" si="89"/>
        <v>-0.23105123208604669</v>
      </c>
      <c r="BB59" s="58" t="str">
        <f t="shared" si="90"/>
        <v>-1.94014863084682+0.474982416859258i</v>
      </c>
      <c r="BC59">
        <f t="shared" si="91"/>
        <v>6.0094949388748029</v>
      </c>
      <c r="BD59" s="60">
        <f t="shared" si="92"/>
        <v>166.24356188846534</v>
      </c>
      <c r="BE59" s="58" t="str">
        <f t="shared" si="93"/>
        <v>0.97784663428568+41.5286120989888i</v>
      </c>
      <c r="BF59" s="37">
        <f t="shared" si="94"/>
        <v>32.369355532807923</v>
      </c>
      <c r="BG59" s="60">
        <f t="shared" si="95"/>
        <v>88.651143596804587</v>
      </c>
      <c r="BH59" s="58" t="str">
        <f t="shared" si="96"/>
        <v>-1.73776733131328+60.8419470916476i</v>
      </c>
      <c r="BI59" s="37">
        <f t="shared" si="97"/>
        <v>35.687603557622595</v>
      </c>
      <c r="BJ59" s="60">
        <f t="shared" si="98"/>
        <v>91.636036924586008</v>
      </c>
      <c r="BK59">
        <f t="shared" si="99"/>
        <v>32.369355532807923</v>
      </c>
      <c r="BL59" s="60">
        <f t="shared" si="100"/>
        <v>88.651143596804587</v>
      </c>
      <c r="BN59">
        <f t="shared" si="101"/>
        <v>0</v>
      </c>
      <c r="BO59">
        <f t="shared" si="102"/>
        <v>0</v>
      </c>
    </row>
    <row r="60" spans="1:67" ht="14.25" x14ac:dyDescent="0.2">
      <c r="A60" t="s">
        <v>497</v>
      </c>
      <c r="B60" s="23">
        <f>1/(Rcomp_S*Ccomp_S)</f>
        <v>37.993920972644375</v>
      </c>
      <c r="C60" t="s">
        <v>489</v>
      </c>
      <c r="E60" t="s">
        <v>505</v>
      </c>
      <c r="M60" s="66">
        <v>42</v>
      </c>
      <c r="N60" s="36">
        <f t="shared" si="54"/>
        <v>26.302679918953825</v>
      </c>
      <c r="O60" s="91" t="str">
        <f t="shared" si="55"/>
        <v>99.7340425531915</v>
      </c>
      <c r="P60" s="67" t="str">
        <f t="shared" si="56"/>
        <v>1+4.79970628486144i</v>
      </c>
      <c r="Q60" s="67">
        <f t="shared" si="57"/>
        <v>4.9027727278488449</v>
      </c>
      <c r="R60" s="67">
        <f t="shared" si="58"/>
        <v>1.3653887191207463</v>
      </c>
      <c r="S60" s="67" t="str">
        <f t="shared" si="59"/>
        <v>1+0.00902344781553951i</v>
      </c>
      <c r="T60" s="67">
        <f t="shared" si="60"/>
        <v>1.0000407104765685</v>
      </c>
      <c r="U60" s="67">
        <f t="shared" si="61"/>
        <v>9.0232029232777018E-3</v>
      </c>
      <c r="V60" t="str">
        <f t="shared" si="62"/>
        <v>1-0.00093209241171507i</v>
      </c>
      <c r="W60" s="67">
        <f t="shared" si="63"/>
        <v>1.0000004343980378</v>
      </c>
      <c r="X60" s="67">
        <f t="shared" si="64"/>
        <v>-9.3209214178240898E-4</v>
      </c>
      <c r="Y60" t="str">
        <f t="shared" si="65"/>
        <v>0.999999836253025+0.0014407684123619i</v>
      </c>
      <c r="Z60" s="67">
        <f t="shared" si="66"/>
        <v>1.0000008741594653</v>
      </c>
      <c r="AA60" s="67">
        <f t="shared" si="67"/>
        <v>1.4407676513619296E-3</v>
      </c>
      <c r="AB60" s="92" t="str">
        <f t="shared" si="68"/>
        <v>4.28167681830284-19.8875037088855i</v>
      </c>
      <c r="AC60" s="37">
        <f t="shared" si="69"/>
        <v>26.168383003253474</v>
      </c>
      <c r="AD60" s="60">
        <f t="shared" si="70"/>
        <v>-77.849974406721742</v>
      </c>
      <c r="AE60" t="str">
        <f t="shared" si="71"/>
        <v>118.329284003155</v>
      </c>
      <c r="AF60" t="str">
        <f t="shared" si="72"/>
        <v>1+3.83976502788915i</v>
      </c>
      <c r="AG60">
        <f t="shared" si="73"/>
        <v>3.9678451922171258</v>
      </c>
      <c r="AH60">
        <f t="shared" si="74"/>
        <v>1.3160231004706424</v>
      </c>
      <c r="AI60" t="str">
        <f t="shared" si="50"/>
        <v>1+0.00902344781553951i</v>
      </c>
      <c r="AJ60">
        <f t="shared" si="75"/>
        <v>1.0000407104765685</v>
      </c>
      <c r="AK60">
        <f t="shared" si="76"/>
        <v>9.0232029232777018E-3</v>
      </c>
      <c r="AL60" t="str">
        <f t="shared" si="77"/>
        <v>1-0.000628473712352416i</v>
      </c>
      <c r="AM60">
        <f t="shared" si="78"/>
        <v>1.000000197489584</v>
      </c>
      <c r="AN60">
        <f t="shared" si="79"/>
        <v>-6.2847362960775281E-4</v>
      </c>
      <c r="AO60" s="58" t="str">
        <f t="shared" si="80"/>
        <v>7.7582478486075-28.7964774919242i</v>
      </c>
      <c r="AP60">
        <f t="shared" si="81"/>
        <v>29.491105656810962</v>
      </c>
      <c r="AQ60" s="60">
        <f t="shared" si="82"/>
        <v>-74.92158684000681</v>
      </c>
      <c r="AR60" t="str">
        <f t="shared" si="83"/>
        <v>-1.94444444444444</v>
      </c>
      <c r="AS60" t="str">
        <f t="shared" si="51"/>
        <v>1+0.00925481827234819i</v>
      </c>
      <c r="AT60">
        <f t="shared" si="84"/>
        <v>1.0000428249136404</v>
      </c>
      <c r="AU60">
        <f t="shared" si="85"/>
        <v>9.2545540557398692E-3</v>
      </c>
      <c r="AV60" t="str">
        <f t="shared" si="52"/>
        <v>1+0.00925481827234819i</v>
      </c>
      <c r="AW60">
        <f t="shared" si="86"/>
        <v>1.0000428249136404</v>
      </c>
      <c r="AX60">
        <f t="shared" si="87"/>
        <v>9.2545540557398692E-3</v>
      </c>
      <c r="AY60" t="str">
        <f t="shared" si="53"/>
        <v>1-0.229897498995217i</v>
      </c>
      <c r="AZ60">
        <f t="shared" si="88"/>
        <v>1.026086185485535</v>
      </c>
      <c r="BA60">
        <f t="shared" si="89"/>
        <v>-0.22597103468437119</v>
      </c>
      <c r="BB60" s="58" t="str">
        <f t="shared" si="90"/>
        <v>-1.94014115229244+0.464978568500092i</v>
      </c>
      <c r="BC60">
        <f t="shared" si="91"/>
        <v>5.9992156326089709</v>
      </c>
      <c r="BD60" s="60">
        <f t="shared" si="92"/>
        <v>166.52256653171165</v>
      </c>
      <c r="BE60" s="58" t="str">
        <f t="shared" si="93"/>
        <v>0.940205609591949+40.5754523197318i</v>
      </c>
      <c r="BF60" s="37">
        <f t="shared" si="94"/>
        <v>32.167598635862447</v>
      </c>
      <c r="BG60" s="60">
        <f t="shared" si="95"/>
        <v>88.672592124989905</v>
      </c>
      <c r="BH60" s="58" t="str">
        <f t="shared" si="96"/>
        <v>-1.66235103872766+59.4766500018596i</v>
      </c>
      <c r="BI60" s="37">
        <f t="shared" si="97"/>
        <v>35.490321289419938</v>
      </c>
      <c r="BJ60" s="60">
        <f t="shared" si="98"/>
        <v>91.600979691704822</v>
      </c>
      <c r="BK60">
        <f t="shared" si="99"/>
        <v>32.167598635862447</v>
      </c>
      <c r="BL60" s="60">
        <f t="shared" si="100"/>
        <v>88.672592124989905</v>
      </c>
      <c r="BN60">
        <f t="shared" si="101"/>
        <v>0</v>
      </c>
      <c r="BO60">
        <f t="shared" si="102"/>
        <v>0</v>
      </c>
    </row>
    <row r="61" spans="1:67" ht="14.25" x14ac:dyDescent="0.2">
      <c r="A61" t="s">
        <v>498</v>
      </c>
      <c r="B61" s="23">
        <f>1/(Rcomp_S*CHF_S)</f>
        <v>17857.142857142855</v>
      </c>
      <c r="C61" t="s">
        <v>489</v>
      </c>
      <c r="E61" t="s">
        <v>506</v>
      </c>
      <c r="J61" t="s">
        <v>513</v>
      </c>
      <c r="K61" s="23">
        <f>1/(Rcomp_S*(1/(1/CHF_S+1/Ccomp_S)))</f>
        <v>17895.136778115499</v>
      </c>
      <c r="L61" t="s">
        <v>489</v>
      </c>
      <c r="M61" s="66">
        <v>43</v>
      </c>
      <c r="N61" s="36">
        <f t="shared" si="54"/>
        <v>26.915348039269158</v>
      </c>
      <c r="O61" s="91" t="str">
        <f t="shared" si="55"/>
        <v>99.7340425531915</v>
      </c>
      <c r="P61" s="67" t="str">
        <f t="shared" si="56"/>
        <v>1+4.91150580630462i</v>
      </c>
      <c r="Q61" s="67">
        <f t="shared" si="57"/>
        <v>5.012273863763232</v>
      </c>
      <c r="R61" s="67">
        <f t="shared" si="58"/>
        <v>1.3699382318959799</v>
      </c>
      <c r="S61" s="67" t="str">
        <f t="shared" si="59"/>
        <v>1+0.00923363091585268i</v>
      </c>
      <c r="T61" s="67">
        <f t="shared" si="60"/>
        <v>1.0000426290613267</v>
      </c>
      <c r="U61" s="67">
        <f t="shared" si="61"/>
        <v>9.2333685096705718E-3</v>
      </c>
      <c r="V61" t="str">
        <f t="shared" si="62"/>
        <v>1-0.000953803633066101i</v>
      </c>
      <c r="W61" s="67">
        <f t="shared" si="63"/>
        <v>1.0000004548705819</v>
      </c>
      <c r="X61" s="67">
        <f t="shared" si="64"/>
        <v>-9.538033438280508E-4</v>
      </c>
      <c r="Y61" t="str">
        <f t="shared" si="65"/>
        <v>0.999999828535867+0.00147432821986941i</v>
      </c>
      <c r="Z61" s="67">
        <f t="shared" si="66"/>
        <v>1.0000009153573126</v>
      </c>
      <c r="AA61" s="67">
        <f t="shared" si="67"/>
        <v>1.4743274044432915E-3</v>
      </c>
      <c r="AB61" s="92" t="str">
        <f t="shared" si="68"/>
        <v>4.10261572598922-19.4712837052605i</v>
      </c>
      <c r="AC61" s="37">
        <f t="shared" si="69"/>
        <v>25.97653887520293</v>
      </c>
      <c r="AD61" s="60">
        <f t="shared" si="70"/>
        <v>-78.101767478942648</v>
      </c>
      <c r="AE61" t="str">
        <f t="shared" si="71"/>
        <v>118.329284003155</v>
      </c>
      <c r="AF61" t="str">
        <f t="shared" si="72"/>
        <v>1+3.92920464504369i</v>
      </c>
      <c r="AG61">
        <f t="shared" si="73"/>
        <v>4.0544604009205605</v>
      </c>
      <c r="AH61">
        <f t="shared" si="74"/>
        <v>1.3215827112228509</v>
      </c>
      <c r="AI61" t="str">
        <f t="shared" si="50"/>
        <v>1+0.00923363091585268i</v>
      </c>
      <c r="AJ61">
        <f t="shared" si="75"/>
        <v>1.0000426290613267</v>
      </c>
      <c r="AK61">
        <f t="shared" si="76"/>
        <v>9.2333685096705718E-3</v>
      </c>
      <c r="AL61" t="str">
        <f t="shared" si="77"/>
        <v>1-0.000643112745682899i</v>
      </c>
      <c r="AM61">
        <f t="shared" si="78"/>
        <v>1.0000002067969804</v>
      </c>
      <c r="AN61">
        <f t="shared" si="79"/>
        <v>-6.4311265702039593E-4</v>
      </c>
      <c r="AO61" s="58" t="str">
        <f t="shared" si="80"/>
        <v>7.44124781136395-28.2216756010401i</v>
      </c>
      <c r="AP61">
        <f t="shared" si="81"/>
        <v>29.303555530595776</v>
      </c>
      <c r="AQ61" s="60">
        <f t="shared" si="82"/>
        <v>-75.228926225231589</v>
      </c>
      <c r="AR61" t="str">
        <f t="shared" si="83"/>
        <v>-1.94444444444444</v>
      </c>
      <c r="AS61" t="str">
        <f t="shared" si="51"/>
        <v>1+0.00947039068292579i</v>
      </c>
      <c r="AT61">
        <f t="shared" si="84"/>
        <v>1.0000448431443898</v>
      </c>
      <c r="AU61">
        <f t="shared" si="85"/>
        <v>9.4701075704148527E-3</v>
      </c>
      <c r="AV61" t="str">
        <f t="shared" si="52"/>
        <v>1+0.00947039068292579i</v>
      </c>
      <c r="AW61">
        <f t="shared" si="86"/>
        <v>1.0000448431443898</v>
      </c>
      <c r="AX61">
        <f t="shared" si="87"/>
        <v>9.4701075704148527E-3</v>
      </c>
      <c r="AY61" t="str">
        <f t="shared" si="53"/>
        <v>1-0.224664393022777i</v>
      </c>
      <c r="AZ61">
        <f t="shared" si="88"/>
        <v>1.0249263824745136</v>
      </c>
      <c r="BA61">
        <f t="shared" si="89"/>
        <v>-0.22099498384583355</v>
      </c>
      <c r="BB61" s="58" t="str">
        <f t="shared" si="90"/>
        <v>-1.94013332134644+0.455221251407734i</v>
      </c>
      <c r="BC61">
        <f t="shared" si="91"/>
        <v>5.9893747387430851</v>
      </c>
      <c r="BD61" s="60">
        <f t="shared" si="92"/>
        <v>166.79532293675229</v>
      </c>
      <c r="BE61" s="58" t="str">
        <f t="shared" si="93"/>
        <v>0.904120660152103+39.6444841907957i</v>
      </c>
      <c r="BF61" s="37">
        <f t="shared" si="94"/>
        <v>31.965913613946011</v>
      </c>
      <c r="BG61" s="60">
        <f t="shared" si="95"/>
        <v>88.693555457809637</v>
      </c>
      <c r="BH61" s="58" t="str">
        <f t="shared" si="96"/>
        <v>-1.58990634729488+58.1412273585319i</v>
      </c>
      <c r="BI61" s="37">
        <f t="shared" si="97"/>
        <v>35.292930269338868</v>
      </c>
      <c r="BJ61" s="60">
        <f t="shared" si="98"/>
        <v>91.56639671152071</v>
      </c>
      <c r="BK61">
        <f t="shared" si="99"/>
        <v>31.965913613946011</v>
      </c>
      <c r="BL61" s="60">
        <f t="shared" si="100"/>
        <v>88.693555457809637</v>
      </c>
      <c r="BN61">
        <f t="shared" si="101"/>
        <v>0</v>
      </c>
      <c r="BO61">
        <f t="shared" si="102"/>
        <v>0</v>
      </c>
    </row>
    <row r="62" spans="1:67" ht="14.25" x14ac:dyDescent="0.2">
      <c r="A62" t="s">
        <v>499</v>
      </c>
      <c r="B62" s="23">
        <f>1/(Rcomp_S*CHF_S)</f>
        <v>17857.142857142855</v>
      </c>
      <c r="C62" t="s">
        <v>489</v>
      </c>
      <c r="E62" t="s">
        <v>507</v>
      </c>
      <c r="M62" s="66">
        <v>44</v>
      </c>
      <c r="N62" s="36">
        <f t="shared" si="54"/>
        <v>27.542287033381665</v>
      </c>
      <c r="O62" s="91" t="str">
        <f t="shared" si="55"/>
        <v>99.7340425531915</v>
      </c>
      <c r="P62" s="67" t="str">
        <f t="shared" si="56"/>
        <v>1+5.02590947313776i</v>
      </c>
      <c r="Q62" s="67">
        <f t="shared" si="57"/>
        <v>5.1244283615029556</v>
      </c>
      <c r="R62" s="67">
        <f t="shared" si="58"/>
        <v>1.3743923441921657</v>
      </c>
      <c r="S62" s="67" t="str">
        <f t="shared" si="59"/>
        <v>1+0.00944870980949899i</v>
      </c>
      <c r="T62" s="67">
        <f t="shared" si="60"/>
        <v>1.0000446380622536</v>
      </c>
      <c r="U62" s="67">
        <f t="shared" si="61"/>
        <v>9.4484286368868801E-3</v>
      </c>
      <c r="V62" t="str">
        <f t="shared" si="62"/>
        <v>1-0.000976020573728466i</v>
      </c>
      <c r="W62" s="67">
        <f t="shared" si="63"/>
        <v>1.0000004763079668</v>
      </c>
      <c r="X62" s="67">
        <f t="shared" si="64"/>
        <v>-9.7602026380431929E-4</v>
      </c>
      <c r="Y62" t="str">
        <f t="shared" si="65"/>
        <v>0.999999820455012+0.00150866973571412i</v>
      </c>
      <c r="Z62" s="67">
        <f t="shared" si="66"/>
        <v>1.0000009584967546</v>
      </c>
      <c r="AA62" s="67">
        <f t="shared" si="67"/>
        <v>1.5086688619693359E-3</v>
      </c>
      <c r="AB62" s="92" t="str">
        <f t="shared" si="68"/>
        <v>3.93098544800286-19.0622300555006i</v>
      </c>
      <c r="AC62" s="37">
        <f t="shared" si="69"/>
        <v>25.784343457219364</v>
      </c>
      <c r="AD62" s="60">
        <f t="shared" si="70"/>
        <v>-78.347887833687381</v>
      </c>
      <c r="AE62" t="str">
        <f t="shared" si="71"/>
        <v>118.329284003155</v>
      </c>
      <c r="AF62" t="str">
        <f t="shared" si="72"/>
        <v>1+4.02072757851021i</v>
      </c>
      <c r="AG62">
        <f t="shared" si="73"/>
        <v>4.1432173803208272</v>
      </c>
      <c r="AH62">
        <f t="shared" si="74"/>
        <v>1.3270310147866247</v>
      </c>
      <c r="AI62" t="str">
        <f t="shared" si="50"/>
        <v>1+0.00944870980949899i</v>
      </c>
      <c r="AJ62">
        <f t="shared" si="75"/>
        <v>1.0000446380622536</v>
      </c>
      <c r="AK62">
        <f t="shared" si="76"/>
        <v>9.4484286368868801E-3</v>
      </c>
      <c r="AL62" t="str">
        <f t="shared" si="77"/>
        <v>1-0.000658092765903747i</v>
      </c>
      <c r="AM62">
        <f t="shared" si="78"/>
        <v>1.0000002165430208</v>
      </c>
      <c r="AN62">
        <f t="shared" si="79"/>
        <v>-6.580926709001644E-4</v>
      </c>
      <c r="AO62" s="58" t="str">
        <f t="shared" si="80"/>
        <v>7.13681370009319-27.6549962459396i</v>
      </c>
      <c r="AP62">
        <f t="shared" si="81"/>
        <v>29.11547993007343</v>
      </c>
      <c r="AQ62" s="60">
        <f t="shared" si="82"/>
        <v>-75.529627278883225</v>
      </c>
      <c r="AR62" t="str">
        <f t="shared" si="83"/>
        <v>-1.94444444444444</v>
      </c>
      <c r="AS62" t="str">
        <f t="shared" si="51"/>
        <v>1+0.00969098441999893i</v>
      </c>
      <c r="AT62">
        <f t="shared" si="84"/>
        <v>1.0000469564870584</v>
      </c>
      <c r="AU62">
        <f t="shared" si="85"/>
        <v>9.6906810602472079E-3</v>
      </c>
      <c r="AV62" t="str">
        <f t="shared" si="52"/>
        <v>1+0.00969098441999893i</v>
      </c>
      <c r="AW62">
        <f t="shared" si="86"/>
        <v>1.0000469564870584</v>
      </c>
      <c r="AX62">
        <f t="shared" si="87"/>
        <v>9.6906810602472079E-3</v>
      </c>
      <c r="AY62" t="str">
        <f t="shared" si="53"/>
        <v>1-0.219550407085302i</v>
      </c>
      <c r="AZ62">
        <f t="shared" si="88"/>
        <v>1.0238175527169486</v>
      </c>
      <c r="BA62">
        <f t="shared" si="89"/>
        <v>-0.21612142734578765</v>
      </c>
      <c r="BB62" s="58" t="str">
        <f t="shared" si="90"/>
        <v>-1.94012512140708+0.445705291656936i</v>
      </c>
      <c r="BC62">
        <f t="shared" si="91"/>
        <v>5.9799543554022385</v>
      </c>
      <c r="BD62" s="60">
        <f t="shared" si="92"/>
        <v>167.06191922538355</v>
      </c>
      <c r="BE62" s="58" t="str">
        <f t="shared" si="93"/>
        <v>0.869533186962491+38.7351724163191i</v>
      </c>
      <c r="BF62" s="37">
        <f t="shared" si="94"/>
        <v>31.76429781262161</v>
      </c>
      <c r="BG62" s="60">
        <f t="shared" si="95"/>
        <v>88.714031391696182</v>
      </c>
      <c r="BH62" s="58" t="str">
        <f t="shared" si="96"/>
        <v>-1.52033337878503+56.8350685808672i</v>
      </c>
      <c r="BI62" s="37">
        <f t="shared" si="97"/>
        <v>35.095434285475676</v>
      </c>
      <c r="BJ62" s="60">
        <f t="shared" si="98"/>
        <v>91.532291946500322</v>
      </c>
      <c r="BK62">
        <f t="shared" si="99"/>
        <v>31.76429781262161</v>
      </c>
      <c r="BL62" s="60">
        <f t="shared" si="100"/>
        <v>88.714031391696182</v>
      </c>
      <c r="BN62">
        <f t="shared" si="101"/>
        <v>0</v>
      </c>
      <c r="BO62">
        <f t="shared" si="102"/>
        <v>0</v>
      </c>
    </row>
    <row r="63" spans="1:67" ht="14.25" x14ac:dyDescent="0.2">
      <c r="M63" s="66">
        <v>45</v>
      </c>
      <c r="N63" s="36">
        <f t="shared" si="54"/>
        <v>28.183829312644548</v>
      </c>
      <c r="O63" s="91" t="str">
        <f t="shared" si="55"/>
        <v>99.7340425531915</v>
      </c>
      <c r="P63" s="67" t="str">
        <f t="shared" si="56"/>
        <v>1+5.14297794369933i</v>
      </c>
      <c r="Q63" s="67">
        <f t="shared" si="57"/>
        <v>5.2392959574142965</v>
      </c>
      <c r="R63" s="67">
        <f t="shared" si="58"/>
        <v>1.3787527103774364</v>
      </c>
      <c r="S63" s="67" t="str">
        <f t="shared" si="59"/>
        <v>1+0.00966879853415473i</v>
      </c>
      <c r="T63" s="67">
        <f t="shared" si="60"/>
        <v>1.000046741740152</v>
      </c>
      <c r="U63" s="67">
        <f t="shared" si="61"/>
        <v>9.6684972530332869E-3</v>
      </c>
      <c r="V63" t="str">
        <f t="shared" si="62"/>
        <v>1-0.000998755013418181i</v>
      </c>
      <c r="W63" s="67">
        <f t="shared" si="63"/>
        <v>1.0000004987556641</v>
      </c>
      <c r="X63" s="67">
        <f t="shared" si="64"/>
        <v>-9.9875468132848378E-4</v>
      </c>
      <c r="Y63" t="str">
        <f t="shared" si="65"/>
        <v>0.999999811993317+0.00154381116822232i</v>
      </c>
      <c r="Z63" s="67">
        <f t="shared" si="66"/>
        <v>1.0000010036692923</v>
      </c>
      <c r="AA63" s="67">
        <f t="shared" si="67"/>
        <v>1.5438102319879667E-3</v>
      </c>
      <c r="AB63" s="92" t="str">
        <f t="shared" si="68"/>
        <v>3.76650373010823-18.6603207242102i</v>
      </c>
      <c r="AC63" s="37">
        <f t="shared" si="69"/>
        <v>25.591811423030997</v>
      </c>
      <c r="AD63" s="60">
        <f t="shared" si="70"/>
        <v>-78.588425448688696</v>
      </c>
      <c r="AE63" t="str">
        <f t="shared" si="71"/>
        <v>118.329284003155</v>
      </c>
      <c r="AF63" t="str">
        <f t="shared" si="72"/>
        <v>1+4.11438235495946i</v>
      </c>
      <c r="AG63">
        <f t="shared" si="73"/>
        <v>4.2341636910730971</v>
      </c>
      <c r="AH63">
        <f t="shared" si="74"/>
        <v>1.3323696055534489</v>
      </c>
      <c r="AI63" t="str">
        <f t="shared" si="50"/>
        <v>1+0.00966879853415473i</v>
      </c>
      <c r="AJ63">
        <f t="shared" si="75"/>
        <v>1.000046741740152</v>
      </c>
      <c r="AK63">
        <f t="shared" si="76"/>
        <v>9.6684972530332869E-3</v>
      </c>
      <c r="AL63" t="str">
        <f t="shared" si="77"/>
        <v>1-0.000673421715619963i</v>
      </c>
      <c r="AM63">
        <f t="shared" si="78"/>
        <v>1.0000002267483779</v>
      </c>
      <c r="AN63">
        <f t="shared" si="79"/>
        <v>-6.7342161382179147E-4</v>
      </c>
      <c r="AO63" s="58" t="str">
        <f t="shared" si="80"/>
        <v>6.84451683899125-27.0965428122927i</v>
      </c>
      <c r="AP63">
        <f t="shared" si="81"/>
        <v>28.926899813602624</v>
      </c>
      <c r="AQ63" s="60">
        <f t="shared" si="82"/>
        <v>-75.823775279195118</v>
      </c>
      <c r="AR63" t="str">
        <f t="shared" si="83"/>
        <v>-1.94444444444444</v>
      </c>
      <c r="AS63" t="str">
        <f t="shared" si="51"/>
        <v>1+0.00991671644528687i</v>
      </c>
      <c r="AT63">
        <f t="shared" si="84"/>
        <v>1.0000491694237119</v>
      </c>
      <c r="AU63">
        <f t="shared" si="85"/>
        <v>9.9163913903196343E-3</v>
      </c>
      <c r="AV63" t="str">
        <f t="shared" si="52"/>
        <v>1+0.00991671644528687i</v>
      </c>
      <c r="AW63">
        <f t="shared" si="86"/>
        <v>1.0000491694237119</v>
      </c>
      <c r="AX63">
        <f t="shared" si="87"/>
        <v>9.9163913903196343E-3</v>
      </c>
      <c r="AY63" t="str">
        <f t="shared" si="53"/>
        <v>1-0.214552829679757i</v>
      </c>
      <c r="AZ63">
        <f t="shared" si="88"/>
        <v>1.0227575063149579</v>
      </c>
      <c r="BA63">
        <f t="shared" si="89"/>
        <v>-0.21134870761829821</v>
      </c>
      <c r="BB63" s="58" t="str">
        <f t="shared" si="90"/>
        <v>-1.94011653509078+0.436425643259946i</v>
      </c>
      <c r="BC63">
        <f t="shared" si="91"/>
        <v>5.9709372271645256</v>
      </c>
      <c r="BD63" s="60">
        <f t="shared" si="92"/>
        <v>167.32244367326189</v>
      </c>
      <c r="BE63" s="58" t="str">
        <f t="shared" si="93"/>
        <v>0.836386309236261+37.8469956003908i</v>
      </c>
      <c r="BF63" s="37">
        <f t="shared" si="94"/>
        <v>31.562748650195513</v>
      </c>
      <c r="BG63" s="60">
        <f t="shared" si="95"/>
        <v>88.734018224573191</v>
      </c>
      <c r="BH63" s="58" t="str">
        <f t="shared" si="96"/>
        <v>-1.4535341670587+55.5575734181846i</v>
      </c>
      <c r="BI63" s="37">
        <f t="shared" si="97"/>
        <v>34.897837040767151</v>
      </c>
      <c r="BJ63" s="60">
        <f t="shared" si="98"/>
        <v>91.498668394066783</v>
      </c>
      <c r="BK63">
        <f t="shared" si="99"/>
        <v>31.562748650195513</v>
      </c>
      <c r="BL63" s="60">
        <f t="shared" si="100"/>
        <v>88.734018224573191</v>
      </c>
      <c r="BN63">
        <f t="shared" si="101"/>
        <v>0</v>
      </c>
      <c r="BO63">
        <f t="shared" si="102"/>
        <v>0</v>
      </c>
    </row>
    <row r="64" spans="1:67" ht="14.25" x14ac:dyDescent="0.2">
      <c r="A64" s="105" t="s">
        <v>705</v>
      </c>
      <c r="M64" s="66">
        <v>46</v>
      </c>
      <c r="N64" s="36">
        <f t="shared" si="54"/>
        <v>28.840315031266066</v>
      </c>
      <c r="O64" s="91" t="str">
        <f t="shared" si="55"/>
        <v>99.7340425531915</v>
      </c>
      <c r="P64" s="67" t="str">
        <f t="shared" si="56"/>
        <v>1+5.262773289242i</v>
      </c>
      <c r="Q64" s="67">
        <f t="shared" si="57"/>
        <v>5.356937809416781</v>
      </c>
      <c r="R64" s="67">
        <f t="shared" si="58"/>
        <v>1.3830209788358112</v>
      </c>
      <c r="S64" s="67" t="str">
        <f t="shared" si="59"/>
        <v>1+0.00989401378377497i</v>
      </c>
      <c r="T64" s="67">
        <f t="shared" si="60"/>
        <v>1.0000489445565919</v>
      </c>
      <c r="U64" s="67">
        <f t="shared" si="61"/>
        <v>9.8936909560903719E-3</v>
      </c>
      <c r="V64" t="str">
        <f t="shared" si="62"/>
        <v>1-0.0010220190062361i</v>
      </c>
      <c r="W64" s="67">
        <f t="shared" si="63"/>
        <v>1.0000005222612882</v>
      </c>
      <c r="X64" s="67">
        <f t="shared" si="64"/>
        <v>-1.0220186503955883E-3</v>
      </c>
      <c r="Y64" t="str">
        <f t="shared" si="65"/>
        <v>0.999999803132835+0.00157977114984667i</v>
      </c>
      <c r="Z64" s="67">
        <f t="shared" si="66"/>
        <v>1.0000010509707451</v>
      </c>
      <c r="AA64" s="67">
        <f t="shared" si="67"/>
        <v>1.5797701466535427E-3</v>
      </c>
      <c r="AB64" s="92" t="str">
        <f t="shared" si="68"/>
        <v>3.60889680971153-18.2655260882804i</v>
      </c>
      <c r="AC64" s="37">
        <f t="shared" si="69"/>
        <v>25.398956889824579</v>
      </c>
      <c r="AD64" s="60">
        <f t="shared" si="70"/>
        <v>-78.823469847008539</v>
      </c>
      <c r="AE64" t="str">
        <f t="shared" si="71"/>
        <v>118.329284003155</v>
      </c>
      <c r="AF64" t="str">
        <f t="shared" si="72"/>
        <v>1+4.2102186313936i</v>
      </c>
      <c r="AG64">
        <f t="shared" si="73"/>
        <v>4.3273480243832712</v>
      </c>
      <c r="AH64">
        <f t="shared" si="74"/>
        <v>1.3376000963668666</v>
      </c>
      <c r="AI64" t="str">
        <f t="shared" si="50"/>
        <v>1+0.00989401378377497i</v>
      </c>
      <c r="AJ64">
        <f t="shared" si="75"/>
        <v>1.0000489445565919</v>
      </c>
      <c r="AK64">
        <f t="shared" si="76"/>
        <v>9.8936909560903719E-3</v>
      </c>
      <c r="AL64" t="str">
        <f t="shared" si="77"/>
        <v>1-0.000689107722443591i</v>
      </c>
      <c r="AM64">
        <f t="shared" si="78"/>
        <v>1.0000002374346983</v>
      </c>
      <c r="AN64">
        <f t="shared" si="79"/>
        <v>-6.8910761336488623E-4</v>
      </c>
      <c r="AO64" s="58" t="str">
        <f t="shared" si="80"/>
        <v>6.56393733553527-26.546401321817i</v>
      </c>
      <c r="AP64">
        <f t="shared" si="81"/>
        <v>28.7378354225438</v>
      </c>
      <c r="AQ64" s="60">
        <f t="shared" si="82"/>
        <v>-76.111456420399051</v>
      </c>
      <c r="AR64" t="str">
        <f t="shared" si="83"/>
        <v>-1.94444444444444</v>
      </c>
      <c r="AS64" t="str">
        <f t="shared" si="51"/>
        <v>1+0.0101477064448974i</v>
      </c>
      <c r="AT64">
        <f t="shared" si="84"/>
        <v>1.0000514866476085</v>
      </c>
      <c r="AU64">
        <f t="shared" si="85"/>
        <v>1.0147358143193223E-2</v>
      </c>
      <c r="AV64" t="str">
        <f t="shared" si="52"/>
        <v>1+0.0101477064448974i</v>
      </c>
      <c r="AW64">
        <f t="shared" si="86"/>
        <v>1.0000514866476085</v>
      </c>
      <c r="AX64">
        <f t="shared" si="87"/>
        <v>1.0147358143193223E-2</v>
      </c>
      <c r="AY64" t="str">
        <f t="shared" si="53"/>
        <v>1-0.209669011024451i</v>
      </c>
      <c r="AZ64">
        <f t="shared" si="88"/>
        <v>1.0217441432100169</v>
      </c>
      <c r="BA64">
        <f t="shared" si="89"/>
        <v>-0.20667516424139001</v>
      </c>
      <c r="BB64" s="58" t="str">
        <f t="shared" si="90"/>
        <v>-1.94010754419531+0.427377385488679i</v>
      </c>
      <c r="BC64">
        <f t="shared" si="91"/>
        <v>5.9623067281116509</v>
      </c>
      <c r="BD64" s="60">
        <f t="shared" si="92"/>
        <v>167.57698456398253</v>
      </c>
      <c r="BE64" s="58" t="str">
        <f t="shared" si="93"/>
        <v>0.804624857440809+36.979445845602i</v>
      </c>
      <c r="BF64" s="37">
        <f t="shared" si="94"/>
        <v>31.361263617936231</v>
      </c>
      <c r="BG64" s="60">
        <f t="shared" si="95"/>
        <v>88.753514716973996</v>
      </c>
      <c r="BH64" s="58" t="str">
        <f t="shared" si="96"/>
        <v>-1.38941275324588+54.3081518526661i</v>
      </c>
      <c r="BI64" s="37">
        <f t="shared" si="97"/>
        <v>34.700142150655452</v>
      </c>
      <c r="BJ64" s="60">
        <f t="shared" si="98"/>
        <v>91.46552814358347</v>
      </c>
      <c r="BK64">
        <f t="shared" si="99"/>
        <v>31.361263617936231</v>
      </c>
      <c r="BL64" s="60">
        <f t="shared" si="100"/>
        <v>88.753514716973996</v>
      </c>
      <c r="BN64">
        <f t="shared" si="101"/>
        <v>0</v>
      </c>
      <c r="BO64">
        <f t="shared" si="102"/>
        <v>0</v>
      </c>
    </row>
    <row r="65" spans="1:67" ht="14.25" x14ac:dyDescent="0.2">
      <c r="A65" t="s">
        <v>568</v>
      </c>
      <c r="B65" s="23">
        <f>SQRT((2*IOUT_vari*Lm*fsw*(VOUT-Vin_vari)/(Vin_vari^2)))</f>
        <v>0.98873656754466199</v>
      </c>
      <c r="M65" s="66">
        <v>47</v>
      </c>
      <c r="N65" s="36">
        <f t="shared" si="54"/>
        <v>29.512092266663863</v>
      </c>
      <c r="O65" s="91" t="str">
        <f t="shared" si="55"/>
        <v>99.7340425531915</v>
      </c>
      <c r="P65" s="67" t="str">
        <f t="shared" si="56"/>
        <v>1+5.38535902684367i</v>
      </c>
      <c r="Q65" s="67">
        <f t="shared" si="57"/>
        <v>5.4774165304463196</v>
      </c>
      <c r="R65" s="67">
        <f t="shared" si="58"/>
        <v>1.3871987902805853</v>
      </c>
      <c r="S65" s="67" t="str">
        <f t="shared" si="59"/>
        <v>1+0.0101244749704661i</v>
      </c>
      <c r="T65" s="67">
        <f t="shared" si="60"/>
        <v>1.0000512511833719</v>
      </c>
      <c r="U65" s="67">
        <f t="shared" si="61"/>
        <v>1.0124129055327233E-2</v>
      </c>
      <c r="V65" t="str">
        <f t="shared" si="62"/>
        <v>1-0.00104582488705914i</v>
      </c>
      <c r="W65" s="67">
        <f t="shared" si="63"/>
        <v>1.0000005468746977</v>
      </c>
      <c r="X65" s="67">
        <f t="shared" si="64"/>
        <v>-1.0458245057691734E-3</v>
      </c>
      <c r="Y65" t="str">
        <f t="shared" si="65"/>
        <v>0.999999793854772+0.0016165687470454i</v>
      </c>
      <c r="Z65" s="67">
        <f t="shared" si="66"/>
        <v>1.0000011005014446</v>
      </c>
      <c r="AA65" s="67">
        <f t="shared" si="67"/>
        <v>1.6165676721046594E-3</v>
      </c>
      <c r="AB65" s="92" t="str">
        <f t="shared" si="68"/>
        <v>3.45789935829035-17.8778095173752i</v>
      </c>
      <c r="AC65" s="37">
        <f t="shared" si="69"/>
        <v>25.205793435324964</v>
      </c>
      <c r="AD65" s="60">
        <f t="shared" si="70"/>
        <v>-79.053109997815753</v>
      </c>
      <c r="AE65" t="str">
        <f t="shared" si="71"/>
        <v>118.329284003155</v>
      </c>
      <c r="AF65" t="str">
        <f t="shared" si="72"/>
        <v>1+4.30828722147494i</v>
      </c>
      <c r="AG65">
        <f t="shared" si="73"/>
        <v>4.4228202295282424</v>
      </c>
      <c r="AH65">
        <f t="shared" si="74"/>
        <v>1.3427241152338152</v>
      </c>
      <c r="AI65" t="str">
        <f t="shared" si="50"/>
        <v>1+0.0101244749704661i</v>
      </c>
      <c r="AJ65">
        <f t="shared" si="75"/>
        <v>1.0000512511833719</v>
      </c>
      <c r="AK65">
        <f t="shared" si="76"/>
        <v>1.0124129055327233E-2</v>
      </c>
      <c r="AL65" t="str">
        <f t="shared" si="77"/>
        <v>1-0.000705159103303077i</v>
      </c>
      <c r="AM65">
        <f t="shared" si="78"/>
        <v>1.0000002486246495</v>
      </c>
      <c r="AN65">
        <f t="shared" si="79"/>
        <v>-7.0515898642314076E-4</v>
      </c>
      <c r="AO65" s="58" t="str">
        <f t="shared" si="80"/>
        <v>6.29466443098837-26.0046414291391i</v>
      </c>
      <c r="AP65">
        <f t="shared" si="81"/>
        <v>28.548306296525311</v>
      </c>
      <c r="AQ65" s="60">
        <f t="shared" si="82"/>
        <v>-76.392757621027002</v>
      </c>
      <c r="AR65" t="str">
        <f t="shared" si="83"/>
        <v>-1.94444444444444</v>
      </c>
      <c r="AS65" t="str">
        <f t="shared" si="51"/>
        <v>1+0.0103840768927857i</v>
      </c>
      <c r="AT65">
        <f t="shared" si="84"/>
        <v>1.0000539130731478</v>
      </c>
      <c r="AU65">
        <f t="shared" si="85"/>
        <v>1.0383703681872275E-2</v>
      </c>
      <c r="AV65" t="str">
        <f t="shared" si="52"/>
        <v>1+0.0103840768927857i</v>
      </c>
      <c r="AW65">
        <f t="shared" si="86"/>
        <v>1.0000539130731478</v>
      </c>
      <c r="AX65">
        <f t="shared" si="87"/>
        <v>1.0383703681872275E-2</v>
      </c>
      <c r="AY65" t="str">
        <f t="shared" si="53"/>
        <v>1-0.204896361654088i</v>
      </c>
      <c r="AZ65">
        <f t="shared" si="88"/>
        <v>1.0207754498512798</v>
      </c>
      <c r="BA65">
        <f t="shared" si="89"/>
        <v>-0.20209913625696782</v>
      </c>
      <c r="BB65" s="58" t="str">
        <f t="shared" si="90"/>
        <v>-1.94009812966131+0.418555720263123i</v>
      </c>
      <c r="BC65">
        <f t="shared" si="91"/>
        <v>5.9540468447194295</v>
      </c>
      <c r="BD65" s="60">
        <f t="shared" si="92"/>
        <v>167.82563005255065</v>
      </c>
      <c r="BE65" s="58" t="str">
        <f t="shared" si="93"/>
        <v>0.774195361695741+36.1320283636074i</v>
      </c>
      <c r="BF65" s="37">
        <f t="shared" si="94"/>
        <v>31.159840280044392</v>
      </c>
      <c r="BG65" s="60">
        <f t="shared" si="95"/>
        <v>88.772520054734898</v>
      </c>
      <c r="BH65" s="58" t="str">
        <f t="shared" si="96"/>
        <v>-1.32787526584855+53.0862240039128i</v>
      </c>
      <c r="BI65" s="37">
        <f t="shared" si="97"/>
        <v>34.502353141244747</v>
      </c>
      <c r="BJ65" s="60">
        <f t="shared" si="98"/>
        <v>91.432872431523649</v>
      </c>
      <c r="BK65">
        <f t="shared" si="99"/>
        <v>31.159840280044392</v>
      </c>
      <c r="BL65" s="60">
        <f t="shared" si="100"/>
        <v>88.772520054734898</v>
      </c>
      <c r="BN65">
        <f t="shared" si="101"/>
        <v>0</v>
      </c>
      <c r="BO65">
        <f t="shared" si="102"/>
        <v>0</v>
      </c>
    </row>
    <row r="66" spans="1:67" ht="14.25" x14ac:dyDescent="0.2">
      <c r="A66" t="s">
        <v>569</v>
      </c>
      <c r="B66" s="23">
        <f>(fsw*Gcomp)/((Rcs*ACS*(Vin_vari/Lm))+((R_sl+Rsl_int)*Isl))</f>
        <v>2.4374268771936847</v>
      </c>
      <c r="C66" t="s">
        <v>118</v>
      </c>
      <c r="M66" s="66">
        <v>48</v>
      </c>
      <c r="N66" s="36">
        <f t="shared" si="54"/>
        <v>30.199517204020164</v>
      </c>
      <c r="O66" s="91" t="str">
        <f t="shared" si="55"/>
        <v>99.7340425531915</v>
      </c>
      <c r="P66" s="67" t="str">
        <f t="shared" si="56"/>
        <v>1+5.51080015308503i</v>
      </c>
      <c r="Q66" s="67">
        <f t="shared" si="57"/>
        <v>5.6007962226135302</v>
      </c>
      <c r="R66" s="67">
        <f t="shared" si="58"/>
        <v>1.3912877761987053</v>
      </c>
      <c r="S66" s="67" t="str">
        <f t="shared" si="59"/>
        <v>1+0.0103603042877999i</v>
      </c>
      <c r="T66" s="67">
        <f t="shared" si="60"/>
        <v>1.0000536665124207</v>
      </c>
      <c r="U66" s="67">
        <f t="shared" si="61"/>
        <v>1.0359933634124895E-2</v>
      </c>
      <c r="V66" t="str">
        <f t="shared" si="62"/>
        <v>1-0.00107018527808042i</v>
      </c>
      <c r="W66" s="67">
        <f t="shared" si="63"/>
        <v>1.0000005726481007</v>
      </c>
      <c r="X66" s="67">
        <f t="shared" si="64"/>
        <v>-1.0701848695208725E-3</v>
      </c>
      <c r="Y66" t="str">
        <f t="shared" si="65"/>
        <v>0.999999784139446+0.00165422347039164i</v>
      </c>
      <c r="Z66" s="67">
        <f t="shared" si="66"/>
        <v>1.0000011523664503</v>
      </c>
      <c r="AA66" s="67">
        <f t="shared" si="67"/>
        <v>1.6542223185719565E-3</v>
      </c>
      <c r="AB66" s="92" t="str">
        <f t="shared" si="68"/>
        <v>3.31325440329776-17.4971279266706i</v>
      </c>
      <c r="AC66" s="37">
        <f t="shared" si="69"/>
        <v>25.012334114741503</v>
      </c>
      <c r="AD66" s="60">
        <f t="shared" si="70"/>
        <v>-79.277434224609493</v>
      </c>
      <c r="AE66" t="str">
        <f t="shared" si="71"/>
        <v>118.329284003155</v>
      </c>
      <c r="AF66" t="str">
        <f t="shared" si="72"/>
        <v>1+4.40864012246802i</v>
      </c>
      <c r="AG66">
        <f t="shared" si="73"/>
        <v>4.5206313419073272</v>
      </c>
      <c r="AH66">
        <f t="shared" si="74"/>
        <v>1.3477433022277423</v>
      </c>
      <c r="AI66" t="str">
        <f t="shared" si="50"/>
        <v>1+0.0103603042877999i</v>
      </c>
      <c r="AJ66">
        <f t="shared" si="75"/>
        <v>1.0000536665124207</v>
      </c>
      <c r="AK66">
        <f t="shared" si="76"/>
        <v>1.0359933634124895E-2</v>
      </c>
      <c r="AL66" t="str">
        <f t="shared" si="77"/>
        <v>1-0.000721584368853019i</v>
      </c>
      <c r="AM66">
        <f t="shared" si="78"/>
        <v>1.0000002603419669</v>
      </c>
      <c r="AN66">
        <f t="shared" si="79"/>
        <v>-7.2158424361391262E-4</v>
      </c>
      <c r="AO66" s="58" t="str">
        <f t="shared" si="80"/>
        <v>6.03629678966565-25.471317391329i</v>
      </c>
      <c r="AP66">
        <f t="shared" si="81"/>
        <v>28.358331289254728</v>
      </c>
      <c r="AQ66" s="60">
        <f t="shared" si="82"/>
        <v>-76.66776634312545</v>
      </c>
      <c r="AR66" t="str">
        <f t="shared" si="83"/>
        <v>-1.94444444444444</v>
      </c>
      <c r="AS66" t="str">
        <f t="shared" si="51"/>
        <v>1+0.0106259531156921i</v>
      </c>
      <c r="AT66">
        <f t="shared" si="84"/>
        <v>1.0000564538462902</v>
      </c>
      <c r="AU66">
        <f t="shared" si="85"/>
        <v>1.0625553214212668E-2</v>
      </c>
      <c r="AV66" t="str">
        <f t="shared" si="52"/>
        <v>1+0.0106259531156921i</v>
      </c>
      <c r="AW66">
        <f t="shared" si="86"/>
        <v>1.0000564538462902</v>
      </c>
      <c r="AX66">
        <f t="shared" si="87"/>
        <v>1.0625553214212668E-2</v>
      </c>
      <c r="AY66" t="str">
        <f t="shared" si="53"/>
        <v>1-0.200232351046798i</v>
      </c>
      <c r="AZ66">
        <f t="shared" si="88"/>
        <v>1.0198494959579714</v>
      </c>
      <c r="BA66">
        <f t="shared" si="89"/>
        <v>-0.19761896433188023</v>
      </c>
      <c r="BB66" s="58" t="str">
        <f t="shared" si="90"/>
        <v>-1.94008827153192+0.409955969604597i</v>
      </c>
      <c r="BC66">
        <f t="shared" si="91"/>
        <v>5.9461421586556753</v>
      </c>
      <c r="BD66" s="60">
        <f t="shared" si="92"/>
        <v>168.06846803787087</v>
      </c>
      <c r="BE66" s="58" t="str">
        <f t="shared" si="93"/>
        <v>0.745046036034443+35.3042610974779i</v>
      </c>
      <c r="BF66" s="37">
        <f t="shared" si="94"/>
        <v>30.958476273397181</v>
      </c>
      <c r="BG66" s="60">
        <f t="shared" si="95"/>
        <v>88.791033813261365</v>
      </c>
      <c r="BH66" s="58" t="str">
        <f t="shared" si="96"/>
        <v>-1.2688299868474+51.8912200346129i</v>
      </c>
      <c r="BI66" s="37">
        <f t="shared" si="97"/>
        <v>34.304473447910404</v>
      </c>
      <c r="BJ66" s="60">
        <f t="shared" si="98"/>
        <v>91.400701694745422</v>
      </c>
      <c r="BK66">
        <f t="shared" si="99"/>
        <v>30.958476273397181</v>
      </c>
      <c r="BL66" s="60">
        <f t="shared" si="100"/>
        <v>88.791033813261365</v>
      </c>
      <c r="BN66">
        <f t="shared" si="101"/>
        <v>0</v>
      </c>
      <c r="BO66">
        <f t="shared" si="102"/>
        <v>0</v>
      </c>
    </row>
    <row r="67" spans="1:67" ht="14.25" x14ac:dyDescent="0.2">
      <c r="A67" t="s">
        <v>570</v>
      </c>
      <c r="B67" s="23">
        <f>(B66*2*VOUT/DC_VIN_var_DCM)*(((VOUT/Vin_vari)-1)/((2*VOUT/Vin_vari)-1))</f>
        <v>118.32928400315491</v>
      </c>
      <c r="C67" t="s">
        <v>118</v>
      </c>
      <c r="M67" s="66">
        <v>49</v>
      </c>
      <c r="N67" s="36">
        <f t="shared" si="54"/>
        <v>30.902954325135919</v>
      </c>
      <c r="O67" s="91" t="str">
        <f t="shared" si="55"/>
        <v>99.7340425531915</v>
      </c>
      <c r="P67" s="67" t="str">
        <f t="shared" si="56"/>
        <v>1+5.63916317851161i</v>
      </c>
      <c r="Q67" s="67">
        <f t="shared" si="57"/>
        <v>5.7271425120980854</v>
      </c>
      <c r="R67" s="67">
        <f t="shared" si="58"/>
        <v>1.3952895574197692</v>
      </c>
      <c r="S67" s="67" t="str">
        <f t="shared" si="59"/>
        <v>1+0.0106016267756018i</v>
      </c>
      <c r="T67" s="67">
        <f t="shared" si="60"/>
        <v>1.0000561956661682</v>
      </c>
      <c r="U67" s="67">
        <f t="shared" si="61"/>
        <v>1.0601229614238811E-2</v>
      </c>
      <c r="V67" t="str">
        <f t="shared" si="62"/>
        <v>1-0.00109511309550173i</v>
      </c>
      <c r="W67" s="67">
        <f t="shared" si="63"/>
        <v>1.0000005996361663</v>
      </c>
      <c r="X67" s="67">
        <f t="shared" si="64"/>
        <v>-1.0951126577223016E-3</v>
      </c>
      <c r="Y67" t="str">
        <f t="shared" si="65"/>
        <v>0.999999773966252+0.00169275528491811i</v>
      </c>
      <c r="Z67" s="67">
        <f t="shared" si="66"/>
        <v>1.0000012066757766</v>
      </c>
      <c r="AA67" s="67">
        <f t="shared" si="67"/>
        <v>1.692754050721162E-3</v>
      </c>
      <c r="AB67" s="92" t="str">
        <f t="shared" si="68"/>
        <v>3.1747132318725-17.1234323023008i</v>
      </c>
      <c r="AC67" s="37">
        <f t="shared" si="69"/>
        <v>24.818591477542956</v>
      </c>
      <c r="AD67" s="60">
        <f t="shared" si="70"/>
        <v>-79.496530120523175</v>
      </c>
      <c r="AE67" t="str">
        <f t="shared" si="71"/>
        <v>118.329284003155</v>
      </c>
      <c r="AF67" t="str">
        <f t="shared" si="72"/>
        <v>1+4.51133054280929i</v>
      </c>
      <c r="AG67">
        <f t="shared" si="73"/>
        <v>4.6208336116423805</v>
      </c>
      <c r="AH67">
        <f t="shared" si="74"/>
        <v>1.3526593065779768</v>
      </c>
      <c r="AI67" t="str">
        <f t="shared" si="50"/>
        <v>1+0.0106016267756018i</v>
      </c>
      <c r="AJ67">
        <f t="shared" si="75"/>
        <v>1.0000561956661682</v>
      </c>
      <c r="AK67">
        <f t="shared" si="76"/>
        <v>1.0601229614238811E-2</v>
      </c>
      <c r="AL67" t="str">
        <f t="shared" si="77"/>
        <v>1-0.000738392227986625i</v>
      </c>
      <c r="AM67">
        <f t="shared" si="78"/>
        <v>1.000000272611504</v>
      </c>
      <c r="AN67">
        <f t="shared" si="79"/>
        <v>-7.3839209379050665E-4</v>
      </c>
      <c r="AO67" s="58" t="str">
        <f t="shared" si="80"/>
        <v>5.7884427315609-24.9464690082186i</v>
      </c>
      <c r="AP67">
        <f t="shared" si="81"/>
        <v>28.167928584776021</v>
      </c>
      <c r="AQ67" s="60">
        <f t="shared" si="82"/>
        <v>-76.936570422065614</v>
      </c>
      <c r="AR67" t="str">
        <f t="shared" si="83"/>
        <v>-1.94444444444444</v>
      </c>
      <c r="AS67" t="str">
        <f t="shared" si="51"/>
        <v>1+0.0108734633595916i</v>
      </c>
      <c r="AT67">
        <f t="shared" si="84"/>
        <v>1.0000591143554627</v>
      </c>
      <c r="AU67">
        <f t="shared" si="85"/>
        <v>1.0873034858804181E-2</v>
      </c>
      <c r="AV67" t="str">
        <f t="shared" si="52"/>
        <v>1+0.0108734633595916i</v>
      </c>
      <c r="AW67">
        <f t="shared" si="86"/>
        <v>1.0000591143554627</v>
      </c>
      <c r="AX67">
        <f t="shared" si="87"/>
        <v>1.0873034858804181E-2</v>
      </c>
      <c r="AY67" t="str">
        <f t="shared" si="53"/>
        <v>1-0.195674506282421i</v>
      </c>
      <c r="AZ67">
        <f t="shared" si="88"/>
        <v>1.0189644313757322</v>
      </c>
      <c r="BA67">
        <f t="shared" si="89"/>
        <v>-0.19323299276666478</v>
      </c>
      <c r="BB67" s="58" t="str">
        <f t="shared" si="90"/>
        <v>-1.94007794891059+0.401573573152493i</v>
      </c>
      <c r="BC67">
        <f t="shared" si="91"/>
        <v>5.9385778295478096</v>
      </c>
      <c r="BD67" s="60">
        <f t="shared" si="92"/>
        <v>168.30558604388006</v>
      </c>
      <c r="BE67" s="58" t="str">
        <f t="shared" si="93"/>
        <v>0.717126758999241+34.4956743556146i</v>
      </c>
      <c r="BF67" s="37">
        <f t="shared" si="94"/>
        <v>30.757169307090763</v>
      </c>
      <c r="BG67" s="60">
        <f t="shared" si="95"/>
        <v>88.809055923356894</v>
      </c>
      <c r="BH67" s="58" t="str">
        <f t="shared" si="96"/>
        <v>-1.21218740486481+50.7225800567278i</v>
      </c>
      <c r="BI67" s="37">
        <f t="shared" si="97"/>
        <v>34.106506414323832</v>
      </c>
      <c r="BJ67" s="60">
        <f t="shared" si="98"/>
        <v>91.369015621814441</v>
      </c>
      <c r="BK67">
        <f t="shared" si="99"/>
        <v>30.757169307090763</v>
      </c>
      <c r="BL67" s="60">
        <f t="shared" si="100"/>
        <v>88.809055923356894</v>
      </c>
      <c r="BN67">
        <f t="shared" si="101"/>
        <v>0</v>
      </c>
      <c r="BO67">
        <f t="shared" si="102"/>
        <v>0</v>
      </c>
    </row>
    <row r="68" spans="1:67" ht="14.25" x14ac:dyDescent="0.2">
      <c r="A68" t="s">
        <v>571</v>
      </c>
      <c r="B68" s="23">
        <f>(B18*((2*VOUT)-Vin_vari))/(COUT*VOUT*(VOUT-Vin_vari))</f>
        <v>43.040293040293037</v>
      </c>
      <c r="C68" t="s">
        <v>525</v>
      </c>
      <c r="M68" s="66">
        <v>50</v>
      </c>
      <c r="N68" s="36">
        <f t="shared" si="54"/>
        <v>31.622776601683803</v>
      </c>
      <c r="O68" s="91" t="str">
        <f t="shared" si="55"/>
        <v>99.7340425531915</v>
      </c>
      <c r="P68" s="67" t="str">
        <f t="shared" si="56"/>
        <v>1+5.77051616289859i</v>
      </c>
      <c r="Q68" s="67">
        <f t="shared" si="57"/>
        <v>5.8565225848001186</v>
      </c>
      <c r="R68" s="67">
        <f t="shared" si="58"/>
        <v>1.3992057428034053</v>
      </c>
      <c r="S68" s="67" t="str">
        <f t="shared" si="59"/>
        <v>1+0.0108485703862494i</v>
      </c>
      <c r="T68" s="67">
        <f t="shared" si="60"/>
        <v>1.0000588440084039</v>
      </c>
      <c r="U68" s="67">
        <f t="shared" si="61"/>
        <v>1.0848144821534065E-2</v>
      </c>
      <c r="V68" t="str">
        <f t="shared" si="62"/>
        <v>1-0.0011206215563818i</v>
      </c>
      <c r="W68" s="67">
        <f t="shared" si="63"/>
        <v>1.0000006278961391</v>
      </c>
      <c r="X68" s="67">
        <f t="shared" si="64"/>
        <v>-1.1206210872927069E-3</v>
      </c>
      <c r="Y68" t="str">
        <f t="shared" si="65"/>
        <v>0.99999976331361+0.00173218462070291i</v>
      </c>
      <c r="Z68" s="67">
        <f t="shared" si="66"/>
        <v>1.0000012635446198</v>
      </c>
      <c r="AA68" s="67">
        <f t="shared" si="67"/>
        <v>1.7321832982371424E-3</v>
      </c>
      <c r="AB68" s="92" t="str">
        <f t="shared" si="68"/>
        <v>3.04203527852737-16.7566682000609i</v>
      </c>
      <c r="AC68" s="37">
        <f t="shared" si="69"/>
        <v>24.624577584027001</v>
      </c>
      <c r="AD68" s="60">
        <f t="shared" si="70"/>
        <v>-79.710484470349201</v>
      </c>
      <c r="AE68" t="str">
        <f t="shared" si="71"/>
        <v>118.329284003155</v>
      </c>
      <c r="AF68" t="str">
        <f t="shared" si="72"/>
        <v>1+4.61641293031887i</v>
      </c>
      <c r="AG68">
        <f t="shared" si="73"/>
        <v>4.7234805327443929</v>
      </c>
      <c r="AH68">
        <f t="shared" si="74"/>
        <v>1.3574737839395019</v>
      </c>
      <c r="AI68" t="str">
        <f t="shared" si="50"/>
        <v>1+0.0108485703862494i</v>
      </c>
      <c r="AJ68">
        <f t="shared" si="75"/>
        <v>1.0000588440084039</v>
      </c>
      <c r="AK68">
        <f t="shared" si="76"/>
        <v>1.0848144821534065E-2</v>
      </c>
      <c r="AL68" t="str">
        <f t="shared" si="77"/>
        <v>1-0.000755591592453285i</v>
      </c>
      <c r="AM68">
        <f t="shared" si="78"/>
        <v>1.0000002854592867</v>
      </c>
      <c r="AN68">
        <f t="shared" si="79"/>
        <v>-7.5559144865955581E-4</v>
      </c>
      <c r="AO68" s="58" t="str">
        <f t="shared" si="80"/>
        <v>5.55072041277709-24.4301225320002i</v>
      </c>
      <c r="AP68">
        <f t="shared" si="81"/>
        <v>27.977115714079702</v>
      </c>
      <c r="AQ68" s="60">
        <f t="shared" si="82"/>
        <v>-77.199257906611066</v>
      </c>
      <c r="AR68" t="str">
        <f t="shared" si="83"/>
        <v>-1.94444444444444</v>
      </c>
      <c r="AS68" t="str">
        <f t="shared" si="51"/>
        <v>1+0.0111267388576916i</v>
      </c>
      <c r="AT68">
        <f t="shared" si="84"/>
        <v>1.0000619002429836</v>
      </c>
      <c r="AU68">
        <f t="shared" si="85"/>
        <v>1.1126279712360465E-2</v>
      </c>
      <c r="AV68" t="str">
        <f t="shared" si="52"/>
        <v>1+0.0111267388576916i</v>
      </c>
      <c r="AW68">
        <f t="shared" si="86"/>
        <v>1.0000619002429836</v>
      </c>
      <c r="AX68">
        <f t="shared" si="87"/>
        <v>1.1126279712360465E-2</v>
      </c>
      <c r="AY68" t="str">
        <f t="shared" si="53"/>
        <v>1-0.191220410731334i</v>
      </c>
      <c r="AZ68">
        <f t="shared" si="88"/>
        <v>1.0181184830265386</v>
      </c>
      <c r="BA68">
        <f t="shared" si="89"/>
        <v>-0.18893957135853018</v>
      </c>
      <c r="BB68" s="58" t="str">
        <f t="shared" si="90"/>
        <v>-1.94006713991683+0.393404085743169i</v>
      </c>
      <c r="BC68">
        <f t="shared" si="91"/>
        <v>5.9313395777753906</v>
      </c>
      <c r="BD68" s="60">
        <f t="shared" si="92"/>
        <v>168.5370711089451</v>
      </c>
      <c r="BE68" s="58" t="str">
        <f t="shared" si="93"/>
        <v>0.690389051007899+33.705810456975i</v>
      </c>
      <c r="BF68" s="37">
        <f t="shared" si="94"/>
        <v>30.555917161802398</v>
      </c>
      <c r="BG68" s="60">
        <f t="shared" si="95"/>
        <v>88.826586638595927</v>
      </c>
      <c r="BH68" s="58" t="str">
        <f t="shared" si="96"/>
        <v>-1.15786025639928+49.5797540376799i</v>
      </c>
      <c r="BI68" s="37">
        <f t="shared" si="97"/>
        <v>33.908455291855105</v>
      </c>
      <c r="BJ68" s="60">
        <f t="shared" si="98"/>
        <v>91.337813202334047</v>
      </c>
      <c r="BK68">
        <f t="shared" si="99"/>
        <v>30.555917161802398</v>
      </c>
      <c r="BL68" s="60">
        <f t="shared" si="100"/>
        <v>88.826586638595927</v>
      </c>
      <c r="BN68">
        <f t="shared" si="101"/>
        <v>0</v>
      </c>
      <c r="BO68">
        <f t="shared" si="102"/>
        <v>0</v>
      </c>
    </row>
    <row r="69" spans="1:67" ht="14.25" x14ac:dyDescent="0.2">
      <c r="B69" s="23">
        <f>B68/(2*PI())</f>
        <v>6.8500753894863378</v>
      </c>
      <c r="C69" t="s">
        <v>70</v>
      </c>
      <c r="M69" s="66">
        <v>51</v>
      </c>
      <c r="N69" s="36">
        <f t="shared" si="54"/>
        <v>32.359365692962832</v>
      </c>
      <c r="O69" s="91" t="str">
        <f t="shared" si="55"/>
        <v>99.7340425531915</v>
      </c>
      <c r="P69" s="67" t="str">
        <f t="shared" si="56"/>
        <v>1+5.90492875133695i</v>
      </c>
      <c r="Q69" s="67">
        <f t="shared" si="57"/>
        <v>5.9890052227699506</v>
      </c>
      <c r="R69" s="67">
        <f t="shared" si="58"/>
        <v>1.4030379280389109</v>
      </c>
      <c r="S69" s="67" t="str">
        <f t="shared" si="59"/>
        <v>1+0.0111012660525135i</v>
      </c>
      <c r="T69" s="67">
        <f t="shared" si="60"/>
        <v>1.0000616171556473</v>
      </c>
      <c r="U69" s="67">
        <f t="shared" si="61"/>
        <v>1.1100810053222797E-2</v>
      </c>
      <c r="V69" t="str">
        <f t="shared" si="62"/>
        <v>1-0.00114672418564425i</v>
      </c>
      <c r="W69" s="67">
        <f t="shared" si="63"/>
        <v>1.000000657487963</v>
      </c>
      <c r="X69" s="67">
        <f t="shared" si="64"/>
        <v>-1.1467236830062489E-3</v>
      </c>
      <c r="Y69" t="str">
        <f t="shared" si="65"/>
        <v>0.999999752158924+0.00177253238370178i</v>
      </c>
      <c r="Z69" s="67">
        <f t="shared" si="66"/>
        <v>1.0000013230936051</v>
      </c>
      <c r="AA69" s="67">
        <f t="shared" si="67"/>
        <v>1.7725309666542801E-3</v>
      </c>
      <c r="AB69" s="92" t="str">
        <f t="shared" si="68"/>
        <v>2.91498799883256-16.3967762179943i</v>
      </c>
      <c r="AC69" s="37">
        <f t="shared" si="69"/>
        <v>24.430304021653871</v>
      </c>
      <c r="AD69" s="60">
        <f t="shared" si="70"/>
        <v>-79.91938317893279</v>
      </c>
      <c r="AE69" t="str">
        <f t="shared" si="71"/>
        <v>118.329284003155</v>
      </c>
      <c r="AF69" t="str">
        <f t="shared" si="72"/>
        <v>1+4.72394300106956i</v>
      </c>
      <c r="AG69">
        <f t="shared" si="73"/>
        <v>4.828626872865005</v>
      </c>
      <c r="AH69">
        <f t="shared" si="74"/>
        <v>1.3621883938370269</v>
      </c>
      <c r="AI69" t="str">
        <f t="shared" si="50"/>
        <v>1+0.0111012660525135i</v>
      </c>
      <c r="AJ69">
        <f t="shared" si="75"/>
        <v>1.0000616171556473</v>
      </c>
      <c r="AK69">
        <f t="shared" si="76"/>
        <v>1.1100810053222797E-2</v>
      </c>
      <c r="AL69" t="str">
        <f t="shared" si="77"/>
        <v>1-0.000773191581583701i</v>
      </c>
      <c r="AM69">
        <f t="shared" si="78"/>
        <v>1.0000002989125663</v>
      </c>
      <c r="AN69">
        <f t="shared" si="79"/>
        <v>-7.7319142750594666E-4</v>
      </c>
      <c r="AO69" s="58" t="str">
        <f t="shared" si="80"/>
        <v>5.32275795803216-23.9222915449569i</v>
      </c>
      <c r="AP69">
        <f t="shared" si="81"/>
        <v>27.785909571982007</v>
      </c>
      <c r="AQ69" s="60">
        <f t="shared" si="82"/>
        <v>-77.455916908891751</v>
      </c>
      <c r="AR69" t="str">
        <f t="shared" si="83"/>
        <v>-1.94444444444444</v>
      </c>
      <c r="AS69" t="str">
        <f t="shared" si="51"/>
        <v>1+0.0113859139000138i</v>
      </c>
      <c r="AT69">
        <f t="shared" si="84"/>
        <v>1.0000648174170204</v>
      </c>
      <c r="AU69">
        <f t="shared" si="85"/>
        <v>1.1385421918649746E-2</v>
      </c>
      <c r="AV69" t="str">
        <f t="shared" si="52"/>
        <v>1+0.0113859139000138i</v>
      </c>
      <c r="AW69">
        <f t="shared" si="86"/>
        <v>1.0000648174170204</v>
      </c>
      <c r="AX69">
        <f t="shared" si="87"/>
        <v>1.1385421918649746E-2</v>
      </c>
      <c r="AY69" t="str">
        <f t="shared" si="53"/>
        <v>1-0.186867702773118i</v>
      </c>
      <c r="AZ69">
        <f t="shared" si="88"/>
        <v>1.0173099519515683</v>
      </c>
      <c r="BA69">
        <f t="shared" si="89"/>
        <v>-0.18473705712510005</v>
      </c>
      <c r="BB69" s="58" t="str">
        <f t="shared" si="90"/>
        <v>-1.94005582163998+0.385443175049697i</v>
      </c>
      <c r="BC69">
        <f t="shared" si="91"/>
        <v>5.9244136673383627</v>
      </c>
      <c r="BD69" s="60">
        <f t="shared" si="92"/>
        <v>168.76300968315024</v>
      </c>
      <c r="BE69" s="58" t="str">
        <f t="shared" si="93"/>
        <v>0.664786048897303+32.9342233873496i</v>
      </c>
      <c r="BF69" s="37">
        <f t="shared" si="94"/>
        <v>30.354717688992231</v>
      </c>
      <c r="BG69" s="60">
        <f t="shared" si="95"/>
        <v>88.843626504217468</v>
      </c>
      <c r="BH69" s="58" t="str">
        <f t="shared" si="96"/>
        <v>-1.10576355610811+48.4622017061275i</v>
      </c>
      <c r="BI69" s="37">
        <f t="shared" si="97"/>
        <v>33.710323239320374</v>
      </c>
      <c r="BJ69" s="60">
        <f t="shared" si="98"/>
        <v>91.307092774258479</v>
      </c>
      <c r="BK69">
        <f t="shared" si="99"/>
        <v>30.354717688992231</v>
      </c>
      <c r="BL69" s="60">
        <f t="shared" si="100"/>
        <v>88.843626504217468</v>
      </c>
      <c r="BN69">
        <f t="shared" si="101"/>
        <v>0</v>
      </c>
      <c r="BO69">
        <f t="shared" si="102"/>
        <v>0</v>
      </c>
    </row>
    <row r="70" spans="1:67" ht="14.25" x14ac:dyDescent="0.2">
      <c r="A70" t="s">
        <v>572</v>
      </c>
      <c r="B70" s="23">
        <f>1/(COUT*RESR)</f>
        <v>18315.018315018315</v>
      </c>
      <c r="C70" t="s">
        <v>525</v>
      </c>
      <c r="M70" s="66">
        <v>52</v>
      </c>
      <c r="N70" s="36">
        <f t="shared" si="54"/>
        <v>33.113112148259127</v>
      </c>
      <c r="O70" s="91" t="str">
        <f t="shared" si="55"/>
        <v>99.7340425531915</v>
      </c>
      <c r="P70" s="67" t="str">
        <f t="shared" si="56"/>
        <v>1+6.04247221116026i</v>
      </c>
      <c r="Q70" s="67">
        <f t="shared" si="57"/>
        <v>6.1246608414379953</v>
      </c>
      <c r="R70" s="67">
        <f t="shared" si="58"/>
        <v>1.4067876945512008</v>
      </c>
      <c r="S70" s="67" t="str">
        <f t="shared" si="59"/>
        <v>1+0.0113598477569813i</v>
      </c>
      <c r="T70" s="67">
        <f t="shared" si="60"/>
        <v>1.0000645209890517</v>
      </c>
      <c r="U70" s="67">
        <f t="shared" si="61"/>
        <v>1.135935914664068E-2</v>
      </c>
      <c r="V70" t="str">
        <f t="shared" si="62"/>
        <v>1-0.00117343482324862i</v>
      </c>
      <c r="W70" s="67">
        <f t="shared" si="63"/>
        <v>1.0000006884744053</v>
      </c>
      <c r="X70" s="67">
        <f t="shared" si="64"/>
        <v>-1.1734342846623181E-3</v>
      </c>
      <c r="Y70" t="str">
        <f t="shared" si="65"/>
        <v>0.999999740478533+0.00181381996683274i</v>
      </c>
      <c r="Z70" s="67">
        <f t="shared" si="66"/>
        <v>1.0000013854490428</v>
      </c>
      <c r="AA70" s="67">
        <f t="shared" si="67"/>
        <v>1.8138184484391016E-3</v>
      </c>
      <c r="AB70" s="92" t="str">
        <f t="shared" si="68"/>
        <v>2.79334673096141-16.0436924435614i</v>
      </c>
      <c r="AC70" s="37">
        <f t="shared" si="69"/>
        <v>24.235781921118861</v>
      </c>
      <c r="AD70" s="60">
        <f t="shared" si="70"/>
        <v>-80.123311205592771</v>
      </c>
      <c r="AE70" t="str">
        <f t="shared" si="71"/>
        <v>118.329284003155</v>
      </c>
      <c r="AF70" t="str">
        <f t="shared" si="72"/>
        <v>1+4.83397776892821i</v>
      </c>
      <c r="AG70">
        <f t="shared" si="73"/>
        <v>4.9363287036513439</v>
      </c>
      <c r="AH70">
        <f t="shared" si="74"/>
        <v>1.3668047972770525</v>
      </c>
      <c r="AI70" t="str">
        <f t="shared" si="50"/>
        <v>1+0.0113598477569813i</v>
      </c>
      <c r="AJ70">
        <f t="shared" si="75"/>
        <v>1.0000645209890517</v>
      </c>
      <c r="AK70">
        <f t="shared" si="76"/>
        <v>1.135935914664068E-2</v>
      </c>
      <c r="AL70" t="str">
        <f t="shared" si="77"/>
        <v>1-0.000791201527125077i</v>
      </c>
      <c r="AM70">
        <f t="shared" si="78"/>
        <v>1.0000003129998793</v>
      </c>
      <c r="AN70">
        <f t="shared" si="79"/>
        <v>-7.9120136202779159E-4</v>
      </c>
      <c r="AO70" s="58" t="str">
        <f t="shared" si="80"/>
        <v>5.10419354932724-23.4229778044931i</v>
      </c>
      <c r="AP70">
        <f t="shared" si="81"/>
        <v>27.594326434195882</v>
      </c>
      <c r="AQ70" s="60">
        <f t="shared" si="82"/>
        <v>-77.706635463922524</v>
      </c>
      <c r="AR70" t="str">
        <f t="shared" si="83"/>
        <v>-1.94444444444444</v>
      </c>
      <c r="AS70" t="str">
        <f t="shared" si="51"/>
        <v>1+0.0116511259045962i</v>
      </c>
      <c r="AT70">
        <f t="shared" si="84"/>
        <v>1.0000678720641138</v>
      </c>
      <c r="AU70">
        <f t="shared" si="85"/>
        <v>1.1650598738999082E-2</v>
      </c>
      <c r="AV70" t="str">
        <f t="shared" si="52"/>
        <v>1+0.0116511259045962i</v>
      </c>
      <c r="AW70">
        <f t="shared" si="86"/>
        <v>1.0000678720641138</v>
      </c>
      <c r="AX70">
        <f t="shared" si="87"/>
        <v>1.1650598738999082E-2</v>
      </c>
      <c r="AY70" t="str">
        <f t="shared" si="53"/>
        <v>1-0.182614074544397i</v>
      </c>
      <c r="AZ70">
        <f t="shared" si="88"/>
        <v>1.0165372104461825</v>
      </c>
      <c r="BA70">
        <f t="shared" si="89"/>
        <v>-0.18062381589540696</v>
      </c>
      <c r="BB70" s="58" t="str">
        <f t="shared" si="90"/>
        <v>-1.94004397009071+0.377686619281196i</v>
      </c>
      <c r="BC70">
        <f t="shared" si="91"/>
        <v>5.9177868888451632</v>
      </c>
      <c r="BD70" s="60">
        <f t="shared" si="92"/>
        <v>168.98348753310006</v>
      </c>
      <c r="BE70" s="58" t="str">
        <f t="shared" si="93"/>
        <v>0.640272478021696+32.1804784664182i</v>
      </c>
      <c r="BF70" s="37">
        <f t="shared" si="94"/>
        <v>30.153568809964032</v>
      </c>
      <c r="BG70" s="60">
        <f t="shared" si="95"/>
        <v>88.86017632750729</v>
      </c>
      <c r="BH70" s="58" t="str">
        <f t="shared" si="96"/>
        <v>-1.05581461707072+47.3693924569777i</v>
      </c>
      <c r="BI70" s="37">
        <f t="shared" si="97"/>
        <v>33.512113323041049</v>
      </c>
      <c r="BJ70" s="60">
        <f t="shared" si="98"/>
        <v>91.276852069177522</v>
      </c>
      <c r="BK70">
        <f t="shared" si="99"/>
        <v>30.153568809964032</v>
      </c>
      <c r="BL70" s="60">
        <f t="shared" si="100"/>
        <v>88.86017632750729</v>
      </c>
      <c r="BN70">
        <f t="shared" si="101"/>
        <v>0</v>
      </c>
      <c r="BO70">
        <f t="shared" si="102"/>
        <v>0</v>
      </c>
    </row>
    <row r="71" spans="1:67" ht="14.25" x14ac:dyDescent="0.2">
      <c r="B71" s="23">
        <f>B70/(2*PI())</f>
        <v>2914.9256976537608</v>
      </c>
      <c r="C71" t="s">
        <v>70</v>
      </c>
      <c r="M71" s="66">
        <v>53</v>
      </c>
      <c r="N71" s="36">
        <f t="shared" si="54"/>
        <v>33.884415613920268</v>
      </c>
      <c r="O71" s="91" t="str">
        <f t="shared" si="55"/>
        <v>99.7340425531915</v>
      </c>
      <c r="P71" s="67" t="str">
        <f t="shared" si="56"/>
        <v>1+6.18321946973147i</v>
      </c>
      <c r="Q71" s="67">
        <f t="shared" si="57"/>
        <v>6.2635615276666927</v>
      </c>
      <c r="R71" s="67">
        <f t="shared" si="58"/>
        <v>1.4104566085072658</v>
      </c>
      <c r="S71" s="67" t="str">
        <f t="shared" si="59"/>
        <v>1+0.0116244526030952i</v>
      </c>
      <c r="T71" s="67">
        <f t="shared" si="60"/>
        <v>1.0000675616668715</v>
      </c>
      <c r="U71" s="67">
        <f t="shared" si="61"/>
        <v>1.1623929049592755E-2</v>
      </c>
      <c r="V71" t="str">
        <f t="shared" si="62"/>
        <v>1-0.00120076763152851i</v>
      </c>
      <c r="W71" s="67">
        <f t="shared" si="63"/>
        <v>1.0000007209211925</v>
      </c>
      <c r="X71" s="67">
        <f t="shared" si="64"/>
        <v>-1.2007670544229125E-3</v>
      </c>
      <c r="Y71" t="str">
        <f t="shared" si="65"/>
        <v>0.999999728247664+0.00185606926131885i</v>
      </c>
      <c r="Z71" s="67">
        <f t="shared" si="66"/>
        <v>1.0000014507432</v>
      </c>
      <c r="AA71" s="67">
        <f t="shared" si="67"/>
        <v>1.8560676343308778E-3</v>
      </c>
      <c r="AB71" s="92" t="str">
        <f t="shared" si="68"/>
        <v>2.67689454682267-15.6973488761369i</v>
      </c>
      <c r="AC71" s="37">
        <f t="shared" si="69"/>
        <v>24.041021972140687</v>
      </c>
      <c r="AD71" s="60">
        <f t="shared" si="70"/>
        <v>-80.322352504235738</v>
      </c>
      <c r="AE71" t="str">
        <f t="shared" si="71"/>
        <v>118.329284003155</v>
      </c>
      <c r="AF71" t="str">
        <f t="shared" si="72"/>
        <v>1+4.94657557578517i</v>
      </c>
      <c r="AG71">
        <f t="shared" si="73"/>
        <v>5.0466434317231474</v>
      </c>
      <c r="AH71">
        <f t="shared" si="74"/>
        <v>1.3713246545214945</v>
      </c>
      <c r="AI71" t="str">
        <f t="shared" si="50"/>
        <v>1+0.0116244526030952i</v>
      </c>
      <c r="AJ71">
        <f t="shared" si="75"/>
        <v>1.0000675616668715</v>
      </c>
      <c r="AK71">
        <f t="shared" si="76"/>
        <v>1.1623929049592755E-2</v>
      </c>
      <c r="AL71" t="str">
        <f t="shared" si="77"/>
        <v>1-0.00080963097818892i</v>
      </c>
      <c r="AM71">
        <f t="shared" si="78"/>
        <v>1.0000003277511067</v>
      </c>
      <c r="AN71">
        <f t="shared" si="79"/>
        <v>-8.0963080128399454E-4</v>
      </c>
      <c r="AO71" s="58" t="str">
        <f t="shared" si="80"/>
        <v>4.89467547467282-22.9321720549143i</v>
      </c>
      <c r="AP71">
        <f t="shared" si="81"/>
        <v>27.4023819745221</v>
      </c>
      <c r="AQ71" s="60">
        <f t="shared" si="82"/>
        <v>-77.951501398293559</v>
      </c>
      <c r="AR71" t="str">
        <f t="shared" si="83"/>
        <v>-1.94444444444444</v>
      </c>
      <c r="AS71" t="str">
        <f t="shared" si="51"/>
        <v>1+0.011922515490354i</v>
      </c>
      <c r="AT71">
        <f t="shared" si="84"/>
        <v>1.0000710706622893</v>
      </c>
      <c r="AU71">
        <f t="shared" si="85"/>
        <v>1.1921950624407672E-2</v>
      </c>
      <c r="AV71" t="str">
        <f t="shared" si="52"/>
        <v>1+0.011922515490354i</v>
      </c>
      <c r="AW71">
        <f t="shared" si="86"/>
        <v>1.0000710706622893</v>
      </c>
      <c r="AX71">
        <f t="shared" si="87"/>
        <v>1.1921950624407672E-2</v>
      </c>
      <c r="AY71" t="str">
        <f t="shared" si="53"/>
        <v>1-0.178457270715185i</v>
      </c>
      <c r="AZ71">
        <f t="shared" si="88"/>
        <v>1.0157986992859918</v>
      </c>
      <c r="BA71">
        <f t="shared" si="89"/>
        <v>-0.1765982237745283</v>
      </c>
      <c r="BB71" s="58" t="str">
        <f t="shared" si="90"/>
        <v>-1.94003156015034+0.370130304940527i</v>
      </c>
      <c r="BC71">
        <f t="shared" si="91"/>
        <v>5.9114465426613432</v>
      </c>
      <c r="BD71" s="60">
        <f t="shared" si="92"/>
        <v>169.19858965387076</v>
      </c>
      <c r="BE71" s="58" t="str">
        <f t="shared" si="93"/>
        <v>0.616804622252068+31.4441520253052i</v>
      </c>
      <c r="BF71" s="37">
        <f t="shared" si="94"/>
        <v>29.952468514802039</v>
      </c>
      <c r="BG71" s="60">
        <f t="shared" si="95"/>
        <v>88.876237149635017</v>
      </c>
      <c r="BH71" s="58" t="str">
        <f t="shared" si="96"/>
        <v>-1.00793306192505+46.300805255357i</v>
      </c>
      <c r="BI71" s="37">
        <f t="shared" si="97"/>
        <v>33.313828517183445</v>
      </c>
      <c r="BJ71" s="60">
        <f t="shared" si="98"/>
        <v>91.247088255577196</v>
      </c>
      <c r="BK71">
        <f t="shared" si="99"/>
        <v>29.952468514802039</v>
      </c>
      <c r="BL71" s="60">
        <f t="shared" si="100"/>
        <v>88.876237149635017</v>
      </c>
      <c r="BN71">
        <f t="shared" si="101"/>
        <v>0</v>
      </c>
      <c r="BO71">
        <f t="shared" si="102"/>
        <v>0</v>
      </c>
    </row>
    <row r="72" spans="1:67" ht="14.25" x14ac:dyDescent="0.2">
      <c r="A72" t="s">
        <v>573</v>
      </c>
      <c r="B72" s="23">
        <f>2*fsw/(DC_VIN_var_DCM)</f>
        <v>262961.85307038884</v>
      </c>
      <c r="C72" t="s">
        <v>525</v>
      </c>
      <c r="M72" s="66">
        <v>54</v>
      </c>
      <c r="N72" s="36">
        <f t="shared" si="54"/>
        <v>34.67368504525318</v>
      </c>
      <c r="O72" s="91" t="str">
        <f t="shared" si="55"/>
        <v>99.7340425531915</v>
      </c>
      <c r="P72" s="67" t="str">
        <f t="shared" si="56"/>
        <v>1+6.32724515311013i</v>
      </c>
      <c r="Q72" s="67">
        <f t="shared" si="57"/>
        <v>6.4057810786472906</v>
      </c>
      <c r="R72" s="67">
        <f t="shared" si="58"/>
        <v>1.4140462199175419</v>
      </c>
      <c r="S72" s="67" t="str">
        <f t="shared" si="59"/>
        <v>1+0.0118952208878471i</v>
      </c>
      <c r="T72" s="67">
        <f t="shared" si="60"/>
        <v>1.0000707456375126</v>
      </c>
      <c r="U72" s="67">
        <f t="shared" si="61"/>
        <v>1.1894659892305245E-2</v>
      </c>
      <c r="V72" t="str">
        <f t="shared" si="62"/>
        <v>1-0.00122873710270068i</v>
      </c>
      <c r="W72" s="67">
        <f t="shared" si="63"/>
        <v>1.0000007548971488</v>
      </c>
      <c r="X72" s="67">
        <f t="shared" si="64"/>
        <v>-1.2287364843209163E-3</v>
      </c>
      <c r="Y72" t="str">
        <f t="shared" si="65"/>
        <v>0.99999971544037+0.00189930266829529i</v>
      </c>
      <c r="Z72" s="67">
        <f t="shared" si="66"/>
        <v>1.0000015191145695</v>
      </c>
      <c r="AA72" s="67">
        <f t="shared" si="67"/>
        <v>1.899300924946412E-3</v>
      </c>
      <c r="AB72" s="92" t="str">
        <f t="shared" si="68"/>
        <v>2.56542209436622-15.357673825626i</v>
      </c>
      <c r="AC72" s="37">
        <f t="shared" si="69"/>
        <v>23.846034438946507</v>
      </c>
      <c r="AD72" s="60">
        <f t="shared" si="70"/>
        <v>-80.516589968840421</v>
      </c>
      <c r="AE72" t="str">
        <f t="shared" si="71"/>
        <v>118.329284003155</v>
      </c>
      <c r="AF72" t="str">
        <f t="shared" si="72"/>
        <v>1+5.06179612248811i</v>
      </c>
      <c r="AG72">
        <f t="shared" si="73"/>
        <v>5.1596298302916717</v>
      </c>
      <c r="AH72">
        <f t="shared" si="74"/>
        <v>1.3757496230163608</v>
      </c>
      <c r="AI72" t="str">
        <f t="shared" si="50"/>
        <v>1+0.0118952208878471i</v>
      </c>
      <c r="AJ72">
        <f t="shared" si="75"/>
        <v>1.0000707456375126</v>
      </c>
      <c r="AK72">
        <f t="shared" si="76"/>
        <v>1.1894659892305245E-2</v>
      </c>
      <c r="AL72" t="str">
        <f t="shared" si="77"/>
        <v>1-0.000828489706314134i</v>
      </c>
      <c r="AM72">
        <f t="shared" si="78"/>
        <v>1.0000003431975379</v>
      </c>
      <c r="AN72">
        <f t="shared" si="79"/>
        <v>-8.2848951675709465E-4</v>
      </c>
      <c r="AO72" s="58" t="str">
        <f t="shared" si="80"/>
        <v>4.69386214056989-22.4498548056642i</v>
      </c>
      <c r="AP72">
        <f t="shared" si="81"/>
        <v>27.210091282097068</v>
      </c>
      <c r="AQ72" s="60">
        <f t="shared" si="82"/>
        <v>-78.190602207659907</v>
      </c>
      <c r="AR72" t="str">
        <f t="shared" si="83"/>
        <v>-1.94444444444444</v>
      </c>
      <c r="AS72" t="str">
        <f t="shared" si="51"/>
        <v>1+0.012200226551638i</v>
      </c>
      <c r="AT72">
        <f t="shared" si="84"/>
        <v>1.0000744199947877</v>
      </c>
      <c r="AU72">
        <f t="shared" si="85"/>
        <v>1.2199621289304198E-2</v>
      </c>
      <c r="AV72" t="str">
        <f t="shared" si="52"/>
        <v>1+0.012200226551638i</v>
      </c>
      <c r="AW72">
        <f t="shared" si="86"/>
        <v>1.0000744199947877</v>
      </c>
      <c r="AX72">
        <f t="shared" si="87"/>
        <v>1.2199621289304198E-2</v>
      </c>
      <c r="AY72" t="str">
        <f t="shared" si="53"/>
        <v>1-0.174395087293066i</v>
      </c>
      <c r="AZ72">
        <f t="shared" si="88"/>
        <v>1.0150929250428042</v>
      </c>
      <c r="BA72">
        <f t="shared" si="89"/>
        <v>-0.17265866848812117</v>
      </c>
      <c r="BB72" s="58" t="str">
        <f t="shared" si="90"/>
        <v>-1.94001856551765+0.362770224639104i</v>
      </c>
      <c r="BC72">
        <f t="shared" si="91"/>
        <v>5.9053804222530708</v>
      </c>
      <c r="BD72" s="60">
        <f t="shared" si="92"/>
        <v>169.40840018774716</v>
      </c>
      <c r="BE72" s="58" t="str">
        <f t="shared" si="93"/>
        <v>0.594340292196792+30.7248310943463i</v>
      </c>
      <c r="BF72" s="37">
        <f t="shared" si="94"/>
        <v>29.751414861199589</v>
      </c>
      <c r="BG72" s="60">
        <f t="shared" si="95"/>
        <v>88.891810218906741</v>
      </c>
      <c r="BH72" s="58" t="str">
        <f t="shared" si="96"/>
        <v>-0.962040825719933+45.2559285393237i</v>
      </c>
      <c r="BI72" s="37">
        <f t="shared" si="97"/>
        <v>33.115471704350135</v>
      </c>
      <c r="BJ72" s="60">
        <f t="shared" si="98"/>
        <v>91.217797980087227</v>
      </c>
      <c r="BK72">
        <f t="shared" si="99"/>
        <v>29.751414861199589</v>
      </c>
      <c r="BL72" s="60">
        <f t="shared" si="100"/>
        <v>88.891810218906741</v>
      </c>
      <c r="BN72">
        <f t="shared" si="101"/>
        <v>0</v>
      </c>
      <c r="BO72">
        <f t="shared" si="102"/>
        <v>0</v>
      </c>
    </row>
    <row r="73" spans="1:67" ht="14.25" x14ac:dyDescent="0.2">
      <c r="B73" s="23">
        <f>B72/(2*PI())</f>
        <v>41851.67876075708</v>
      </c>
      <c r="C73" t="s">
        <v>70</v>
      </c>
      <c r="M73" s="66">
        <v>55</v>
      </c>
      <c r="N73" s="36">
        <f t="shared" si="54"/>
        <v>35.481338923357555</v>
      </c>
      <c r="O73" s="91" t="str">
        <f t="shared" si="55"/>
        <v>99.7340425531915</v>
      </c>
      <c r="P73" s="67" t="str">
        <f t="shared" si="56"/>
        <v>1+6.47462562561997i</v>
      </c>
      <c r="Q73" s="67">
        <f t="shared" si="57"/>
        <v>6.5513950416636293</v>
      </c>
      <c r="R73" s="67">
        <f t="shared" si="58"/>
        <v>1.4175580618267432</v>
      </c>
      <c r="S73" s="67" t="str">
        <f t="shared" si="59"/>
        <v>1+0.0121722961761655i</v>
      </c>
      <c r="T73" s="67">
        <f t="shared" si="60"/>
        <v>1.0000740796532026</v>
      </c>
      <c r="U73" s="67">
        <f t="shared" si="61"/>
        <v>1.2171695061017094E-2</v>
      </c>
      <c r="V73" t="str">
        <f t="shared" si="62"/>
        <v>1-0.00125735806654897i</v>
      </c>
      <c r="W73" s="67">
        <f t="shared" si="63"/>
        <v>1.0000007904743413</v>
      </c>
      <c r="X73" s="67">
        <f t="shared" si="64"/>
        <v>-1.2573574039431437E-3</v>
      </c>
      <c r="Y73" t="str">
        <f t="shared" si="65"/>
        <v>0.999999702029488+0.00194354311068671i</v>
      </c>
      <c r="Z73" s="67">
        <f t="shared" si="66"/>
        <v>1.000001590708179</v>
      </c>
      <c r="AA73" s="67">
        <f t="shared" si="67"/>
        <v>1.9435412426548903E-3</v>
      </c>
      <c r="AB73" s="92" t="str">
        <f t="shared" si="68"/>
        <v>2.45872743251944-15.0245922880234i</v>
      </c>
      <c r="AC73" s="37">
        <f t="shared" si="69"/>
        <v>23.650829175438474</v>
      </c>
      <c r="AD73" s="60">
        <f t="shared" si="70"/>
        <v>-80.706105384000054</v>
      </c>
      <c r="AE73" t="str">
        <f t="shared" si="71"/>
        <v>118.329284003155</v>
      </c>
      <c r="AF73" t="str">
        <f t="shared" si="72"/>
        <v>1+5.17970050049597i</v>
      </c>
      <c r="AG73">
        <f t="shared" si="73"/>
        <v>5.2753480714392875</v>
      </c>
      <c r="AH73">
        <f t="shared" si="74"/>
        <v>1.3800813554689029</v>
      </c>
      <c r="AI73" t="str">
        <f t="shared" si="50"/>
        <v>1+0.0121722961761655i</v>
      </c>
      <c r="AJ73">
        <f t="shared" si="75"/>
        <v>1.0000740796532026</v>
      </c>
      <c r="AK73">
        <f t="shared" si="76"/>
        <v>1.2171695061017094E-2</v>
      </c>
      <c r="AL73" t="str">
        <f t="shared" si="77"/>
        <v>1-0.000847787710647993i</v>
      </c>
      <c r="AM73">
        <f t="shared" si="78"/>
        <v>1.0000003593719367</v>
      </c>
      <c r="AN73">
        <f t="shared" si="79"/>
        <v>-8.4778750753396984E-4</v>
      </c>
      <c r="AO73" s="58" t="str">
        <f t="shared" si="80"/>
        <v>4.50142205174392-21.9759970759492i</v>
      </c>
      <c r="AP73">
        <f t="shared" si="81"/>
        <v>27.017468878639413</v>
      </c>
      <c r="AQ73" s="60">
        <f t="shared" si="82"/>
        <v>-78.424024942651144</v>
      </c>
      <c r="AR73" t="str">
        <f t="shared" si="83"/>
        <v>-1.94444444444444</v>
      </c>
      <c r="AS73" t="str">
        <f t="shared" si="51"/>
        <v>1+0.0124844063345287i</v>
      </c>
      <c r="AT73">
        <f t="shared" si="84"/>
        <v>1.0000779271644413</v>
      </c>
      <c r="AU73">
        <f t="shared" si="85"/>
        <v>1.2483757786982646E-2</v>
      </c>
      <c r="AV73" t="str">
        <f t="shared" si="52"/>
        <v>1+0.0124844063345287i</v>
      </c>
      <c r="AW73">
        <f t="shared" si="86"/>
        <v>1.0000779271644413</v>
      </c>
      <c r="AX73">
        <f t="shared" si="87"/>
        <v>1.2483757786982646E-2</v>
      </c>
      <c r="AY73" t="str">
        <f t="shared" si="53"/>
        <v>1-0.170425370454622i</v>
      </c>
      <c r="AZ73">
        <f t="shared" si="88"/>
        <v>1.0144184574891149</v>
      </c>
      <c r="BA73">
        <f t="shared" si="89"/>
        <v>-0.16880355061305483</v>
      </c>
      <c r="BB73" s="58" t="str">
        <f t="shared" si="90"/>
        <v>-1.94000495865338+0.355602474967704i</v>
      </c>
      <c r="BC73">
        <f t="shared" si="91"/>
        <v>5.8995767977578915</v>
      </c>
      <c r="BD73" s="60">
        <f t="shared" si="92"/>
        <v>169.61300234939131</v>
      </c>
      <c r="BE73" s="58" t="str">
        <f t="shared" si="93"/>
        <v>0.572838791936992+30.0221131007856i</v>
      </c>
      <c r="BF73" s="37">
        <f t="shared" si="94"/>
        <v>29.550405973196355</v>
      </c>
      <c r="BG73" s="60">
        <f t="shared" si="95"/>
        <v>88.906896965391283</v>
      </c>
      <c r="BH73" s="58" t="str">
        <f t="shared" si="96"/>
        <v>-0.918062151284317+44.234260121168i</v>
      </c>
      <c r="BI73" s="37">
        <f t="shared" si="97"/>
        <v>32.917045676397315</v>
      </c>
      <c r="BJ73" s="60">
        <f t="shared" si="98"/>
        <v>91.188977406740179</v>
      </c>
      <c r="BK73">
        <f t="shared" si="99"/>
        <v>29.550405973196355</v>
      </c>
      <c r="BL73" s="60">
        <f t="shared" si="100"/>
        <v>88.906896965391283</v>
      </c>
      <c r="BN73">
        <f t="shared" si="101"/>
        <v>0</v>
      </c>
      <c r="BO73">
        <f t="shared" si="102"/>
        <v>0</v>
      </c>
    </row>
    <row r="74" spans="1:67" ht="14.25" x14ac:dyDescent="0.2">
      <c r="M74" s="66">
        <v>56</v>
      </c>
      <c r="N74" s="36">
        <f t="shared" si="54"/>
        <v>36.307805477010156</v>
      </c>
      <c r="O74" s="91" t="str">
        <f t="shared" si="55"/>
        <v>99.7340425531915</v>
      </c>
      <c r="P74" s="67" t="str">
        <f t="shared" si="56"/>
        <v>1+6.62543903033833i</v>
      </c>
      <c r="Q74" s="67">
        <f t="shared" si="57"/>
        <v>6.7004807547466703</v>
      </c>
      <c r="R74" s="67">
        <f t="shared" si="58"/>
        <v>1.4209936495889446</v>
      </c>
      <c r="S74" s="67" t="str">
        <f t="shared" si="59"/>
        <v>1+0.0124558253770361i</v>
      </c>
      <c r="T74" s="67">
        <f t="shared" si="60"/>
        <v>1.0000775707842984</v>
      </c>
      <c r="U74" s="67">
        <f t="shared" si="61"/>
        <v>1.2455181273248165E-2</v>
      </c>
      <c r="V74" t="str">
        <f t="shared" si="62"/>
        <v>1-0.00128664569828724i</v>
      </c>
      <c r="W74" s="67">
        <f t="shared" si="63"/>
        <v>1.000000827728234</v>
      </c>
      <c r="X74" s="67">
        <f t="shared" si="64"/>
        <v>-1.2866449882923371E-3</v>
      </c>
      <c r="Y74" t="str">
        <f t="shared" si="65"/>
        <v>0.999999687986571+0.00198881404536126i</v>
      </c>
      <c r="Z74" s="67">
        <f t="shared" si="66"/>
        <v>1.0000016656758859</v>
      </c>
      <c r="AA74" s="67">
        <f t="shared" si="67"/>
        <v>1.9888120437292797E-3</v>
      </c>
      <c r="AB74" s="92" t="str">
        <f t="shared" si="68"/>
        <v>2.35661586008671-14.6980262987579i</v>
      </c>
      <c r="AC74" s="37">
        <f t="shared" si="69"/>
        <v>23.455415640027599</v>
      </c>
      <c r="AD74" s="60">
        <f t="shared" si="70"/>
        <v>-80.890979380222149</v>
      </c>
      <c r="AE74" t="str">
        <f t="shared" si="71"/>
        <v>118.329284003155</v>
      </c>
      <c r="AF74" t="str">
        <f t="shared" si="72"/>
        <v>1+5.30035122427066i</v>
      </c>
      <c r="AG74">
        <f t="shared" si="73"/>
        <v>5.3938597590804571</v>
      </c>
      <c r="AH74">
        <f t="shared" si="74"/>
        <v>1.3843214980667311</v>
      </c>
      <c r="AI74" t="str">
        <f t="shared" si="50"/>
        <v>1+0.0124558253770361i</v>
      </c>
      <c r="AJ74">
        <f t="shared" si="75"/>
        <v>1.0000775707842984</v>
      </c>
      <c r="AK74">
        <f t="shared" si="76"/>
        <v>1.2455181273248165E-2</v>
      </c>
      <c r="AL74" t="str">
        <f t="shared" si="77"/>
        <v>1-0.000867535223247838i</v>
      </c>
      <c r="AM74">
        <f t="shared" si="78"/>
        <v>1.0000003763086109</v>
      </c>
      <c r="AN74">
        <f t="shared" si="79"/>
        <v>-8.6753500560724536E-4</v>
      </c>
      <c r="AO74" s="58" t="str">
        <f t="shared" si="80"/>
        <v>4.31703376142595-21.5105611058732i</v>
      </c>
      <c r="AP74">
        <f t="shared" si="81"/>
        <v>26.824528735641241</v>
      </c>
      <c r="AQ74" s="60">
        <f t="shared" si="82"/>
        <v>-78.651856102824894</v>
      </c>
      <c r="AR74" t="str">
        <f t="shared" si="83"/>
        <v>-1.94444444444444</v>
      </c>
      <c r="AS74" t="str">
        <f t="shared" si="51"/>
        <v>1+0.0127752055149087i</v>
      </c>
      <c r="AT74">
        <f t="shared" si="84"/>
        <v>1.000081599608726</v>
      </c>
      <c r="AU74">
        <f t="shared" si="85"/>
        <v>1.2774510586755087E-2</v>
      </c>
      <c r="AV74" t="str">
        <f t="shared" si="52"/>
        <v>1+0.0127752055149087i</v>
      </c>
      <c r="AW74">
        <f t="shared" si="86"/>
        <v>1.000081599608726</v>
      </c>
      <c r="AX74">
        <f t="shared" si="87"/>
        <v>1.2774510586755087E-2</v>
      </c>
      <c r="AY74" t="str">
        <f t="shared" si="53"/>
        <v>1-0.166546015403438i</v>
      </c>
      <c r="AZ74">
        <f t="shared" si="88"/>
        <v>1.0137739270896455</v>
      </c>
      <c r="BA74">
        <f t="shared" si="89"/>
        <v>-0.1650312847000929</v>
      </c>
      <c r="BB74" s="58" t="str">
        <f t="shared" si="90"/>
        <v>-1.93999071072192+0.348623254422059i</v>
      </c>
      <c r="BC74">
        <f t="shared" si="91"/>
        <v>5.8940243998080311</v>
      </c>
      <c r="BD74" s="60">
        <f t="shared" si="92"/>
        <v>169.8124783570965</v>
      </c>
      <c r="BE74" s="58" t="str">
        <f t="shared" si="93"/>
        <v>0.552260884545825+29.3356055761029i</v>
      </c>
      <c r="BF74" s="37">
        <f t="shared" si="94"/>
        <v>29.349440039835635</v>
      </c>
      <c r="BG74" s="60">
        <f t="shared" si="95"/>
        <v>88.921498976874361</v>
      </c>
      <c r="BH74" s="58" t="str">
        <f t="shared" si="96"/>
        <v>-0.875923577865173+43.2353070871685i</v>
      </c>
      <c r="BI74" s="37">
        <f t="shared" si="97"/>
        <v>32.718553135449277</v>
      </c>
      <c r="BJ74" s="60">
        <f t="shared" si="98"/>
        <v>91.160622254271615</v>
      </c>
      <c r="BK74">
        <f t="shared" si="99"/>
        <v>29.349440039835635</v>
      </c>
      <c r="BL74" s="60">
        <f t="shared" si="100"/>
        <v>88.921498976874361</v>
      </c>
      <c r="BN74">
        <f t="shared" si="101"/>
        <v>0</v>
      </c>
      <c r="BO74">
        <f t="shared" si="102"/>
        <v>0</v>
      </c>
    </row>
    <row r="75" spans="1:67" ht="14.25" x14ac:dyDescent="0.2">
      <c r="M75" s="66">
        <v>57</v>
      </c>
      <c r="N75" s="36">
        <f t="shared" si="54"/>
        <v>37.15352290971726</v>
      </c>
      <c r="O75" s="91" t="str">
        <f t="shared" si="55"/>
        <v>99.7340425531915</v>
      </c>
      <c r="P75" s="67" t="str">
        <f t="shared" si="56"/>
        <v>1+6.7797653305286i</v>
      </c>
      <c r="Q75" s="67">
        <f t="shared" si="57"/>
        <v>6.8531173882429295</v>
      </c>
      <c r="R75" s="67">
        <f t="shared" si="58"/>
        <v>1.4243544802218662</v>
      </c>
      <c r="S75" s="67" t="str">
        <f t="shared" si="59"/>
        <v>1+0.0127459588213938i</v>
      </c>
      <c r="T75" s="67">
        <f t="shared" si="60"/>
        <v>1.0000812264342716</v>
      </c>
      <c r="U75" s="67">
        <f t="shared" si="61"/>
        <v>1.2745268654777908E-2</v>
      </c>
      <c r="V75" t="str">
        <f t="shared" si="62"/>
        <v>1-0.00131661552660551i</v>
      </c>
      <c r="W75" s="67">
        <f t="shared" si="63"/>
        <v>1.0000008667378468</v>
      </c>
      <c r="X75" s="67">
        <f t="shared" si="64"/>
        <v>-1.3166147658323004E-3</v>
      </c>
      <c r="Y75" t="str">
        <f t="shared" si="65"/>
        <v>0.999999673281831+0.00203513947556771i</v>
      </c>
      <c r="Z75" s="67">
        <f t="shared" si="66"/>
        <v>1.0000017441767057</v>
      </c>
      <c r="AA75" s="67">
        <f t="shared" si="67"/>
        <v>2.0351373307806006E-3</v>
      </c>
      <c r="AB75" s="92" t="str">
        <f t="shared" si="68"/>
        <v>2.25889973982921-14.3778952646836i</v>
      </c>
      <c r="AC75" s="37">
        <f t="shared" si="69"/>
        <v>23.259802910125131</v>
      </c>
      <c r="AD75" s="60">
        <f t="shared" si="70"/>
        <v>-81.071291393693869</v>
      </c>
      <c r="AE75" t="str">
        <f t="shared" si="71"/>
        <v>118.329284003155</v>
      </c>
      <c r="AF75" t="str">
        <f t="shared" si="72"/>
        <v>1+5.42381226442288i</v>
      </c>
      <c r="AG75">
        <f t="shared" si="73"/>
        <v>5.5152279626234897</v>
      </c>
      <c r="AH75">
        <f t="shared" si="74"/>
        <v>1.3884716888323567</v>
      </c>
      <c r="AI75" t="str">
        <f t="shared" si="50"/>
        <v>1+0.0127459588213938i</v>
      </c>
      <c r="AJ75">
        <f t="shared" si="75"/>
        <v>1.0000812264342716</v>
      </c>
      <c r="AK75">
        <f t="shared" si="76"/>
        <v>1.2745268654777908E-2</v>
      </c>
      <c r="AL75" t="str">
        <f t="shared" si="77"/>
        <v>1-0.000887742714506232i</v>
      </c>
      <c r="AM75">
        <f t="shared" si="78"/>
        <v>1.0000003940434858</v>
      </c>
      <c r="AN75">
        <f t="shared" si="79"/>
        <v>-8.8774248130014043E-4</v>
      </c>
      <c r="AO75" s="58" t="str">
        <f t="shared" si="80"/>
        <v>4.14038579527798-21.0535010343883i</v>
      </c>
      <c r="AP75">
        <f t="shared" si="81"/>
        <v>26.631284291459778</v>
      </c>
      <c r="AQ75" s="60">
        <f t="shared" si="82"/>
        <v>-78.874181538289562</v>
      </c>
      <c r="AR75" t="str">
        <f t="shared" si="83"/>
        <v>-1.94444444444444</v>
      </c>
      <c r="AS75" t="str">
        <f t="shared" si="51"/>
        <v>1+0.0130727782783525i</v>
      </c>
      <c r="AT75">
        <f t="shared" si="84"/>
        <v>1.0000854451155237</v>
      </c>
      <c r="AU75">
        <f t="shared" si="85"/>
        <v>1.3072033652856124E-2</v>
      </c>
      <c r="AV75" t="str">
        <f t="shared" si="52"/>
        <v>1+0.0130727782783525i</v>
      </c>
      <c r="AW75">
        <f t="shared" si="86"/>
        <v>1.0000854451155237</v>
      </c>
      <c r="AX75">
        <f t="shared" si="87"/>
        <v>1.3072033652856124E-2</v>
      </c>
      <c r="AY75" t="str">
        <f t="shared" si="53"/>
        <v>1-0.16275496525412i</v>
      </c>
      <c r="AZ75">
        <f t="shared" si="88"/>
        <v>1.0131580225783487</v>
      </c>
      <c r="BA75">
        <f t="shared" si="89"/>
        <v>-0.16134030029450375</v>
      </c>
      <c r="BB75" s="58" t="str">
        <f t="shared" si="90"/>
        <v>-1.93997579153045+0.341828861382171i</v>
      </c>
      <c r="BC75">
        <f t="shared" si="91"/>
        <v>5.888712403631243</v>
      </c>
      <c r="BD75" s="60">
        <f t="shared" si="92"/>
        <v>170.00690936978995</v>
      </c>
      <c r="BE75" s="58" t="str">
        <f t="shared" si="93"/>
        <v>0.532568756635804+28.6649258726888i</v>
      </c>
      <c r="BF75" s="37">
        <f t="shared" si="94"/>
        <v>29.148515313756384</v>
      </c>
      <c r="BG75" s="60">
        <f t="shared" si="95"/>
        <v>88.935617976096125</v>
      </c>
      <c r="BH75" s="58" t="str">
        <f t="shared" si="96"/>
        <v>-0.835553923742519+42.2585856957574i</v>
      </c>
      <c r="BI75" s="37">
        <f t="shared" si="97"/>
        <v>32.519996695091024</v>
      </c>
      <c r="BJ75" s="60">
        <f t="shared" si="98"/>
        <v>91.132727831500404</v>
      </c>
      <c r="BK75">
        <f t="shared" si="99"/>
        <v>29.148515313756384</v>
      </c>
      <c r="BL75" s="60">
        <f t="shared" si="100"/>
        <v>88.935617976096125</v>
      </c>
      <c r="BN75">
        <f t="shared" si="101"/>
        <v>0</v>
      </c>
      <c r="BO75">
        <f t="shared" si="102"/>
        <v>0</v>
      </c>
    </row>
    <row r="76" spans="1:67" ht="14.25" x14ac:dyDescent="0.2">
      <c r="M76" s="66">
        <v>58</v>
      </c>
      <c r="N76" s="36">
        <f t="shared" si="54"/>
        <v>38.018939632056139</v>
      </c>
      <c r="O76" s="91" t="str">
        <f t="shared" si="55"/>
        <v>99.7340425531915</v>
      </c>
      <c r="P76" s="67" t="str">
        <f t="shared" si="56"/>
        <v>1+6.93768635203793i</v>
      </c>
      <c r="Q76" s="67">
        <f t="shared" si="57"/>
        <v>7.0093859873210977</v>
      </c>
      <c r="R76" s="67">
        <f t="shared" si="58"/>
        <v>1.4276420318355274</v>
      </c>
      <c r="S76" s="67" t="str">
        <f t="shared" si="59"/>
        <v>1+0.0130428503418313i</v>
      </c>
      <c r="T76" s="67">
        <f t="shared" si="60"/>
        <v>1.0000850543553981</v>
      </c>
      <c r="U76" s="67">
        <f t="shared" si="61"/>
        <v>1.3042110818375368E-2</v>
      </c>
      <c r="V76" t="str">
        <f t="shared" si="62"/>
        <v>1-0.00134728344190345i</v>
      </c>
      <c r="W76" s="67">
        <f t="shared" si="63"/>
        <v>1.0000009075859246</v>
      </c>
      <c r="X76" s="67">
        <f t="shared" si="64"/>
        <v>-1.3472826267203089E-3</v>
      </c>
      <c r="Y76" t="str">
        <f t="shared" si="65"/>
        <v>0.999999657884078+0.00208254396366237i</v>
      </c>
      <c r="Z76" s="67">
        <f t="shared" si="66"/>
        <v>1.0000018263771491</v>
      </c>
      <c r="AA76" s="67">
        <f t="shared" si="67"/>
        <v>2.0825416654818019E-3</v>
      </c>
      <c r="AB76" s="92" t="str">
        <f t="shared" si="68"/>
        <v>2.16539831883049-14.0641162755837i</v>
      </c>
      <c r="AC76" s="37">
        <f t="shared" si="69"/>
        <v>23.063999696282526</v>
      </c>
      <c r="AD76" s="60">
        <f t="shared" si="70"/>
        <v>-81.247119630237052</v>
      </c>
      <c r="AE76" t="str">
        <f t="shared" si="71"/>
        <v>118.329284003155</v>
      </c>
      <c r="AF76" t="str">
        <f t="shared" si="72"/>
        <v>1+5.55014908163034i</v>
      </c>
      <c r="AG76">
        <f t="shared" si="73"/>
        <v>5.6395172513542429</v>
      </c>
      <c r="AH76">
        <f t="shared" si="74"/>
        <v>1.3925335561067562</v>
      </c>
      <c r="AI76" t="str">
        <f t="shared" si="50"/>
        <v>1+0.0130428503418313i</v>
      </c>
      <c r="AJ76">
        <f t="shared" si="75"/>
        <v>1.0000850543553981</v>
      </c>
      <c r="AK76">
        <f t="shared" si="76"/>
        <v>1.3042110818375368E-2</v>
      </c>
      <c r="AL76" t="str">
        <f t="shared" si="77"/>
        <v>1-0.000908420898702521i</v>
      </c>
      <c r="AM76">
        <f t="shared" si="78"/>
        <v>1.0000004126141795</v>
      </c>
      <c r="AN76">
        <f t="shared" si="79"/>
        <v>-9.0842064881769733E-4</v>
      </c>
      <c r="AO76" s="58" t="str">
        <f t="shared" si="80"/>
        <v>3.97117655185936-20.6047635445019i</v>
      </c>
      <c r="AP76">
        <f t="shared" si="81"/>
        <v>26.437748468264765</v>
      </c>
      <c r="AQ76" s="60">
        <f t="shared" si="82"/>
        <v>-79.0910863586261</v>
      </c>
      <c r="AR76" t="str">
        <f t="shared" si="83"/>
        <v>-1.94444444444444</v>
      </c>
      <c r="AS76" t="str">
        <f t="shared" si="51"/>
        <v>1+0.0133772824018782i</v>
      </c>
      <c r="AT76">
        <f t="shared" si="84"/>
        <v>1.0000894718396247</v>
      </c>
      <c r="AU76">
        <f t="shared" si="85"/>
        <v>1.3376484525138843E-2</v>
      </c>
      <c r="AV76" t="str">
        <f t="shared" si="52"/>
        <v>1+0.0133772824018782i</v>
      </c>
      <c r="AW76">
        <f t="shared" si="86"/>
        <v>1.0000894718396247</v>
      </c>
      <c r="AX76">
        <f t="shared" si="87"/>
        <v>1.3376484525138843E-2</v>
      </c>
      <c r="AY76" t="str">
        <f t="shared" si="53"/>
        <v>1-0.159050209941696i</v>
      </c>
      <c r="AZ76">
        <f t="shared" si="88"/>
        <v>1.012569488619175</v>
      </c>
      <c r="BA76">
        <f t="shared" si="89"/>
        <v>-0.15772904286022496</v>
      </c>
      <c r="BB76" s="58" t="str">
        <f t="shared" si="90"/>
        <v>-1.93996016946509+0.335215692144183i</v>
      </c>
      <c r="BC76">
        <f t="shared" si="91"/>
        <v>5.8836304134477047</v>
      </c>
      <c r="BD76" s="60">
        <f t="shared" si="92"/>
        <v>170.19637542945853</v>
      </c>
      <c r="BE76" s="58" t="str">
        <f t="shared" si="93"/>
        <v>0.51372598215824+28.0097008895727i</v>
      </c>
      <c r="BF76" s="37">
        <f t="shared" si="94"/>
        <v>28.94763010973023</v>
      </c>
      <c r="BG76" s="60">
        <f t="shared" si="95"/>
        <v>88.94925579922149</v>
      </c>
      <c r="BH76" s="58" t="str">
        <f t="shared" si="96"/>
        <v>-0.796884263483442+41.3036212740383i</v>
      </c>
      <c r="BI76" s="37">
        <f t="shared" si="97"/>
        <v>32.321378881712469</v>
      </c>
      <c r="BJ76" s="60">
        <f t="shared" si="98"/>
        <v>91.105289070832427</v>
      </c>
      <c r="BK76">
        <f t="shared" si="99"/>
        <v>28.94763010973023</v>
      </c>
      <c r="BL76" s="60">
        <f t="shared" si="100"/>
        <v>88.94925579922149</v>
      </c>
      <c r="BN76">
        <f t="shared" si="101"/>
        <v>0</v>
      </c>
      <c r="BO76">
        <f t="shared" si="102"/>
        <v>0</v>
      </c>
    </row>
    <row r="77" spans="1:67" ht="14.25" x14ac:dyDescent="0.2">
      <c r="A77" t="str">
        <f>"Crossover Frequency = "&amp;B77</f>
        <v>Crossover Frequency = 1 kHz</v>
      </c>
      <c r="B77" t="str">
        <f>ROUND(D77,1)&amp;" kHz"</f>
        <v>1 kHz</v>
      </c>
      <c r="D77">
        <f>BO12</f>
        <v>1.0471285480509001</v>
      </c>
      <c r="M77" s="66">
        <v>59</v>
      </c>
      <c r="N77" s="36">
        <f t="shared" si="54"/>
        <v>38.904514499428053</v>
      </c>
      <c r="O77" s="91" t="str">
        <f t="shared" si="55"/>
        <v>99.7340425531915</v>
      </c>
      <c r="P77" s="67" t="str">
        <f t="shared" si="56"/>
        <v>1+7.09928582668224i</v>
      </c>
      <c r="Q77" s="67">
        <f t="shared" si="57"/>
        <v>7.1693695154407644</v>
      </c>
      <c r="R77" s="67">
        <f t="shared" si="58"/>
        <v>1.4308577631306323</v>
      </c>
      <c r="S77" s="67" t="str">
        <f t="shared" si="59"/>
        <v>1+0.0133466573541626i</v>
      </c>
      <c r="T77" s="67">
        <f t="shared" si="60"/>
        <v>1.0000890626651855</v>
      </c>
      <c r="U77" s="67">
        <f t="shared" si="61"/>
        <v>1.3345864944314154E-2</v>
      </c>
      <c r="V77" t="str">
        <f t="shared" si="62"/>
        <v>1-0.0013786657047157i</v>
      </c>
      <c r="W77" s="67">
        <f t="shared" si="63"/>
        <v>1.0000009503591112</v>
      </c>
      <c r="X77" s="67">
        <f t="shared" si="64"/>
        <v>-1.3786648312312719E-3</v>
      </c>
      <c r="Y77" t="str">
        <f t="shared" si="65"/>
        <v>0.999999641760651+0.00213105264413229i</v>
      </c>
      <c r="Z77" s="67">
        <f t="shared" si="66"/>
        <v>1.0000019124515724</v>
      </c>
      <c r="AA77" s="67">
        <f t="shared" si="67"/>
        <v>2.1310501815876969E-3</v>
      </c>
      <c r="AB77" s="92" t="str">
        <f t="shared" si="68"/>
        <v>2.07593754615188-13.7566043960558i</v>
      </c>
      <c r="AC77" s="37">
        <f t="shared" si="69"/>
        <v>22.868014355974211</v>
      </c>
      <c r="AD77" s="60">
        <f t="shared" si="70"/>
        <v>-81.418541033182336</v>
      </c>
      <c r="AE77" t="str">
        <f t="shared" si="71"/>
        <v>118.329284003155</v>
      </c>
      <c r="AF77" t="str">
        <f t="shared" si="72"/>
        <v>1+5.67942866134579i</v>
      </c>
      <c r="AG77">
        <f t="shared" si="73"/>
        <v>5.7667937295620382</v>
      </c>
      <c r="AH77">
        <f t="shared" si="74"/>
        <v>1.3965087171556092</v>
      </c>
      <c r="AI77" t="str">
        <f t="shared" si="50"/>
        <v>1+0.0133466573541626i</v>
      </c>
      <c r="AJ77">
        <f t="shared" si="75"/>
        <v>1.0000890626651855</v>
      </c>
      <c r="AK77">
        <f t="shared" si="76"/>
        <v>1.3345864944314154E-2</v>
      </c>
      <c r="AL77" t="str">
        <f t="shared" si="77"/>
        <v>1-0.000929580739683675i</v>
      </c>
      <c r="AM77">
        <f t="shared" si="78"/>
        <v>1.0000004320600824</v>
      </c>
      <c r="AN77">
        <f t="shared" si="79"/>
        <v>-9.2958047192726869E-4</v>
      </c>
      <c r="AO77" s="58" t="str">
        <f t="shared" si="80"/>
        <v>3.80911418234054-20.16428847632i</v>
      </c>
      <c r="AP77">
        <f t="shared" si="81"/>
        <v>26.243933688806507</v>
      </c>
      <c r="AQ77" s="60">
        <f t="shared" si="82"/>
        <v>-79.302654848743657</v>
      </c>
      <c r="AR77" t="str">
        <f t="shared" si="83"/>
        <v>-1.94444444444444</v>
      </c>
      <c r="AS77" t="str">
        <f t="shared" si="51"/>
        <v>1+0.0136888793376026i</v>
      </c>
      <c r="AT77">
        <f t="shared" si="84"/>
        <v>1.0000936883200091</v>
      </c>
      <c r="AU77">
        <f t="shared" si="85"/>
        <v>1.3688024401598716E-2</v>
      </c>
      <c r="AV77" t="str">
        <f t="shared" si="52"/>
        <v>1+0.0136888793376026i</v>
      </c>
      <c r="AW77">
        <f t="shared" si="86"/>
        <v>1.0000936883200091</v>
      </c>
      <c r="AX77">
        <f t="shared" si="87"/>
        <v>1.3688024401598716E-2</v>
      </c>
      <c r="AY77" t="str">
        <f t="shared" si="53"/>
        <v>1-0.155429785155861i</v>
      </c>
      <c r="AZ77">
        <f t="shared" si="88"/>
        <v>1.0120071235488401</v>
      </c>
      <c r="BA77">
        <f t="shared" si="89"/>
        <v>-0.15419597461309886</v>
      </c>
      <c r="BB77" s="58" t="str">
        <f t="shared" si="90"/>
        <v>-1.93994381142413+0.328780239003821i</v>
      </c>
      <c r="BC77">
        <f t="shared" si="91"/>
        <v>5.8787684471806498</v>
      </c>
      <c r="BD77" s="60">
        <f t="shared" si="92"/>
        <v>170.38095540867937</v>
      </c>
      <c r="BE77" s="58" t="str">
        <f t="shared" si="93"/>
        <v>0.495697485655906+27.3695668069193i</v>
      </c>
      <c r="BF77" s="37">
        <f t="shared" si="94"/>
        <v>28.746782803154872</v>
      </c>
      <c r="BG77" s="60">
        <f t="shared" si="95"/>
        <v>88.962414375497033</v>
      </c>
      <c r="BH77" s="58" t="str">
        <f t="shared" si="96"/>
        <v>-0.759847900452934+40.3699481126706i</v>
      </c>
      <c r="BI77" s="37">
        <f t="shared" si="97"/>
        <v>32.122702135987147</v>
      </c>
      <c r="BJ77" s="60">
        <f t="shared" si="98"/>
        <v>91.078300559935698</v>
      </c>
      <c r="BK77">
        <f t="shared" si="99"/>
        <v>28.746782803154872</v>
      </c>
      <c r="BL77" s="60">
        <f t="shared" si="100"/>
        <v>88.962414375497033</v>
      </c>
      <c r="BN77">
        <f t="shared" si="101"/>
        <v>0</v>
      </c>
      <c r="BO77">
        <f t="shared" si="102"/>
        <v>0</v>
      </c>
    </row>
    <row r="78" spans="1:67" ht="14.25" x14ac:dyDescent="0.2">
      <c r="A78" t="str">
        <f>"Phase Margin = "&amp;B78</f>
        <v>Phase Margin = 84°</v>
      </c>
      <c r="B78" t="str">
        <f>ROUND(D78,0)&amp;"°"</f>
        <v>84°</v>
      </c>
      <c r="D78" s="36">
        <f>BO14</f>
        <v>84.094186915293932</v>
      </c>
      <c r="M78" s="66">
        <v>60</v>
      </c>
      <c r="N78" s="36">
        <f t="shared" si="54"/>
        <v>39.810717055349755</v>
      </c>
      <c r="O78" s="91" t="str">
        <f t="shared" si="55"/>
        <v>99.7340425531915</v>
      </c>
      <c r="P78" s="67" t="str">
        <f t="shared" si="56"/>
        <v>1+7.264649436642i</v>
      </c>
      <c r="Q78" s="67">
        <f t="shared" si="57"/>
        <v>7.3331528988084607</v>
      </c>
      <c r="R78" s="67">
        <f t="shared" si="58"/>
        <v>1.4340031129622504</v>
      </c>
      <c r="S78" s="67" t="str">
        <f t="shared" si="59"/>
        <v>1+0.013657540940887i</v>
      </c>
      <c r="T78" s="67">
        <f t="shared" si="60"/>
        <v>1.0000932598635748</v>
      </c>
      <c r="U78" s="67">
        <f t="shared" si="61"/>
        <v>1.3656691862712983E-2</v>
      </c>
      <c r="V78" t="str">
        <f t="shared" si="62"/>
        <v>1-0.00141077895433338i</v>
      </c>
      <c r="W78" s="67">
        <f t="shared" si="63"/>
        <v>1.0000009951481337</v>
      </c>
      <c r="X78" s="67">
        <f t="shared" si="64"/>
        <v>-1.4107780183780028E-3</v>
      </c>
      <c r="Y78" t="str">
        <f t="shared" si="65"/>
        <v>0.999999624877351+0.00218069123692194i</v>
      </c>
      <c r="Z78" s="67">
        <f t="shared" si="66"/>
        <v>1.0000020025825516</v>
      </c>
      <c r="AA78" s="67">
        <f t="shared" si="67"/>
        <v>2.1806885982581506E-3</v>
      </c>
      <c r="AB78" s="92" t="str">
        <f t="shared" si="68"/>
        <v>1.99034988868321-13.4552729386434i</v>
      </c>
      <c r="AC78" s="37">
        <f t="shared" si="69"/>
        <v>22.671854907018872</v>
      </c>
      <c r="AD78" s="60">
        <f t="shared" si="70"/>
        <v>-81.585631254910055</v>
      </c>
      <c r="AE78" t="str">
        <f t="shared" si="71"/>
        <v>118.329284003155</v>
      </c>
      <c r="AF78" t="str">
        <f t="shared" si="72"/>
        <v>1+5.8117195493136i</v>
      </c>
      <c r="AG78">
        <f t="shared" si="73"/>
        <v>5.8971250724292661</v>
      </c>
      <c r="AH78">
        <f t="shared" si="74"/>
        <v>1.4003987768920096</v>
      </c>
      <c r="AI78" t="str">
        <f t="shared" si="50"/>
        <v>1+0.013657540940887i</v>
      </c>
      <c r="AJ78">
        <f t="shared" si="75"/>
        <v>1.0000932598635748</v>
      </c>
      <c r="AK78">
        <f t="shared" si="76"/>
        <v>1.3656691862712983E-2</v>
      </c>
      <c r="AL78" t="str">
        <f t="shared" si="77"/>
        <v>1-0.000951233456677462i</v>
      </c>
      <c r="AM78">
        <f t="shared" si="78"/>
        <v>1.0000004524224422</v>
      </c>
      <c r="AN78">
        <f t="shared" si="79"/>
        <v>-9.5123316977131051E-4</v>
      </c>
      <c r="AO78" s="58" t="str">
        <f t="shared" si="80"/>
        <v>3.653916451981-19.7320094086061i</v>
      </c>
      <c r="AP78">
        <f t="shared" si="81"/>
        <v>26.049851892970835</v>
      </c>
      <c r="AQ78" s="60">
        <f t="shared" si="82"/>
        <v>-79.508970391311379</v>
      </c>
      <c r="AR78" t="str">
        <f t="shared" si="83"/>
        <v>-1.94444444444444</v>
      </c>
      <c r="AS78" t="str">
        <f t="shared" si="51"/>
        <v>1+0.0140077342983456i</v>
      </c>
      <c r="AT78">
        <f t="shared" si="84"/>
        <v>1.0000981034979384</v>
      </c>
      <c r="AU78">
        <f t="shared" si="85"/>
        <v>1.4006818222765968E-2</v>
      </c>
      <c r="AV78" t="str">
        <f t="shared" si="52"/>
        <v>1+0.0140077342983456i</v>
      </c>
      <c r="AW78">
        <f t="shared" si="86"/>
        <v>1.0000981034979384</v>
      </c>
      <c r="AX78">
        <f t="shared" si="87"/>
        <v>1.4006818222765968E-2</v>
      </c>
      <c r="AY78" t="str">
        <f t="shared" si="53"/>
        <v>1-0.151891771299473i</v>
      </c>
      <c r="AZ78">
        <f t="shared" si="88"/>
        <v>1.0114697771997399</v>
      </c>
      <c r="BA78">
        <f t="shared" si="89"/>
        <v>-0.15073957526843851</v>
      </c>
      <c r="BB78" s="58" t="str">
        <f t="shared" si="90"/>
        <v>-1.93992668274812+0.322519088390293i</v>
      </c>
      <c r="BC78">
        <f t="shared" si="91"/>
        <v>5.8741169214941999</v>
      </c>
      <c r="BD78" s="60">
        <f t="shared" si="92"/>
        <v>170.56072696295243</v>
      </c>
      <c r="BE78" s="58" t="str">
        <f t="shared" si="93"/>
        <v>0.478449505152538+26.7441688290089i</v>
      </c>
      <c r="BF78" s="37">
        <f t="shared" si="94"/>
        <v>28.545971828513078</v>
      </c>
      <c r="BG78" s="60">
        <f t="shared" si="95"/>
        <v>88.97509570804236</v>
      </c>
      <c r="BH78" s="58" t="str">
        <f t="shared" si="96"/>
        <v>-0.724380335157958+39.4571093591391i</v>
      </c>
      <c r="BI78" s="37">
        <f t="shared" si="97"/>
        <v>31.923968814465027</v>
      </c>
      <c r="BJ78" s="60">
        <f t="shared" si="98"/>
        <v>91.051756571641036</v>
      </c>
      <c r="BK78">
        <f t="shared" si="99"/>
        <v>28.545971828513078</v>
      </c>
      <c r="BL78" s="60">
        <f t="shared" si="100"/>
        <v>88.97509570804236</v>
      </c>
      <c r="BN78">
        <f t="shared" si="101"/>
        <v>0</v>
      </c>
      <c r="BO78">
        <f t="shared" si="102"/>
        <v>0</v>
      </c>
    </row>
    <row r="79" spans="1:67" ht="14.25" x14ac:dyDescent="0.2">
      <c r="M79" s="66">
        <v>61</v>
      </c>
      <c r="N79" s="36">
        <f t="shared" si="54"/>
        <v>40.738027780411279</v>
      </c>
      <c r="O79" s="91" t="str">
        <f t="shared" si="55"/>
        <v>99.7340425531915</v>
      </c>
      <c r="P79" s="67" t="str">
        <f t="shared" si="56"/>
        <v>1+7.4338648598921i</v>
      </c>
      <c r="Q79" s="67">
        <f t="shared" si="57"/>
        <v>7.5008230718460878</v>
      </c>
      <c r="R79" s="67">
        <f t="shared" si="58"/>
        <v>1.4370794999645622</v>
      </c>
      <c r="S79" s="67" t="str">
        <f t="shared" si="59"/>
        <v>1+0.0139756659365971i</v>
      </c>
      <c r="T79" s="67">
        <f t="shared" si="60"/>
        <v>1.0000976548509508</v>
      </c>
      <c r="U79" s="67">
        <f t="shared" si="61"/>
        <v>1.3974756137739963E-2</v>
      </c>
      <c r="V79" t="str">
        <f t="shared" si="62"/>
        <v>1-0.00144364021762652i</v>
      </c>
      <c r="W79" s="67">
        <f t="shared" si="63"/>
        <v>1.0000010420479961</v>
      </c>
      <c r="X79" s="67">
        <f t="shared" si="64"/>
        <v>-1.4436392147323212E-3</v>
      </c>
      <c r="Y79" t="str">
        <f t="shared" si="65"/>
        <v>0.999999607198365+0.00223148606107027i</v>
      </c>
      <c r="Z79" s="67">
        <f t="shared" si="66"/>
        <v>1.000002096961264</v>
      </c>
      <c r="AA79" s="67">
        <f t="shared" si="67"/>
        <v>2.2314832336913968E-3</v>
      </c>
      <c r="AB79" s="92" t="str">
        <f t="shared" si="68"/>
        <v>1.90847414600545-13.1600337190694i</v>
      </c>
      <c r="AC79" s="37">
        <f t="shared" si="69"/>
        <v>22.475529040636864</v>
      </c>
      <c r="AD79" s="60">
        <f t="shared" si="70"/>
        <v>-81.748464631811558</v>
      </c>
      <c r="AE79" t="str">
        <f t="shared" si="71"/>
        <v>118.329284003155</v>
      </c>
      <c r="AF79" t="str">
        <f t="shared" si="72"/>
        <v>1+5.94709188791368i</v>
      </c>
      <c r="AG79">
        <f t="shared" si="73"/>
        <v>6.0305805627061062</v>
      </c>
      <c r="AH79">
        <f t="shared" si="74"/>
        <v>1.4042053267095858</v>
      </c>
      <c r="AI79" t="str">
        <f t="shared" si="50"/>
        <v>1+0.0139756659365971i</v>
      </c>
      <c r="AJ79">
        <f t="shared" si="75"/>
        <v>1.0000976548509508</v>
      </c>
      <c r="AK79">
        <f t="shared" si="76"/>
        <v>1.3974756137739963E-2</v>
      </c>
      <c r="AL79" t="str">
        <f t="shared" si="77"/>
        <v>1-0.000973390530241046i</v>
      </c>
      <c r="AM79">
        <f t="shared" si="78"/>
        <v>1.0000004737444499</v>
      </c>
      <c r="AN79">
        <f t="shared" si="79"/>
        <v>-9.733902228155738E-4</v>
      </c>
      <c r="AO79" s="58" t="str">
        <f t="shared" si="80"/>
        <v>3.50531058570666-19.3078542096281i</v>
      </c>
      <c r="AP79">
        <f t="shared" si="81"/>
        <v>25.855514554092625</v>
      </c>
      <c r="AQ79" s="60">
        <f t="shared" si="82"/>
        <v>-79.710115395417745</v>
      </c>
      <c r="AR79" t="str">
        <f t="shared" si="83"/>
        <v>-1.94444444444444</v>
      </c>
      <c r="AS79" t="str">
        <f t="shared" si="51"/>
        <v>1+0.0143340163452278i</v>
      </c>
      <c r="AT79">
        <f t="shared" si="84"/>
        <v>1.0001027267359015</v>
      </c>
      <c r="AU79">
        <f t="shared" si="85"/>
        <v>1.4333034758004555E-2</v>
      </c>
      <c r="AV79" t="str">
        <f t="shared" si="52"/>
        <v>1+0.0143340163452278i</v>
      </c>
      <c r="AW79">
        <f t="shared" si="86"/>
        <v>1.0001027267359015</v>
      </c>
      <c r="AX79">
        <f t="shared" si="87"/>
        <v>1.4333034758004555E-2</v>
      </c>
      <c r="AY79" t="str">
        <f t="shared" si="53"/>
        <v>1-0.148434292470752i</v>
      </c>
      <c r="AZ79">
        <f t="shared" si="88"/>
        <v>1.0109563488011204</v>
      </c>
      <c r="BA79">
        <f t="shared" si="89"/>
        <v>-0.14735834270801976</v>
      </c>
      <c r="BB79" s="58" t="str">
        <f t="shared" si="90"/>
        <v>-1.93990874714668+0.316428919049646i</v>
      </c>
      <c r="BC79">
        <f t="shared" si="91"/>
        <v>5.8696666371696713</v>
      </c>
      <c r="BD79" s="60">
        <f t="shared" si="92"/>
        <v>170.7357664875401</v>
      </c>
      <c r="BE79" s="58" t="str">
        <f t="shared" si="93"/>
        <v>0.46194955484276+26.1331609354227i</v>
      </c>
      <c r="BF79" s="37">
        <f t="shared" si="94"/>
        <v>28.345195677806537</v>
      </c>
      <c r="BG79" s="60">
        <f t="shared" si="95"/>
        <v>88.987301855728546</v>
      </c>
      <c r="BH79" s="58" t="str">
        <f t="shared" si="96"/>
        <v>-0.690419229957426+38.5646569094588i</v>
      </c>
      <c r="BI79" s="37">
        <f t="shared" si="97"/>
        <v>31.725181191262291</v>
      </c>
      <c r="BJ79" s="60">
        <f t="shared" si="98"/>
        <v>91.025651092122359</v>
      </c>
      <c r="BK79">
        <f t="shared" si="99"/>
        <v>28.345195677806537</v>
      </c>
      <c r="BL79" s="60">
        <f t="shared" si="100"/>
        <v>88.987301855728546</v>
      </c>
      <c r="BN79">
        <f t="shared" si="101"/>
        <v>0</v>
      </c>
      <c r="BO79">
        <f t="shared" si="102"/>
        <v>0</v>
      </c>
    </row>
    <row r="80" spans="1:67" ht="14.25" x14ac:dyDescent="0.2">
      <c r="M80" s="66">
        <v>62</v>
      </c>
      <c r="N80" s="36">
        <f t="shared" si="54"/>
        <v>41.686938347033561</v>
      </c>
      <c r="O80" s="91" t="str">
        <f t="shared" si="55"/>
        <v>99.7340425531915</v>
      </c>
      <c r="P80" s="67" t="str">
        <f t="shared" si="56"/>
        <v>1+7.60702181668975i</v>
      </c>
      <c r="Q80" s="67">
        <f t="shared" si="57"/>
        <v>7.672469023697249</v>
      </c>
      <c r="R80" s="67">
        <f t="shared" si="58"/>
        <v>1.4400883222326168</v>
      </c>
      <c r="S80" s="67" t="str">
        <f t="shared" si="59"/>
        <v>1+0.0143012010153767i</v>
      </c>
      <c r="T80" s="67">
        <f t="shared" si="60"/>
        <v>1.0001022569469995</v>
      </c>
      <c r="U80" s="67">
        <f t="shared" si="61"/>
        <v>1.4300226153720744E-2</v>
      </c>
      <c r="V80" t="str">
        <f t="shared" si="62"/>
        <v>1-0.00147726691807188i</v>
      </c>
      <c r="W80" s="67">
        <f t="shared" si="63"/>
        <v>1.0000010911581783</v>
      </c>
      <c r="X80" s="67">
        <f t="shared" si="64"/>
        <v>-1.4772658434514482E-3</v>
      </c>
      <c r="Y80" t="str">
        <f t="shared" si="65"/>
        <v>0.999999588686194+0.00228346404866539i</v>
      </c>
      <c r="Z80" s="67">
        <f t="shared" si="66"/>
        <v>1.0000021957878986</v>
      </c>
      <c r="AA80" s="67">
        <f t="shared" si="67"/>
        <v>2.2834610190747011E-3</v>
      </c>
      <c r="AB80" s="92" t="str">
        <f t="shared" si="68"/>
        <v>1.83015526499705-12.8707972944151i</v>
      </c>
      <c r="AC80" s="37">
        <f t="shared" si="69"/>
        <v>22.279044134142584</v>
      </c>
      <c r="AD80" s="60">
        <f t="shared" si="70"/>
        <v>-81.907114162438077</v>
      </c>
      <c r="AE80" t="str">
        <f t="shared" si="71"/>
        <v>118.329284003155</v>
      </c>
      <c r="AF80" t="str">
        <f t="shared" si="72"/>
        <v>1+6.0856174533518i</v>
      </c>
      <c r="AG80">
        <f t="shared" si="73"/>
        <v>6.1672311281919736</v>
      </c>
      <c r="AH80">
        <f t="shared" si="74"/>
        <v>1.4079299434201127</v>
      </c>
      <c r="AI80" t="str">
        <f t="shared" si="50"/>
        <v>1+0.0143012010153767i</v>
      </c>
      <c r="AJ80">
        <f t="shared" si="75"/>
        <v>1.0001022569469995</v>
      </c>
      <c r="AK80">
        <f t="shared" si="76"/>
        <v>1.4300226153720744E-2</v>
      </c>
      <c r="AL80" t="str">
        <f t="shared" si="77"/>
        <v>1-0.000996063708348112i</v>
      </c>
      <c r="AM80">
        <f t="shared" si="78"/>
        <v>1.0000004960713325</v>
      </c>
      <c r="AN80">
        <f t="shared" si="79"/>
        <v>-9.9606337893579241E-4</v>
      </c>
      <c r="AO80" s="58" t="str">
        <f t="shared" si="80"/>
        <v>3.36303309994797-18.8917455581388i</v>
      </c>
      <c r="AP80">
        <f t="shared" si="81"/>
        <v>25.660932695003382</v>
      </c>
      <c r="AQ80" s="60">
        <f t="shared" si="82"/>
        <v>-79.906171231114996</v>
      </c>
      <c r="AR80" t="str">
        <f t="shared" si="83"/>
        <v>-1.94444444444444</v>
      </c>
      <c r="AS80" t="str">
        <f t="shared" si="51"/>
        <v>1+0.0146678984773094i</v>
      </c>
      <c r="AT80">
        <f t="shared" si="84"/>
        <v>1.0001075678374505</v>
      </c>
      <c r="AU80">
        <f t="shared" si="85"/>
        <v>1.4666846693759663E-2</v>
      </c>
      <c r="AV80" t="str">
        <f t="shared" si="52"/>
        <v>1+0.0146678984773094i</v>
      </c>
      <c r="AW80">
        <f t="shared" si="86"/>
        <v>1.0001075678374505</v>
      </c>
      <c r="AX80">
        <f t="shared" si="87"/>
        <v>1.4666846693759663E-2</v>
      </c>
      <c r="AY80" t="str">
        <f t="shared" si="53"/>
        <v>1-0.145055515468659i</v>
      </c>
      <c r="AZ80">
        <f t="shared" si="88"/>
        <v>1.0104657849565606</v>
      </c>
      <c r="BA80">
        <f t="shared" si="89"/>
        <v>-0.1440507935714074</v>
      </c>
      <c r="BB80" s="58" t="str">
        <f t="shared" si="90"/>
        <v>-1.93988996662184+0.310506500276619i</v>
      </c>
      <c r="BC80">
        <f t="shared" si="91"/>
        <v>5.8654087648290503</v>
      </c>
      <c r="BD80" s="60">
        <f t="shared" si="92"/>
        <v>170.90614907853029</v>
      </c>
      <c r="BE80" s="58" t="str">
        <f t="shared" si="93"/>
        <v>0.446166387730697+25.5362056401564i</v>
      </c>
      <c r="BF80" s="37">
        <f t="shared" si="94"/>
        <v>28.144452898971618</v>
      </c>
      <c r="BG80" s="60">
        <f t="shared" si="95"/>
        <v>88.999034916092214</v>
      </c>
      <c r="BH80" s="58" t="str">
        <f t="shared" si="96"/>
        <v>-0.65790437063217+37.6921512983854i</v>
      </c>
      <c r="BI80" s="37">
        <f t="shared" si="97"/>
        <v>31.52634145983242</v>
      </c>
      <c r="BJ80" s="60">
        <f t="shared" si="98"/>
        <v>90.999977847415266</v>
      </c>
      <c r="BK80">
        <f t="shared" si="99"/>
        <v>28.144452898971618</v>
      </c>
      <c r="BL80" s="60">
        <f t="shared" si="100"/>
        <v>88.999034916092214</v>
      </c>
      <c r="BN80">
        <f t="shared" si="101"/>
        <v>0</v>
      </c>
      <c r="BO80">
        <f t="shared" si="102"/>
        <v>0</v>
      </c>
    </row>
    <row r="81" spans="2:67" ht="14.25" x14ac:dyDescent="0.2">
      <c r="M81" s="66">
        <v>63</v>
      </c>
      <c r="N81" s="36">
        <f t="shared" si="54"/>
        <v>42.657951880159267</v>
      </c>
      <c r="O81" s="91" t="str">
        <f t="shared" si="55"/>
        <v>99.7340425531915</v>
      </c>
      <c r="P81" s="67" t="str">
        <f t="shared" si="56"/>
        <v>1+7.78421211714543i</v>
      </c>
      <c r="Q81" s="67">
        <f t="shared" si="57"/>
        <v>7.8481818457980292</v>
      </c>
      <c r="R81" s="67">
        <f t="shared" si="58"/>
        <v>1.4430309570572699</v>
      </c>
      <c r="S81" s="67" t="str">
        <f t="shared" si="59"/>
        <v>1+0.0146343187802334i</v>
      </c>
      <c r="T81" s="67">
        <f t="shared" si="60"/>
        <v>1.0001070759104553</v>
      </c>
      <c r="U81" s="67">
        <f t="shared" si="61"/>
        <v>1.4633274203189245E-2</v>
      </c>
      <c r="V81" t="str">
        <f t="shared" si="62"/>
        <v>1-0.00151167688499114i</v>
      </c>
      <c r="W81" s="67">
        <f t="shared" si="63"/>
        <v>1.0000011425828494</v>
      </c>
      <c r="X81" s="67">
        <f t="shared" si="64"/>
        <v>-1.5116757335146725E-3</v>
      </c>
      <c r="Y81" t="str">
        <f t="shared" si="65"/>
        <v>0.999999569301572+0.00233665275912434i</v>
      </c>
      <c r="Z81" s="67">
        <f t="shared" si="66"/>
        <v>1.0000022992720798</v>
      </c>
      <c r="AA81" s="67">
        <f t="shared" si="67"/>
        <v>2.3366495128598276E-3</v>
      </c>
      <c r="AB81" s="92" t="str">
        <f t="shared" si="68"/>
        <v>1.75524415483766-12.5874731850727i</v>
      </c>
      <c r="AC81" s="37">
        <f t="shared" si="69"/>
        <v>22.082407263272547</v>
      </c>
      <c r="AD81" s="60">
        <f t="shared" si="70"/>
        <v>-82.061651488615937</v>
      </c>
      <c r="AE81" t="str">
        <f t="shared" si="71"/>
        <v>118.329284003155</v>
      </c>
      <c r="AF81" t="str">
        <f t="shared" si="72"/>
        <v>1+6.22736969371634i</v>
      </c>
      <c r="AG81">
        <f t="shared" si="73"/>
        <v>6.307149380046166</v>
      </c>
      <c r="AH81">
        <f t="shared" si="74"/>
        <v>1.4115741882898916</v>
      </c>
      <c r="AI81" t="str">
        <f t="shared" si="50"/>
        <v>1+0.0146343187802334i</v>
      </c>
      <c r="AJ81">
        <f t="shared" si="75"/>
        <v>1.0001070759104553</v>
      </c>
      <c r="AK81">
        <f t="shared" si="76"/>
        <v>1.4633274203189245E-2</v>
      </c>
      <c r="AL81" t="str">
        <f t="shared" si="77"/>
        <v>1-0.0010192650126178i</v>
      </c>
      <c r="AM81">
        <f t="shared" si="78"/>
        <v>1.000000519450448</v>
      </c>
      <c r="AN81">
        <f t="shared" si="79"/>
        <v>-1.01926465964615E-3</v>
      </c>
      <c r="AO81" s="58" t="str">
        <f t="shared" si="80"/>
        <v>3.22682962273082-18.4836014353936i</v>
      </c>
      <c r="AP81">
        <f t="shared" si="81"/>
        <v>25.466116903791296</v>
      </c>
      <c r="AQ81" s="60">
        <f t="shared" si="82"/>
        <v>-80.09721816951992</v>
      </c>
      <c r="AR81" t="str">
        <f t="shared" si="83"/>
        <v>-1.94444444444444</v>
      </c>
      <c r="AS81" t="str">
        <f t="shared" si="51"/>
        <v>1+0.0150095577233163i</v>
      </c>
      <c r="AT81">
        <f t="shared" si="84"/>
        <v>1.0001126370679703</v>
      </c>
      <c r="AU81">
        <f t="shared" si="85"/>
        <v>1.5008430723792977E-2</v>
      </c>
      <c r="AV81" t="str">
        <f t="shared" si="52"/>
        <v>1+0.0150095577233163i</v>
      </c>
      <c r="AW81">
        <f t="shared" si="86"/>
        <v>1.0001126370679703</v>
      </c>
      <c r="AX81">
        <f t="shared" si="87"/>
        <v>1.5008430723792977E-2</v>
      </c>
      <c r="AY81" t="str">
        <f t="shared" si="53"/>
        <v>1-0.141753648820905i</v>
      </c>
      <c r="AZ81">
        <f t="shared" si="88"/>
        <v>1.0099970776957923</v>
      </c>
      <c r="BA81">
        <f t="shared" si="89"/>
        <v>-0.14081546377628418</v>
      </c>
      <c r="BB81" s="58" t="str">
        <f t="shared" si="90"/>
        <v>-1.93987030138787+0.304748690193965i</v>
      </c>
      <c r="BC81">
        <f t="shared" si="91"/>
        <v>5.8613348310127371</v>
      </c>
      <c r="BD81" s="60">
        <f t="shared" si="92"/>
        <v>171.07194849785378</v>
      </c>
      <c r="BE81" s="58" t="str">
        <f t="shared" si="93"/>
        <v>0.431069958348334+24.9529737583961i</v>
      </c>
      <c r="BF81" s="37">
        <f t="shared" si="94"/>
        <v>27.943742094285287</v>
      </c>
      <c r="BG81" s="60">
        <f t="shared" si="95"/>
        <v>89.010297009237846</v>
      </c>
      <c r="BH81" s="58" t="str">
        <f t="shared" si="96"/>
        <v>-0.626777625270652+36.8391615882165i</v>
      </c>
      <c r="BI81" s="37">
        <f t="shared" si="97"/>
        <v>31.327451734804018</v>
      </c>
      <c r="BJ81" s="60">
        <f t="shared" si="98"/>
        <v>90.974730328333862</v>
      </c>
      <c r="BK81">
        <f t="shared" si="99"/>
        <v>27.943742094285287</v>
      </c>
      <c r="BL81" s="60">
        <f t="shared" si="100"/>
        <v>89.010297009237846</v>
      </c>
      <c r="BN81">
        <f t="shared" si="101"/>
        <v>0</v>
      </c>
      <c r="BO81">
        <f t="shared" si="102"/>
        <v>0</v>
      </c>
    </row>
    <row r="82" spans="2:67" ht="14.25" x14ac:dyDescent="0.2">
      <c r="M82" s="66">
        <v>64</v>
      </c>
      <c r="N82" s="36">
        <f t="shared" si="54"/>
        <v>43.651583224016633</v>
      </c>
      <c r="O82" s="91" t="str">
        <f t="shared" si="55"/>
        <v>99.7340425531915</v>
      </c>
      <c r="P82" s="67" t="str">
        <f t="shared" si="56"/>
        <v>1+7.96552970990183i</v>
      </c>
      <c r="Q82" s="67">
        <f t="shared" si="57"/>
        <v>8.0280547805386036</v>
      </c>
      <c r="R82" s="67">
        <f t="shared" si="58"/>
        <v>1.4459087607096328</v>
      </c>
      <c r="S82" s="67" t="str">
        <f t="shared" si="59"/>
        <v>1+0.0149751958546154i</v>
      </c>
      <c r="T82" s="67">
        <f t="shared" si="60"/>
        <v>1.0001121219597751</v>
      </c>
      <c r="U82" s="67">
        <f t="shared" si="61"/>
        <v>1.4974076576923826E-2</v>
      </c>
      <c r="V82" t="str">
        <f t="shared" si="62"/>
        <v>1-0.00154688836300423i</v>
      </c>
      <c r="W82" s="67">
        <f t="shared" si="63"/>
        <v>1.0000011964310882</v>
      </c>
      <c r="X82" s="67">
        <f t="shared" si="64"/>
        <v>-1.5468871291750451E-3</v>
      </c>
      <c r="Y82" t="str">
        <f t="shared" si="65"/>
        <v>0.99999954900338+0.00239108039380542i</v>
      </c>
      <c r="Z82" s="67">
        <f t="shared" si="66"/>
        <v>1.0000024076333081</v>
      </c>
      <c r="AA82" s="67">
        <f t="shared" si="67"/>
        <v>2.3910769153707742E-3</v>
      </c>
      <c r="AB82" s="92" t="str">
        <f t="shared" si="68"/>
        <v>1.68359750299073-12.3099700812805i</v>
      </c>
      <c r="AC82" s="37">
        <f t="shared" si="69"/>
        <v>21.885625214150753</v>
      </c>
      <c r="AD82" s="60">
        <f t="shared" si="70"/>
        <v>-82.212146879316535</v>
      </c>
      <c r="AE82" t="str">
        <f t="shared" si="71"/>
        <v>118.329284003155</v>
      </c>
      <c r="AF82" t="str">
        <f t="shared" si="72"/>
        <v>1+6.37242376792147i</v>
      </c>
      <c r="AG82">
        <f t="shared" si="73"/>
        <v>6.450409651950058</v>
      </c>
      <c r="AH82">
        <f t="shared" si="74"/>
        <v>1.4151396061693324</v>
      </c>
      <c r="AI82" t="str">
        <f t="shared" si="50"/>
        <v>1+0.0149751958546154i</v>
      </c>
      <c r="AJ82">
        <f t="shared" si="75"/>
        <v>1.0001121219597751</v>
      </c>
      <c r="AK82">
        <f t="shared" si="76"/>
        <v>1.4974076576923826E-2</v>
      </c>
      <c r="AL82" t="str">
        <f t="shared" si="77"/>
        <v>1-0.00104300674468875i</v>
      </c>
      <c r="AM82">
        <f t="shared" si="78"/>
        <v>1.0000005439313868</v>
      </c>
      <c r="AN82">
        <f t="shared" si="79"/>
        <v>-1.0430063664728241E-3</v>
      </c>
      <c r="AO82" s="58" t="str">
        <f t="shared" si="80"/>
        <v>3.09645470385378-18.0833355891559i</v>
      </c>
      <c r="AP82">
        <f t="shared" si="81"/>
        <v>25.271077349256249</v>
      </c>
      <c r="AQ82" s="60">
        <f t="shared" si="82"/>
        <v>-80.283335328148965</v>
      </c>
      <c r="AR82" t="str">
        <f t="shared" si="83"/>
        <v>-1.94444444444444</v>
      </c>
      <c r="AS82" t="str">
        <f t="shared" si="51"/>
        <v>1+0.015359175235503i</v>
      </c>
      <c r="AT82">
        <f t="shared" si="84"/>
        <v>1.000117945176425</v>
      </c>
      <c r="AU82">
        <f t="shared" si="85"/>
        <v>1.5357967641448254E-2</v>
      </c>
      <c r="AV82" t="str">
        <f t="shared" si="52"/>
        <v>1+0.015359175235503i</v>
      </c>
      <c r="AW82">
        <f t="shared" si="86"/>
        <v>1.000117945176425</v>
      </c>
      <c r="AX82">
        <f t="shared" si="87"/>
        <v>1.5357967641448254E-2</v>
      </c>
      <c r="AY82" t="str">
        <f t="shared" si="53"/>
        <v>1-0.138526941834088i</v>
      </c>
      <c r="AZ82">
        <f t="shared" si="88"/>
        <v>1.0095492625988614</v>
      </c>
      <c r="BA82">
        <f t="shared" si="89"/>
        <v>-0.13765090897228674</v>
      </c>
      <c r="BB82" s="58" t="str">
        <f t="shared" si="90"/>
        <v>-1.9398497097873+0.299152434078334i</v>
      </c>
      <c r="BC82">
        <f t="shared" si="91"/>
        <v>5.8574367046156688</v>
      </c>
      <c r="BD82" s="60">
        <f t="shared" si="92"/>
        <v>171.23323714199498</v>
      </c>
      <c r="BE82" s="58" t="str">
        <f t="shared" si="93"/>
        <v>0.416631385671338+24.3831441806902i</v>
      </c>
      <c r="BF82" s="37">
        <f t="shared" si="94"/>
        <v>27.743061918766418</v>
      </c>
      <c r="BG82" s="60">
        <f t="shared" si="95"/>
        <v>89.021090262678456</v>
      </c>
      <c r="BH82" s="58" t="str">
        <f t="shared" si="96"/>
        <v>-0.596982900888924+36.0052652562816i</v>
      </c>
      <c r="BI82" s="37">
        <f t="shared" si="97"/>
        <v>31.128514053871914</v>
      </c>
      <c r="BJ82" s="60">
        <f t="shared" si="98"/>
        <v>90.949901813846026</v>
      </c>
      <c r="BK82">
        <f t="shared" si="99"/>
        <v>27.743061918766418</v>
      </c>
      <c r="BL82" s="60">
        <f t="shared" si="100"/>
        <v>89.021090262678456</v>
      </c>
      <c r="BN82">
        <f t="shared" si="101"/>
        <v>0</v>
      </c>
      <c r="BO82">
        <f t="shared" si="102"/>
        <v>0</v>
      </c>
    </row>
    <row r="83" spans="2:67" ht="14.25" x14ac:dyDescent="0.2">
      <c r="M83" s="66">
        <v>65</v>
      </c>
      <c r="N83" s="36">
        <f t="shared" si="54"/>
        <v>44.668359215096324</v>
      </c>
      <c r="O83" s="91" t="str">
        <f t="shared" ref="O83:O146" si="103">COMPLEX(adc,0)</f>
        <v>99.7340425531915</v>
      </c>
      <c r="P83" s="67" t="str">
        <f t="shared" ref="P83:P146" si="104">IMSUM(COMPLEX(1,0),IMDIV(COMPLEX(0,2*PI()*N83),COMPLEX(wp_lf,0)))</f>
        <v>1+8.15107073194669i</v>
      </c>
      <c r="Q83" s="67">
        <f t="shared" si="57"/>
        <v>8.2121832710429672</v>
      </c>
      <c r="R83" s="67">
        <f t="shared" si="58"/>
        <v>1.4487230682715673</v>
      </c>
      <c r="S83" s="67" t="str">
        <f t="shared" ref="S83:S146" si="105">IMSUM(COMPLEX(1,0),IMDIV(COMPLEX(0,2*PI()*N83),COMPLEX(wz_esr,0)))</f>
        <v>1+0.0153240129760598i</v>
      </c>
      <c r="T83" s="67">
        <f t="shared" si="60"/>
        <v>1.0001174057947848</v>
      </c>
      <c r="U83" s="67">
        <f t="shared" si="61"/>
        <v>1.532281365600922E-2</v>
      </c>
      <c r="V83" t="str">
        <f t="shared" ref="V83:V146" si="106">IMSUB(COMPLEX(1,0),IMDIV(COMPLEX(0,2*PI()*N83),COMPLEX(wz_rhp,0)))</f>
        <v>1-0.00158292002170288i</v>
      </c>
      <c r="W83" s="67">
        <f t="shared" si="63"/>
        <v>1.0000012528171127</v>
      </c>
      <c r="X83" s="67">
        <f t="shared" si="64"/>
        <v>-1.5829186996311785E-3</v>
      </c>
      <c r="Y83" t="str">
        <f t="shared" ref="Y83:Y146" si="107">IMSUM(COMPLEX(1,0),IMDIV(COMPLEX(0,2*PI()*N83),COMPLEX(Q*(wsl/2),0)),IMDIV(IMPOWER(COMPLEX(0,2*PI()*N83),2),IMPOWER(COMPLEX(wsl/2,0),2)))</f>
        <v>0.999999527748564+0.00244677581096099i</v>
      </c>
      <c r="Z83" s="67">
        <f t="shared" si="66"/>
        <v>1.0000025211014321</v>
      </c>
      <c r="AA83" s="67">
        <f t="shared" si="67"/>
        <v>2.4467720837516175E-3</v>
      </c>
      <c r="AB83" s="92" t="str">
        <f t="shared" si="68"/>
        <v>1.61507759267946-12.0381960350292i</v>
      </c>
      <c r="AC83" s="37">
        <f t="shared" si="69"/>
        <v>21.688704494894129</v>
      </c>
      <c r="AD83" s="60">
        <f t="shared" si="70"/>
        <v>-82.358669217079708</v>
      </c>
      <c r="AE83" t="str">
        <f t="shared" si="71"/>
        <v>118.329284003155</v>
      </c>
      <c r="AF83" t="str">
        <f t="shared" ref="AF83:AF146" si="108">IMSUM(COMPLEX(1,0),IMDIV(COMPLEX(0,2*PI()*N83),COMPLEX(wp_lf_DCM,0)))</f>
        <v>1+6.52085658555736i</v>
      </c>
      <c r="AG83">
        <f t="shared" si="73"/>
        <v>6.5970880401436807</v>
      </c>
      <c r="AH83">
        <f t="shared" si="74"/>
        <v>1.4186277247103698</v>
      </c>
      <c r="AI83" t="str">
        <f t="shared" ref="AI83:AI146" si="109">IMSUM(COMPLEX(1,0),IMDIV(COMPLEX(0,2*PI()*N83),COMPLEX(wz1_dcm,0)))</f>
        <v>1+0.0153240129760598i</v>
      </c>
      <c r="AJ83">
        <f t="shared" si="75"/>
        <v>1.0001174057947848</v>
      </c>
      <c r="AK83">
        <f t="shared" si="76"/>
        <v>1.532281365600922E-2</v>
      </c>
      <c r="AL83" t="str">
        <f t="shared" ref="AL83:AL146" si="110">IMSUB(COMPLEX(1,0),IMDIV(COMPLEX(0,2*PI()*N83),COMPLEX(wz2_dcm,0)))</f>
        <v>1-0.00106730149274156i</v>
      </c>
      <c r="AM83">
        <f t="shared" si="78"/>
        <v>1.0000005695660761</v>
      </c>
      <c r="AN83">
        <f t="shared" si="79"/>
        <v>-1.067301087475906E-3</v>
      </c>
      <c r="AO83" s="58" t="str">
        <f t="shared" si="80"/>
        <v>2.97167161683212-17.690857970673i</v>
      </c>
      <c r="AP83">
        <f t="shared" si="81"/>
        <v>25.075823796043991</v>
      </c>
      <c r="AQ83" s="60">
        <f t="shared" si="82"/>
        <v>-80.46460062117832</v>
      </c>
      <c r="AR83" t="str">
        <f t="shared" ref="AR83:AR146" si="111">COMPLEX(adc_ea,0)</f>
        <v>-1.94444444444444</v>
      </c>
      <c r="AS83" t="str">
        <f t="shared" ref="AS83:AS146" si="112">IMSUM(COMPLEX(1,0), IMDIV(COMPLEX(0,2*PI()*N83), COMPLEX(wp0_ea,0)))</f>
        <v>1+0.0157169363857023i</v>
      </c>
      <c r="AT83">
        <f t="shared" si="84"/>
        <v>1.0001235034181291</v>
      </c>
      <c r="AU83">
        <f t="shared" si="85"/>
        <v>1.571564243398961E-2</v>
      </c>
      <c r="AV83" t="str">
        <f t="shared" ref="AV83:AV146" si="113">IMSUM(COMPLEX(1,0),IMDIV(COMPLEX(0,2*PI()*N83),COMPLEX(wp1_ea,0)))</f>
        <v>1+0.0157169363857023i</v>
      </c>
      <c r="AW83">
        <f t="shared" si="86"/>
        <v>1.0001235034181291</v>
      </c>
      <c r="AX83">
        <f t="shared" si="87"/>
        <v>1.571564243398961E-2</v>
      </c>
      <c r="AY83" t="str">
        <f t="shared" ref="AY83:AY146" si="114">IMSUM(COMPLEX(1,0),IMDIV(COMPLEX(wz_ea,0),COMPLEX(0,2*PI()*N83)))</f>
        <v>1-0.135373683665451i</v>
      </c>
      <c r="AZ83">
        <f t="shared" si="88"/>
        <v>1.0091214169906184</v>
      </c>
      <c r="BA83">
        <f t="shared" si="89"/>
        <v>-0.13455570493263624</v>
      </c>
      <c r="BB83" s="58" t="str">
        <f t="shared" si="90"/>
        <v>-1.93982814820304+0.293714762731767i</v>
      </c>
      <c r="BC83">
        <f t="shared" si="91"/>
        <v>5.8537065836850042</v>
      </c>
      <c r="BD83" s="60">
        <f t="shared" si="92"/>
        <v>171.39008601414798</v>
      </c>
      <c r="BE83" s="58" t="str">
        <f t="shared" si="93"/>
        <v>0.402822916335479+23.8264036542631i</v>
      </c>
      <c r="BF83" s="37">
        <f t="shared" si="94"/>
        <v>27.542411078579129</v>
      </c>
      <c r="BG83" s="60">
        <f t="shared" si="95"/>
        <v>89.031416797068289</v>
      </c>
      <c r="BH83" s="58" t="str">
        <f t="shared" si="96"/>
        <v>-0.568466098169377+35.1900480812282i</v>
      </c>
      <c r="BI83" s="37">
        <f t="shared" si="97"/>
        <v>30.929530379729002</v>
      </c>
      <c r="BJ83" s="60">
        <f t="shared" si="98"/>
        <v>90.925485392969662</v>
      </c>
      <c r="BK83">
        <f t="shared" si="99"/>
        <v>27.542411078579129</v>
      </c>
      <c r="BL83" s="60">
        <f t="shared" si="100"/>
        <v>89.031416797068289</v>
      </c>
      <c r="BN83">
        <f t="shared" si="101"/>
        <v>0</v>
      </c>
      <c r="BO83">
        <f t="shared" si="102"/>
        <v>0</v>
      </c>
    </row>
    <row r="84" spans="2:67" ht="14.25" x14ac:dyDescent="0.2">
      <c r="M84" s="66">
        <v>66</v>
      </c>
      <c r="N84" s="36">
        <f t="shared" ref="N84:N118" si="115">10^(1+(M84/100))</f>
        <v>45.70881896148753</v>
      </c>
      <c r="O84" s="91" t="str">
        <f t="shared" si="103"/>
        <v>99.7340425531915</v>
      </c>
      <c r="P84" s="67" t="str">
        <f t="shared" si="104"/>
        <v>1+8.34093355958581i</v>
      </c>
      <c r="Q84" s="67">
        <f t="shared" ref="Q84:Q147" si="116">IMABS(P84)</f>
        <v>8.4006650120942687</v>
      </c>
      <c r="R84" s="67">
        <f t="shared" ref="R84:R147" si="117">IMARGUMENT(P84)</f>
        <v>1.4514751935089254</v>
      </c>
      <c r="S84" s="67" t="str">
        <f t="shared" si="105"/>
        <v>1+0.0156809550920213i</v>
      </c>
      <c r="T84" s="67">
        <f t="shared" ref="T84:T147" si="118">IMABS(S84)</f>
        <v>1.0001229386193471</v>
      </c>
      <c r="U84" s="67">
        <f t="shared" ref="U84:U147" si="119">IMARGUMENT(S84)</f>
        <v>1.5679670005965485E-2</v>
      </c>
      <c r="V84" t="str">
        <f t="shared" si="106"/>
        <v>1-0.00161979096554945i</v>
      </c>
      <c r="W84" s="67">
        <f t="shared" ref="W84:W147" si="120">IMABS(V84)</f>
        <v>1.0000013118605255</v>
      </c>
      <c r="X84" s="67">
        <f t="shared" ref="X84:X147" si="121">IMARGUMENT(V84)</f>
        <v>-1.6197895489241992E-3</v>
      </c>
      <c r="Y84" t="str">
        <f t="shared" si="107"/>
        <v>0.99999950549204+0.00250376854103844i</v>
      </c>
      <c r="Z84" s="67">
        <f t="shared" ref="Z84:Z147" si="122">IMABS(Y84)</f>
        <v>1.0000026399171311</v>
      </c>
      <c r="AA84" s="67">
        <f t="shared" ref="AA84:AA147" si="123">IMARGUMENT(Y84)</f>
        <v>2.5037645472622055E-3</v>
      </c>
      <c r="AB84" s="92" t="str">
        <f t="shared" ref="AB84:AB147" si="124">(IMDIV(IMPRODUCT(O84,S84,V84),IMPRODUCT(P84,Y84)))</f>
        <v>1.54955212230876-11.7720586381061i</v>
      </c>
      <c r="AC84" s="37">
        <f t="shared" ref="AC84:AC147" si="125">20*LOG(IMABS(AB84))</f>
        <v>21.491651346862422</v>
      </c>
      <c r="AD84" s="60">
        <f t="shared" ref="AD84:AD147" si="126">(180/PI())*IMARGUMENT(AB84)</f>
        <v>-82.501285986801548</v>
      </c>
      <c r="AE84" t="str">
        <f t="shared" ref="AE84:AE147" si="127">COMPLEX($B$67,0)</f>
        <v>118.329284003155</v>
      </c>
      <c r="AF84" t="str">
        <f t="shared" si="108"/>
        <v>1+6.67274684766865i</v>
      </c>
      <c r="AG84">
        <f t="shared" ref="AG84:AG147" si="128">IMABS(AF84)</f>
        <v>6.7472624443600751</v>
      </c>
      <c r="AH84">
        <f t="shared" ref="AH84:AH147" si="129">IMARGUMENT(AF84)</f>
        <v>1.4220400536665472</v>
      </c>
      <c r="AI84" t="str">
        <f t="shared" si="109"/>
        <v>1+0.0156809550920213i</v>
      </c>
      <c r="AJ84">
        <f t="shared" ref="AJ84:AJ147" si="130">IMABS(AI84)</f>
        <v>1.0001229386193471</v>
      </c>
      <c r="AK84">
        <f t="shared" ref="AK84:AK147" si="131">IMARGUMENT(AI84)</f>
        <v>1.5679670005965485E-2</v>
      </c>
      <c r="AL84" t="str">
        <f t="shared" si="110"/>
        <v>1-0.00109216213817323i</v>
      </c>
      <c r="AM84">
        <f t="shared" ref="AM84:AM147" si="132">IMABS(AL84)</f>
        <v>1.0000005964088903</v>
      </c>
      <c r="AN84">
        <f t="shared" ref="AN84:AN147" si="133">IMARGUMENT(AL84)</f>
        <v>-1.0921617039232722E-3</v>
      </c>
      <c r="AO84" s="58" t="str">
        <f t="shared" ref="AO84:AO147" si="134">(IMDIV(IMPRODUCT(AE84,AI84,AL84),IMPRODUCT(AF84)))</f>
        <v>2.85225215414569-17.3060751456327i</v>
      </c>
      <c r="AP84">
        <f t="shared" ref="AP84:AP147" si="135">20*LOG(IMABS(AO84))</f>
        <v>24.880365619448533</v>
      </c>
      <c r="AQ84" s="60">
        <f t="shared" ref="AQ84:AQ147" si="136">(180/PI())*IMARGUMENT(AO84)</f>
        <v>-80.641090714331199</v>
      </c>
      <c r="AR84" t="str">
        <f t="shared" si="111"/>
        <v>-1.94444444444444</v>
      </c>
      <c r="AS84" t="str">
        <f t="shared" si="112"/>
        <v>1+0.0160830308636116i</v>
      </c>
      <c r="AT84">
        <f t="shared" ref="AT84:AT147" si="137">IMABS(AS84)</f>
        <v>1.000129323578586</v>
      </c>
      <c r="AU84">
        <f t="shared" ref="AU84:AU147" si="138">IMARGUMENT(AS84)</f>
        <v>1.608164437905411E-2</v>
      </c>
      <c r="AV84" t="str">
        <f t="shared" si="113"/>
        <v>1+0.0160830308636116i</v>
      </c>
      <c r="AW84">
        <f t="shared" ref="AW84:AW147" si="139">IMABS(AV84)</f>
        <v>1.000129323578586</v>
      </c>
      <c r="AX84">
        <f t="shared" ref="AX84:AX147" si="140">IMARGUMENT(AV84)</f>
        <v>1.608164437905411E-2</v>
      </c>
      <c r="AY84" t="str">
        <f t="shared" si="114"/>
        <v>1-0.132292202415776i</v>
      </c>
      <c r="AZ84">
        <f t="shared" ref="AZ84:AZ147" si="141">IMABS(AY84)</f>
        <v>1.0087126582035226</v>
      </c>
      <c r="BA84">
        <f t="shared" ref="BA84:BA147" si="142">IMARGUMENT(AY84)</f>
        <v>-0.13152844788766455</v>
      </c>
      <c r="BB84" s="58" t="str">
        <f t="shared" ref="BB84:BB147" si="143">IMDIV(IMPRODUCT(AR84,AY84), AS84)</f>
        <v>-1.93980557096635+0.288432790897933i</v>
      </c>
      <c r="BC84">
        <f t="shared" ref="BC84:BC147" si="144">20*LOG(IMABS(BB84))</f>
        <v>5.8501369825803629</v>
      </c>
      <c r="BD84" s="60">
        <f t="shared" ref="BD84:BD147" si="145">(180/PI())*IMARGUMENT(BB84)</f>
        <v>171.54256469958034</v>
      </c>
      <c r="BE84" s="58" t="str">
        <f t="shared" ref="BE84:BE147" si="146">IMPRODUCT(AB84,BB84)</f>
        <v>0.389617888245799+23.2824465712201i</v>
      </c>
      <c r="BF84" s="37">
        <f t="shared" ref="BF84:BF147" si="147">20*LOG(IMABS(BE84))</f>
        <v>27.341788329442785</v>
      </c>
      <c r="BG84" s="60">
        <f t="shared" ref="BG84:BG147" si="148">(180/PI())*IMARGUMENT(BE84)</f>
        <v>89.041278712778777</v>
      </c>
      <c r="BH84" s="58" t="str">
        <f t="shared" ref="BH84:BH147" si="149">IMPRODUCT(AO84,BB84)</f>
        <v>-0.54117506466839+34.3931040282255i</v>
      </c>
      <c r="BI84" s="37">
        <f t="shared" ref="BI84:BI147" si="150">20*LOG(IMABS(BH84))</f>
        <v>30.730502602028906</v>
      </c>
      <c r="BJ84" s="60">
        <f t="shared" ref="BJ84:BJ147" si="151">(180/PI())*IMARGUMENT(BH84)</f>
        <v>90.901473985249126</v>
      </c>
      <c r="BK84">
        <f t="shared" ref="BK84:BK147" si="152">IF($B$19=0,BF84,BI84)</f>
        <v>27.341788329442785</v>
      </c>
      <c r="BL84" s="60">
        <f t="shared" ref="BL84:BL147" si="153">IF($B$19=0,BG84,BJ84)</f>
        <v>89.041278712778777</v>
      </c>
      <c r="BN84">
        <f t="shared" si="101"/>
        <v>0</v>
      </c>
      <c r="BO84">
        <f t="shared" si="102"/>
        <v>0</v>
      </c>
    </row>
    <row r="85" spans="2:67" ht="14.25" x14ac:dyDescent="0.2">
      <c r="M85" s="66">
        <v>67</v>
      </c>
      <c r="N85" s="36">
        <f t="shared" si="115"/>
        <v>46.773514128719818</v>
      </c>
      <c r="O85" s="91" t="str">
        <f t="shared" si="103"/>
        <v>99.7340425531915</v>
      </c>
      <c r="P85" s="67" t="str">
        <f t="shared" si="104"/>
        <v>1+8.53521886060352i</v>
      </c>
      <c r="Q85" s="67">
        <f t="shared" si="116"/>
        <v>8.5936000022343393</v>
      </c>
      <c r="R85" s="67">
        <f t="shared" si="117"/>
        <v>1.4541664287844238</v>
      </c>
      <c r="S85" s="67" t="str">
        <f t="shared" si="105"/>
        <v>1+0.0160462114579346i</v>
      </c>
      <c r="T85" s="67">
        <f t="shared" si="118"/>
        <v>1.0001287321650911</v>
      </c>
      <c r="U85" s="67">
        <f t="shared" si="119"/>
        <v>1.6044834472989298E-2</v>
      </c>
      <c r="V85" t="str">
        <f t="shared" si="106"/>
        <v>1-0.00165752074400643i</v>
      </c>
      <c r="W85" s="67">
        <f t="shared" si="120"/>
        <v>1.0000013736865649</v>
      </c>
      <c r="X85" s="67">
        <f t="shared" si="121"/>
        <v>-1.6575192260652382E-3</v>
      </c>
      <c r="Y85" t="str">
        <f t="shared" si="107"/>
        <v>0.999999482186598+0.00256208880233764i</v>
      </c>
      <c r="Z85" s="67">
        <f t="shared" si="122"/>
        <v>1.0000027643324267</v>
      </c>
      <c r="AA85" s="67">
        <f t="shared" si="123"/>
        <v>2.5620845229299364E-3</v>
      </c>
      <c r="AB85" s="92" t="str">
        <f t="shared" si="124"/>
        <v>1.48689402722917-11.5114651870183i</v>
      </c>
      <c r="AC85" s="37">
        <f t="shared" si="125"/>
        <v>21.294471755556685</v>
      </c>
      <c r="AD85" s="60">
        <f t="shared" si="126"/>
        <v>-82.640063266705354</v>
      </c>
      <c r="AE85" t="str">
        <f t="shared" si="127"/>
        <v>118.329284003155</v>
      </c>
      <c r="AF85" t="str">
        <f t="shared" si="108"/>
        <v>1+6.82817508848282i</v>
      </c>
      <c r="AG85">
        <f t="shared" si="128"/>
        <v>6.9010126096810875</v>
      </c>
      <c r="AH85">
        <f t="shared" si="129"/>
        <v>1.425378084270789</v>
      </c>
      <c r="AI85" t="str">
        <f t="shared" si="109"/>
        <v>1+0.0160462114579346i</v>
      </c>
      <c r="AJ85">
        <f t="shared" si="130"/>
        <v>1.0001287321650911</v>
      </c>
      <c r="AK85">
        <f t="shared" si="131"/>
        <v>1.6044834472989298E-2</v>
      </c>
      <c r="AL85" t="str">
        <f t="shared" si="110"/>
        <v>1-0.00111760186242703i</v>
      </c>
      <c r="AM85">
        <f t="shared" si="132"/>
        <v>1.0000006245167665</v>
      </c>
      <c r="AN85">
        <f t="shared" si="133"/>
        <v>-1.1176013971198324E-3</v>
      </c>
      <c r="AO85" s="58" t="str">
        <f t="shared" si="134"/>
        <v>2.73797641719141-16.9288906801208i</v>
      </c>
      <c r="AP85">
        <f t="shared" si="135"/>
        <v>24.684711819871875</v>
      </c>
      <c r="AQ85" s="60">
        <f t="shared" si="136"/>
        <v>-80.812880984103401</v>
      </c>
      <c r="AR85" t="str">
        <f t="shared" si="111"/>
        <v>-1.94444444444444</v>
      </c>
      <c r="AS85" t="str">
        <f t="shared" si="112"/>
        <v>1+0.0164576527773688i</v>
      </c>
      <c r="AT85">
        <f t="shared" si="137"/>
        <v>1.000135417998453</v>
      </c>
      <c r="AU85">
        <f t="shared" si="138"/>
        <v>1.6456167143263027E-2</v>
      </c>
      <c r="AV85" t="str">
        <f t="shared" si="113"/>
        <v>1+0.0164576527773688i</v>
      </c>
      <c r="AW85">
        <f t="shared" si="139"/>
        <v>1.000135417998453</v>
      </c>
      <c r="AX85">
        <f t="shared" si="140"/>
        <v>1.6456167143263027E-2</v>
      </c>
      <c r="AY85" t="str">
        <f t="shared" si="114"/>
        <v>1-0.129280864242917i</v>
      </c>
      <c r="AZ85">
        <f t="shared" si="141"/>
        <v>1.0083221419067399</v>
      </c>
      <c r="BA85">
        <f t="shared" si="142"/>
        <v>-0.12856775480411964</v>
      </c>
      <c r="BB85" s="58" t="str">
        <f t="shared" si="143"/>
        <v>-1.93978193026055+0.283303715722158i</v>
      </c>
      <c r="BC85">
        <f t="shared" si="144"/>
        <v>5.8467207194966599</v>
      </c>
      <c r="BD85" s="60">
        <f t="shared" si="145"/>
        <v>171.69074134398031</v>
      </c>
      <c r="BE85" s="58" t="str">
        <f t="shared" si="146"/>
        <v>0.376990694657069+22.7509747634006i</v>
      </c>
      <c r="BF85" s="37">
        <f t="shared" si="147"/>
        <v>27.141192475053352</v>
      </c>
      <c r="BG85" s="60">
        <f t="shared" si="148"/>
        <v>89.050678077274981</v>
      </c>
      <c r="BH85" s="58" t="str">
        <f t="shared" si="149"/>
        <v>-0.515059546814984+33.6140351332045i</v>
      </c>
      <c r="BI85" s="37">
        <f t="shared" si="150"/>
        <v>30.531432539368527</v>
      </c>
      <c r="BJ85" s="60">
        <f t="shared" si="151"/>
        <v>90.877860359876919</v>
      </c>
      <c r="BK85">
        <f t="shared" si="152"/>
        <v>27.141192475053352</v>
      </c>
      <c r="BL85" s="60">
        <f t="shared" si="153"/>
        <v>89.050678077274981</v>
      </c>
      <c r="BN85">
        <f t="shared" ref="BN85:BN148" si="154">SUM((BK86&lt;0)*(BK85&gt;0))*N85</f>
        <v>0</v>
      </c>
      <c r="BO85">
        <f t="shared" ref="BO85:BO148" si="155">IF(BN85&gt;0,BL85,0)</f>
        <v>0</v>
      </c>
    </row>
    <row r="86" spans="2:67" ht="14.25" x14ac:dyDescent="0.2">
      <c r="M86" s="66">
        <v>68</v>
      </c>
      <c r="N86" s="36">
        <f t="shared" si="115"/>
        <v>47.863009232263877</v>
      </c>
      <c r="O86" s="91" t="str">
        <f t="shared" si="103"/>
        <v>99.7340425531915</v>
      </c>
      <c r="P86" s="67" t="str">
        <f t="shared" si="104"/>
        <v>1+8.73402964763811i</v>
      </c>
      <c r="Q86" s="67">
        <f t="shared" si="116"/>
        <v>8.7910905970659563</v>
      </c>
      <c r="R86" s="67">
        <f t="shared" si="117"/>
        <v>1.4567980450071991</v>
      </c>
      <c r="S86" s="67" t="str">
        <f t="shared" si="105"/>
        <v>1+0.0164199757375596i</v>
      </c>
      <c r="T86" s="67">
        <f t="shared" si="118"/>
        <v>1.0001347987162641</v>
      </c>
      <c r="U86" s="67">
        <f t="shared" si="119"/>
        <v>1.6418500282347905E-2</v>
      </c>
      <c r="V86" t="str">
        <f t="shared" si="106"/>
        <v>1-0.00169612936190177i</v>
      </c>
      <c r="W86" s="67">
        <f t="shared" si="120"/>
        <v>1.0000014384263716</v>
      </c>
      <c r="X86" s="67">
        <f t="shared" si="121"/>
        <v>-1.6961277353986053E-3</v>
      </c>
      <c r="Y86" t="str">
        <f t="shared" si="107"/>
        <v>0.999999457782804+0.0026217675170331i</v>
      </c>
      <c r="Z86" s="67">
        <f t="shared" si="122"/>
        <v>1.0000028946112185</v>
      </c>
      <c r="AA86" s="67">
        <f t="shared" si="123"/>
        <v>2.6217629315658411E-3</v>
      </c>
      <c r="AB86" s="92" t="str">
        <f t="shared" si="124"/>
        <v>1.42698130418652-11.256322835512i</v>
      </c>
      <c r="AC86" s="37">
        <f t="shared" si="125"/>
        <v>21.097171461171943</v>
      </c>
      <c r="AD86" s="60">
        <f t="shared" si="126"/>
        <v>-82.775065721324964</v>
      </c>
      <c r="AE86" t="str">
        <f t="shared" si="127"/>
        <v>118.329284003155</v>
      </c>
      <c r="AF86" t="str">
        <f t="shared" si="108"/>
        <v>1+6.98722371811049i</v>
      </c>
      <c r="AG86">
        <f t="shared" si="128"/>
        <v>7.0584201693385884</v>
      </c>
      <c r="AH86">
        <f t="shared" si="129"/>
        <v>1.4286432886860858</v>
      </c>
      <c r="AI86" t="str">
        <f t="shared" si="109"/>
        <v>1+0.0164199757375596i</v>
      </c>
      <c r="AJ86">
        <f t="shared" si="130"/>
        <v>1.0001347987162641</v>
      </c>
      <c r="AK86">
        <f t="shared" si="131"/>
        <v>1.6418500282347905E-2</v>
      </c>
      <c r="AL86" t="str">
        <f t="shared" si="110"/>
        <v>1-0.0011436341539815i</v>
      </c>
      <c r="AM86">
        <f t="shared" si="132"/>
        <v>1.0000006539493254</v>
      </c>
      <c r="AN86">
        <f t="shared" si="133"/>
        <v>-1.1436336553958728E-3</v>
      </c>
      <c r="AO86" s="58" t="str">
        <f t="shared" si="134"/>
        <v>2.62863260221315-16.5592055026098i</v>
      </c>
      <c r="AP86">
        <f t="shared" si="135"/>
        <v>24.488871036934121</v>
      </c>
      <c r="AQ86" s="60">
        <f t="shared" si="136"/>
        <v>-80.98004548105321</v>
      </c>
      <c r="AR86" t="str">
        <f t="shared" si="111"/>
        <v>-1.94444444444444</v>
      </c>
      <c r="AS86" t="str">
        <f t="shared" si="112"/>
        <v>1+0.0168410007564714i</v>
      </c>
      <c r="AT86">
        <f t="shared" si="137"/>
        <v>1.0001417995996764</v>
      </c>
      <c r="AU86">
        <f t="shared" si="138"/>
        <v>1.6839408883035922E-2</v>
      </c>
      <c r="AV86" t="str">
        <f t="shared" si="113"/>
        <v>1+0.0168410007564714i</v>
      </c>
      <c r="AW86">
        <f t="shared" si="139"/>
        <v>1.0001417995996764</v>
      </c>
      <c r="AX86">
        <f t="shared" si="140"/>
        <v>1.6839408883035922E-2</v>
      </c>
      <c r="AY86" t="str">
        <f t="shared" si="114"/>
        <v>1-0.126338072495514i</v>
      </c>
      <c r="AZ86">
        <f t="shared" si="141"/>
        <v>1.0079490604995283</v>
      </c>
      <c r="BA86">
        <f t="shared" si="142"/>
        <v>-0.12567226361397152</v>
      </c>
      <c r="BB86" s="58" t="str">
        <f t="shared" si="143"/>
        <v>-1.9397571760202+0.278324815254448i</v>
      </c>
      <c r="BC86">
        <f t="shared" si="144"/>
        <v>5.8434509043478213</v>
      </c>
      <c r="BD86" s="60">
        <f t="shared" si="145"/>
        <v>171.83468263457087</v>
      </c>
      <c r="BE86" s="58" t="str">
        <f t="shared" si="146"/>
        <v>0.364916748795836+22.2316973036437i</v>
      </c>
      <c r="BF86" s="37">
        <f t="shared" si="147"/>
        <v>26.940622365519754</v>
      </c>
      <c r="BG86" s="60">
        <f t="shared" si="148"/>
        <v>89.059616913245932</v>
      </c>
      <c r="BH86" s="58" t="str">
        <f t="shared" si="149"/>
        <v>-0.490071140989298+32.8524513862633i</v>
      </c>
      <c r="BI86" s="37">
        <f t="shared" si="150"/>
        <v>30.332321941281929</v>
      </c>
      <c r="BJ86" s="60">
        <f t="shared" si="151"/>
        <v>90.854637153517672</v>
      </c>
      <c r="BK86">
        <f t="shared" si="152"/>
        <v>26.940622365519754</v>
      </c>
      <c r="BL86" s="60">
        <f t="shared" si="153"/>
        <v>89.059616913245932</v>
      </c>
      <c r="BN86">
        <f t="shared" si="154"/>
        <v>0</v>
      </c>
      <c r="BO86">
        <f t="shared" si="155"/>
        <v>0</v>
      </c>
    </row>
    <row r="87" spans="2:67" ht="14.25" x14ac:dyDescent="0.2">
      <c r="M87" s="66">
        <v>69</v>
      </c>
      <c r="N87" s="36">
        <f t="shared" si="115"/>
        <v>48.977881936844632</v>
      </c>
      <c r="O87" s="91" t="str">
        <f t="shared" si="103"/>
        <v>99.7340425531915</v>
      </c>
      <c r="P87" s="67" t="str">
        <f t="shared" si="104"/>
        <v>1+8.93747133280043i</v>
      </c>
      <c r="Q87" s="67">
        <f t="shared" si="116"/>
        <v>8.9932415637871905</v>
      </c>
      <c r="R87" s="67">
        <f t="shared" si="117"/>
        <v>1.459371291616254</v>
      </c>
      <c r="S87" s="67" t="str">
        <f t="shared" si="105"/>
        <v>1+0.0168024461056648i</v>
      </c>
      <c r="T87" s="67">
        <f t="shared" si="118"/>
        <v>1.0001411511357454</v>
      </c>
      <c r="U87" s="67">
        <f t="shared" si="119"/>
        <v>1.6800865138971961E-2</v>
      </c>
      <c r="V87" t="str">
        <f t="shared" si="106"/>
        <v>1-0.00173563729003571i</v>
      </c>
      <c r="W87" s="67">
        <f t="shared" si="120"/>
        <v>1.0000015062172669</v>
      </c>
      <c r="X87" s="67">
        <f t="shared" si="121"/>
        <v>-1.7356355472063106E-3</v>
      </c>
      <c r="Y87" t="str">
        <f t="shared" si="107"/>
        <v>0.999999432228895+0.00268283632756929i</v>
      </c>
      <c r="Z87" s="67">
        <f t="shared" si="122"/>
        <v>1.0000030310298429</v>
      </c>
      <c r="AA87" s="67">
        <f t="shared" si="123"/>
        <v>2.6828314141533944E-3</v>
      </c>
      <c r="AB87" s="92" t="str">
        <f t="shared" si="124"/>
        <v>1.36969683875346-11.0065387353793i</v>
      </c>
      <c r="AC87" s="37">
        <f t="shared" si="125"/>
        <v>20.899755968810368</v>
      </c>
      <c r="AD87" s="60">
        <f t="shared" si="126"/>
        <v>-82.906356596339407</v>
      </c>
      <c r="AE87" t="str">
        <f t="shared" si="127"/>
        <v>118.329284003155</v>
      </c>
      <c r="AF87" t="str">
        <f t="shared" si="108"/>
        <v>1+7.14997706624035i</v>
      </c>
      <c r="AG87">
        <f t="shared" si="128"/>
        <v>7.2195686884856878</v>
      </c>
      <c r="AH87">
        <f t="shared" si="129"/>
        <v>1.4318371195245216</v>
      </c>
      <c r="AI87" t="str">
        <f t="shared" si="109"/>
        <v>1+0.0168024461056648i</v>
      </c>
      <c r="AJ87">
        <f t="shared" si="130"/>
        <v>1.0001411511357454</v>
      </c>
      <c r="AK87">
        <f t="shared" si="131"/>
        <v>1.6800865138971961E-2</v>
      </c>
      <c r="AL87" t="str">
        <f t="shared" si="110"/>
        <v>1-0.0011702728155022i</v>
      </c>
      <c r="AM87">
        <f t="shared" si="132"/>
        <v>1.0000006847689968</v>
      </c>
      <c r="AN87">
        <f t="shared" si="133"/>
        <v>-1.1702722812580947E-3</v>
      </c>
      <c r="AO87" s="58" t="str">
        <f t="shared" si="134"/>
        <v>2.52401678336214-16.1969182430068i</v>
      </c>
      <c r="AP87">
        <f t="shared" si="135"/>
        <v>24.292851563228361</v>
      </c>
      <c r="AQ87" s="60">
        <f t="shared" si="136"/>
        <v>-81.142656896889534</v>
      </c>
      <c r="AR87" t="str">
        <f t="shared" si="111"/>
        <v>-1.94444444444444</v>
      </c>
      <c r="AS87" t="str">
        <f t="shared" si="112"/>
        <v>1+0.0172332780570921i</v>
      </c>
      <c r="AT87">
        <f t="shared" si="137"/>
        <v>1.0001484819128572</v>
      </c>
      <c r="AU87">
        <f t="shared" si="138"/>
        <v>1.723157234765094E-2</v>
      </c>
      <c r="AV87" t="str">
        <f t="shared" si="113"/>
        <v>1+0.0172332780570921i</v>
      </c>
      <c r="AW87">
        <f t="shared" si="139"/>
        <v>1.0001484819128572</v>
      </c>
      <c r="AX87">
        <f t="shared" si="140"/>
        <v>1.723157234765094E-2</v>
      </c>
      <c r="AY87" t="str">
        <f t="shared" si="114"/>
        <v>1-0.123462266866429i</v>
      </c>
      <c r="AZ87">
        <f t="shared" si="141"/>
        <v>1.0075926415669167</v>
      </c>
      <c r="BA87">
        <f t="shared" si="142"/>
        <v>-0.12284063339624199</v>
      </c>
      <c r="BB87" s="58" t="str">
        <f t="shared" si="143"/>
        <v>-1.93973125582559+0.27349344699462i</v>
      </c>
      <c r="BC87">
        <f t="shared" si="144"/>
        <v>5.8403209270087935</v>
      </c>
      <c r="BD87" s="60">
        <f t="shared" si="145"/>
        <v>171.9744537837868</v>
      </c>
      <c r="BE87" s="58" t="str">
        <f t="shared" si="146"/>
        <v>0.353372449083101+21.7243303132386i</v>
      </c>
      <c r="BF87" s="37">
        <f t="shared" si="147"/>
        <v>26.740076895819161</v>
      </c>
      <c r="BG87" s="60">
        <f t="shared" si="148"/>
        <v>89.068097187447393</v>
      </c>
      <c r="BH87" s="58" t="str">
        <f t="shared" si="149"/>
        <v>-0.466163243945936+32.107970614366i</v>
      </c>
      <c r="BI87" s="37">
        <f t="shared" si="150"/>
        <v>30.133172490237161</v>
      </c>
      <c r="BJ87" s="60">
        <f t="shared" si="151"/>
        <v>90.831796886897266</v>
      </c>
      <c r="BK87">
        <f t="shared" si="152"/>
        <v>26.740076895819161</v>
      </c>
      <c r="BL87" s="60">
        <f t="shared" si="153"/>
        <v>89.068097187447393</v>
      </c>
      <c r="BN87">
        <f t="shared" si="154"/>
        <v>0</v>
      </c>
      <c r="BO87">
        <f t="shared" si="155"/>
        <v>0</v>
      </c>
    </row>
    <row r="88" spans="2:67" ht="14.25" x14ac:dyDescent="0.2">
      <c r="B88" t="s">
        <v>696</v>
      </c>
      <c r="M88" s="66">
        <v>70</v>
      </c>
      <c r="N88" s="36">
        <f t="shared" si="115"/>
        <v>50.118723362727238</v>
      </c>
      <c r="O88" s="91" t="str">
        <f t="shared" si="103"/>
        <v>99.7340425531915</v>
      </c>
      <c r="P88" s="67" t="str">
        <f t="shared" si="104"/>
        <v>1+9.1456517835648i</v>
      </c>
      <c r="Q88" s="67">
        <f t="shared" si="116"/>
        <v>9.2001601369879413</v>
      </c>
      <c r="R88" s="67">
        <f t="shared" si="117"/>
        <v>1.4618873965951673</v>
      </c>
      <c r="S88" s="67" t="str">
        <f t="shared" si="105"/>
        <v>1+0.0171938253531018i</v>
      </c>
      <c r="T88" s="67">
        <f t="shared" si="118"/>
        <v>1.000147802892289</v>
      </c>
      <c r="U88" s="67">
        <f t="shared" si="119"/>
        <v>1.7192131330290131E-2</v>
      </c>
      <c r="V88" t="str">
        <f t="shared" si="106"/>
        <v>1-0.00177606547603469i</v>
      </c>
      <c r="W88" s="67">
        <f t="shared" si="120"/>
        <v>1.0000015772030437</v>
      </c>
      <c r="X88" s="67">
        <f t="shared" si="121"/>
        <v>-1.7760636085595019E-3</v>
      </c>
      <c r="Y88" t="str">
        <f t="shared" si="107"/>
        <v>0.999999405470667+0.00274532761343788i</v>
      </c>
      <c r="Z88" s="67">
        <f t="shared" si="122"/>
        <v>1.0000031738776596</v>
      </c>
      <c r="AA88" s="67">
        <f t="shared" si="123"/>
        <v>2.7453223486187876E-3</v>
      </c>
      <c r="AB88" s="92" t="str">
        <f t="shared" si="124"/>
        <v>1.31492823599517-10.7620201662169i</v>
      </c>
      <c r="AC88" s="37">
        <f t="shared" si="125"/>
        <v>20.70223055836157</v>
      </c>
      <c r="AD88" s="60">
        <f t="shared" si="126"/>
        <v>-83.033997715106452</v>
      </c>
      <c r="AE88" t="str">
        <f t="shared" si="127"/>
        <v>118.329284003155</v>
      </c>
      <c r="AF88" t="str">
        <f t="shared" si="108"/>
        <v>1+7.31652142685184i</v>
      </c>
      <c r="AG88">
        <f t="shared" si="128"/>
        <v>7.3845437089628012</v>
      </c>
      <c r="AH88">
        <f t="shared" si="129"/>
        <v>1.4349610094302656</v>
      </c>
      <c r="AI88" t="str">
        <f t="shared" si="109"/>
        <v>1+0.0171938253531018i</v>
      </c>
      <c r="AJ88">
        <f t="shared" si="130"/>
        <v>1.000147802892289</v>
      </c>
      <c r="AK88">
        <f t="shared" si="131"/>
        <v>1.7192131330290131E-2</v>
      </c>
      <c r="AL88" t="str">
        <f t="shared" si="110"/>
        <v>1-0.00119753197116006i</v>
      </c>
      <c r="AM88">
        <f t="shared" si="132"/>
        <v>1.000000717041154</v>
      </c>
      <c r="AN88">
        <f t="shared" si="133"/>
        <v>-1.1975313987072098E-3</v>
      </c>
      <c r="AO88" s="58" t="str">
        <f t="shared" si="134"/>
        <v>2.42393269392848-15.8419255497849i</v>
      </c>
      <c r="AP88">
        <f t="shared" si="135"/>
        <v>24.096661357717764</v>
      </c>
      <c r="AQ88" s="60">
        <f t="shared" si="136"/>
        <v>-81.300786535106624</v>
      </c>
      <c r="AR88" t="str">
        <f t="shared" si="111"/>
        <v>-1.94444444444444</v>
      </c>
      <c r="AS88" t="str">
        <f t="shared" si="112"/>
        <v>1+0.017634692669848i</v>
      </c>
      <c r="AT88">
        <f t="shared" si="137"/>
        <v>1.0001554791059037</v>
      </c>
      <c r="AU88">
        <f t="shared" si="138"/>
        <v>1.7632864984597603E-2</v>
      </c>
      <c r="AV88" t="str">
        <f t="shared" si="113"/>
        <v>1+0.017634692669848i</v>
      </c>
      <c r="AW88">
        <f t="shared" si="139"/>
        <v>1.0001554791059037</v>
      </c>
      <c r="AX88">
        <f t="shared" si="140"/>
        <v>1.7632864984597603E-2</v>
      </c>
      <c r="AY88" t="str">
        <f t="shared" si="114"/>
        <v>1-0.120651922565454i</v>
      </c>
      <c r="AZ88">
        <f t="shared" si="141"/>
        <v>1.0072521463956978</v>
      </c>
      <c r="BA88">
        <f t="shared" si="142"/>
        <v>-0.12007154451519877</v>
      </c>
      <c r="BB88" s="58" t="str">
        <f t="shared" si="143"/>
        <v>-1.9397041147923+0.26880704647874i</v>
      </c>
      <c r="BC88">
        <f t="shared" si="144"/>
        <v>5.8373244459121594</v>
      </c>
      <c r="BD88" s="60">
        <f t="shared" si="145"/>
        <v>172.11011851532047</v>
      </c>
      <c r="BE88" s="58" t="str">
        <f t="shared" si="146"/>
        <v>0.342335145008992+21.228596775338i</v>
      </c>
      <c r="BF88" s="37">
        <f t="shared" si="147"/>
        <v>26.539555004273737</v>
      </c>
      <c r="BG88" s="60">
        <f t="shared" si="148"/>
        <v>89.076120800214014</v>
      </c>
      <c r="BH88" s="58" t="str">
        <f t="shared" si="149"/>
        <v>-0.443291002818889+31.3802183634692i</v>
      </c>
      <c r="BI88" s="37">
        <f t="shared" si="150"/>
        <v>29.933985803629923</v>
      </c>
      <c r="BJ88" s="60">
        <f t="shared" si="151"/>
        <v>90.809331980213841</v>
      </c>
      <c r="BK88">
        <f t="shared" si="152"/>
        <v>26.539555004273737</v>
      </c>
      <c r="BL88" s="60">
        <f t="shared" si="153"/>
        <v>89.076120800214014</v>
      </c>
      <c r="BN88">
        <f t="shared" si="154"/>
        <v>0</v>
      </c>
      <c r="BO88">
        <f t="shared" si="155"/>
        <v>0</v>
      </c>
    </row>
    <row r="89" spans="2:67" ht="14.25" x14ac:dyDescent="0.2">
      <c r="M89" s="66">
        <v>71</v>
      </c>
      <c r="N89" s="36">
        <f t="shared" si="115"/>
        <v>51.28613839913649</v>
      </c>
      <c r="O89" s="91" t="str">
        <f t="shared" si="103"/>
        <v>99.7340425531915</v>
      </c>
      <c r="P89" s="67" t="str">
        <f t="shared" si="104"/>
        <v>1+9.35868137996184i</v>
      </c>
      <c r="Q89" s="67">
        <f t="shared" si="116"/>
        <v>9.4119560757392229</v>
      </c>
      <c r="R89" s="67">
        <f t="shared" si="117"/>
        <v>1.4643475665155894</v>
      </c>
      <c r="S89" s="67" t="str">
        <f t="shared" si="105"/>
        <v>1+0.0175943209943283i</v>
      </c>
      <c r="T89" s="67">
        <f t="shared" si="118"/>
        <v>1.000154768089045</v>
      </c>
      <c r="U89" s="67">
        <f t="shared" si="119"/>
        <v>1.75925058313522E-2</v>
      </c>
      <c r="V89" t="str">
        <f t="shared" si="106"/>
        <v>1-0.00181743535545808i</v>
      </c>
      <c r="W89" s="67">
        <f t="shared" si="120"/>
        <v>1.0000016515342718</v>
      </c>
      <c r="X89" s="67">
        <f t="shared" si="121"/>
        <v>-1.8174333544225423E-3</v>
      </c>
      <c r="Y89" t="str">
        <f t="shared" si="107"/>
        <v>0.999999377451363+0.00280927450834583i</v>
      </c>
      <c r="Z89" s="67">
        <f t="shared" si="122"/>
        <v>1.0000033234576657</v>
      </c>
      <c r="AA89" s="67">
        <f t="shared" si="123"/>
        <v>2.809268866991536E-3</v>
      </c>
      <c r="AB89" s="92" t="str">
        <f t="shared" si="124"/>
        <v>1.26256765458206-10.5226746547752i</v>
      </c>
      <c r="AC89" s="37">
        <f t="shared" si="125"/>
        <v>20.504600294057273</v>
      </c>
      <c r="AD89" s="60">
        <f t="shared" si="126"/>
        <v>-83.158049476750918</v>
      </c>
      <c r="AE89" t="str">
        <f t="shared" si="127"/>
        <v>118.329284003155</v>
      </c>
      <c r="AF89" t="str">
        <f t="shared" si="108"/>
        <v>1+7.48694510396947i</v>
      </c>
      <c r="AG89">
        <f t="shared" si="128"/>
        <v>7.5534327950841273</v>
      </c>
      <c r="AH89">
        <f t="shared" si="129"/>
        <v>1.438016370722357</v>
      </c>
      <c r="AI89" t="str">
        <f t="shared" si="109"/>
        <v>1+0.0175943209943283i</v>
      </c>
      <c r="AJ89">
        <f t="shared" si="130"/>
        <v>1.000154768089045</v>
      </c>
      <c r="AK89">
        <f t="shared" si="131"/>
        <v>1.75925058313522E-2</v>
      </c>
      <c r="AL89" t="str">
        <f t="shared" si="110"/>
        <v>1-0.00122542607412025i</v>
      </c>
      <c r="AM89">
        <f t="shared" si="132"/>
        <v>1.0000007508342497</v>
      </c>
      <c r="AN89">
        <f t="shared" si="133"/>
        <v>-1.2254254607259945E-3</v>
      </c>
      <c r="AO89" s="58" t="str">
        <f t="shared" si="134"/>
        <v>2.32819150667934-15.4941223862051i</v>
      </c>
      <c r="AP89">
        <f t="shared" si="135"/>
        <v>23.90030805877117</v>
      </c>
      <c r="AQ89" s="60">
        <f t="shared" si="136"/>
        <v>-81.45450428492272</v>
      </c>
      <c r="AR89" t="str">
        <f t="shared" si="111"/>
        <v>-1.94444444444444</v>
      </c>
      <c r="AS89" t="str">
        <f t="shared" si="112"/>
        <v>1+0.0180454574300802i</v>
      </c>
      <c r="AT89">
        <f t="shared" si="137"/>
        <v>1.0001628060140313</v>
      </c>
      <c r="AU89">
        <f t="shared" si="138"/>
        <v>1.8043499047267448E-2</v>
      </c>
      <c r="AV89" t="str">
        <f t="shared" si="113"/>
        <v>1+0.0180454574300802i</v>
      </c>
      <c r="AW89">
        <f t="shared" si="139"/>
        <v>1.0001628060140313</v>
      </c>
      <c r="AX89">
        <f t="shared" si="140"/>
        <v>1.8043499047267448E-2</v>
      </c>
      <c r="AY89" t="str">
        <f t="shared" si="114"/>
        <v>1-0.11790554951084i</v>
      </c>
      <c r="AZ89">
        <f t="shared" si="141"/>
        <v>1.0069268685487804</v>
      </c>
      <c r="BA89">
        <f t="shared" si="142"/>
        <v>-0.11736369871806847</v>
      </c>
      <c r="BB89" s="58" t="str">
        <f t="shared" si="143"/>
        <v>-1.93967569545556+0.264263125906027i</v>
      </c>
      <c r="BC89">
        <f t="shared" si="144"/>
        <v>5.8344553769944918</v>
      </c>
      <c r="BD89" s="60">
        <f t="shared" si="145"/>
        <v>172.24173905235295</v>
      </c>
      <c r="BE89" s="58" t="str">
        <f t="shared" si="146"/>
        <v>0.331783103701865+20.7442263541214i</v>
      </c>
      <c r="BF89" s="37">
        <f t="shared" si="147"/>
        <v>26.339055671051774</v>
      </c>
      <c r="BG89" s="60">
        <f t="shared" si="148"/>
        <v>89.083689575602037</v>
      </c>
      <c r="BH89" s="58" t="str">
        <f t="shared" si="149"/>
        <v>-0.421411264922868+30.6688277801989i</v>
      </c>
      <c r="BI89" s="37">
        <f t="shared" si="150"/>
        <v>29.734763435765664</v>
      </c>
      <c r="BJ89" s="60">
        <f t="shared" si="151"/>
        <v>90.78723476743022</v>
      </c>
      <c r="BK89">
        <f t="shared" si="152"/>
        <v>26.339055671051774</v>
      </c>
      <c r="BL89" s="60">
        <f t="shared" si="153"/>
        <v>89.083689575602037</v>
      </c>
      <c r="BN89">
        <f t="shared" si="154"/>
        <v>0</v>
      </c>
      <c r="BO89">
        <f t="shared" si="155"/>
        <v>0</v>
      </c>
    </row>
    <row r="90" spans="2:67" ht="14.25" x14ac:dyDescent="0.2">
      <c r="M90" s="66">
        <v>72</v>
      </c>
      <c r="N90" s="36">
        <f t="shared" si="115"/>
        <v>52.480746024977286</v>
      </c>
      <c r="O90" s="91" t="str">
        <f t="shared" si="103"/>
        <v>99.7340425531915</v>
      </c>
      <c r="P90" s="67" t="str">
        <f t="shared" si="104"/>
        <v>1+9.57667307310335i</v>
      </c>
      <c r="Q90" s="67">
        <f t="shared" si="116"/>
        <v>9.6287417220061915</v>
      </c>
      <c r="R90" s="67">
        <f t="shared" si="117"/>
        <v>1.4667529866071807</v>
      </c>
      <c r="S90" s="67" t="str">
        <f t="shared" si="105"/>
        <v>1+0.0180041453774343i</v>
      </c>
      <c r="T90" s="67">
        <f t="shared" si="118"/>
        <v>1.0001620614934221</v>
      </c>
      <c r="U90" s="67">
        <f t="shared" si="119"/>
        <v>1.8002200412284057E-2</v>
      </c>
      <c r="V90" t="str">
        <f t="shared" si="106"/>
        <v>1-0.00185976886316354i</v>
      </c>
      <c r="W90" s="67">
        <f t="shared" si="120"/>
        <v>1.000001729368617</v>
      </c>
      <c r="X90" s="67">
        <f t="shared" si="121"/>
        <v>-1.8597667190155313E-3</v>
      </c>
      <c r="Y90" t="str">
        <f t="shared" si="107"/>
        <v>0.99999934811155+0.00287471091778325i</v>
      </c>
      <c r="Z90" s="67">
        <f t="shared" si="122"/>
        <v>1.0000034800871374</v>
      </c>
      <c r="AA90" s="67">
        <f t="shared" si="123"/>
        <v>2.8747048729643406E-3</v>
      </c>
      <c r="AB90" s="92" t="str">
        <f t="shared" si="124"/>
        <v>1.212511644526-10.2884100845091i</v>
      </c>
      <c r="AC90" s="37">
        <f t="shared" si="125"/>
        <v>20.306870033708229</v>
      </c>
      <c r="AD90" s="60">
        <f t="shared" si="126"/>
        <v>-83.27857085567247</v>
      </c>
      <c r="AE90" t="str">
        <f t="shared" si="127"/>
        <v>118.329284003155</v>
      </c>
      <c r="AF90" t="str">
        <f t="shared" si="108"/>
        <v>1+7.66133845848268i</v>
      </c>
      <c r="AG90">
        <f t="shared" si="128"/>
        <v>7.7263255804700437</v>
      </c>
      <c r="AH90">
        <f t="shared" si="129"/>
        <v>1.4410045950932984</v>
      </c>
      <c r="AI90" t="str">
        <f t="shared" si="109"/>
        <v>1+0.0180041453774343i</v>
      </c>
      <c r="AJ90">
        <f t="shared" si="130"/>
        <v>1.0001620614934221</v>
      </c>
      <c r="AK90">
        <f t="shared" si="131"/>
        <v>1.8002200412284057E-2</v>
      </c>
      <c r="AL90" t="str">
        <f t="shared" si="110"/>
        <v>1-0.00125396991420537i</v>
      </c>
      <c r="AM90">
        <f t="shared" si="132"/>
        <v>1.0000007862199638</v>
      </c>
      <c r="AN90">
        <f t="shared" si="133"/>
        <v>-1.2539692569416114E-3</v>
      </c>
      <c r="AO90" s="58" t="str">
        <f t="shared" si="134"/>
        <v>2.23661161414249-15.1534023066278i</v>
      </c>
      <c r="AP90">
        <f t="shared" si="135"/>
        <v>23.703798996839268</v>
      </c>
      <c r="AQ90" s="60">
        <f t="shared" si="136"/>
        <v>-81.603878598293463</v>
      </c>
      <c r="AR90" t="str">
        <f t="shared" si="111"/>
        <v>-1.94444444444444</v>
      </c>
      <c r="AS90" t="str">
        <f t="shared" si="112"/>
        <v>1+0.0184657901307018i</v>
      </c>
      <c r="AT90">
        <f t="shared" si="137"/>
        <v>1.000170478171172</v>
      </c>
      <c r="AU90">
        <f t="shared" si="138"/>
        <v>1.8463691705028203E-2</v>
      </c>
      <c r="AV90" t="str">
        <f t="shared" si="113"/>
        <v>1+0.0184657901307018i</v>
      </c>
      <c r="AW90">
        <f t="shared" si="139"/>
        <v>1.000170478171172</v>
      </c>
      <c r="AX90">
        <f t="shared" si="140"/>
        <v>1.8463691705028203E-2</v>
      </c>
      <c r="AY90" t="str">
        <f t="shared" si="114"/>
        <v>1-0.115221691539241i</v>
      </c>
      <c r="AZ90">
        <f t="shared" si="141"/>
        <v>1.0066161324959799</v>
      </c>
      <c r="BA90">
        <f t="shared" si="142"/>
        <v>-0.11471581919528609</v>
      </c>
      <c r="BB90" s="58" t="str">
        <f t="shared" si="143"/>
        <v>-1.9396459376493+0.259859272805468i</v>
      </c>
      <c r="BC90">
        <f t="shared" si="144"/>
        <v>5.8317078829875886</v>
      </c>
      <c r="BD90" s="60">
        <f t="shared" si="145"/>
        <v>172.36937610779549</v>
      </c>
      <c r="BE90" s="58" t="str">
        <f t="shared" si="146"/>
        <v>0.32169547722765+20.2709552195029i</v>
      </c>
      <c r="BF90" s="37">
        <f t="shared" si="147"/>
        <v>26.138577916695837</v>
      </c>
      <c r="BG90" s="60">
        <f t="shared" si="148"/>
        <v>89.090805252123005</v>
      </c>
      <c r="BH90" s="58" t="str">
        <f t="shared" si="149"/>
        <v>-0.400482527541723+29.9734394932155i</v>
      </c>
      <c r="BI90" s="37">
        <f t="shared" si="150"/>
        <v>29.535506879826862</v>
      </c>
      <c r="BJ90" s="60">
        <f t="shared" si="151"/>
        <v>90.765497509502012</v>
      </c>
      <c r="BK90">
        <f t="shared" si="152"/>
        <v>26.138577916695837</v>
      </c>
      <c r="BL90" s="60">
        <f t="shared" si="153"/>
        <v>89.090805252123005</v>
      </c>
      <c r="BN90">
        <f t="shared" si="154"/>
        <v>0</v>
      </c>
      <c r="BO90">
        <f t="shared" si="155"/>
        <v>0</v>
      </c>
    </row>
    <row r="91" spans="2:67" ht="14.25" x14ac:dyDescent="0.2">
      <c r="M91" s="66">
        <v>73</v>
      </c>
      <c r="N91" s="36">
        <f t="shared" si="115"/>
        <v>53.703179637025293</v>
      </c>
      <c r="O91" s="91" t="str">
        <f t="shared" si="103"/>
        <v>99.7340425531915</v>
      </c>
      <c r="P91" s="67" t="str">
        <f t="shared" si="104"/>
        <v>1+9.79974244507043i</v>
      </c>
      <c r="Q91" s="67">
        <f t="shared" si="116"/>
        <v>9.8506320604169844</v>
      </c>
      <c r="R91" s="67">
        <f t="shared" si="117"/>
        <v>1.4691048208518029</v>
      </c>
      <c r="S91" s="67" t="str">
        <f t="shared" si="105"/>
        <v>1+0.0184235157967324i</v>
      </c>
      <c r="T91" s="67">
        <f t="shared" si="118"/>
        <v>1.0001696985683541</v>
      </c>
      <c r="U91" s="67">
        <f t="shared" si="119"/>
        <v>1.8421431748123152E-2</v>
      </c>
      <c r="V91" t="str">
        <f t="shared" si="106"/>
        <v>1-0.00190308844493719i</v>
      </c>
      <c r="W91" s="67">
        <f t="shared" si="120"/>
        <v>1.000001810871175</v>
      </c>
      <c r="X91" s="67">
        <f t="shared" si="121"/>
        <v>-1.90308614744143E-3</v>
      </c>
      <c r="Y91" t="str">
        <f t="shared" si="107"/>
        <v>0.999999317388993+0.00294167153700057i</v>
      </c>
      <c r="Z91" s="67">
        <f t="shared" si="122"/>
        <v>1.000003644098302</v>
      </c>
      <c r="AA91" s="67">
        <f t="shared" si="123"/>
        <v>2.9416650598616768E-3</v>
      </c>
      <c r="AB91" s="92" t="str">
        <f t="shared" si="124"/>
        <v>1.16466098868379-10.0591347959146i</v>
      </c>
      <c r="AC91" s="37">
        <f t="shared" si="125"/>
        <v>20.10904443763042</v>
      </c>
      <c r="AD91" s="60">
        <f t="shared" si="126"/>
        <v>-83.395619402344835</v>
      </c>
      <c r="AE91" t="str">
        <f t="shared" si="127"/>
        <v>118.329284003155</v>
      </c>
      <c r="AF91" t="str">
        <f t="shared" si="108"/>
        <v>1+7.83979395605634i</v>
      </c>
      <c r="AG91">
        <f t="shared" si="128"/>
        <v>7.903313815951984</v>
      </c>
      <c r="AH91">
        <f t="shared" si="129"/>
        <v>1.4439270533596711</v>
      </c>
      <c r="AI91" t="str">
        <f t="shared" si="109"/>
        <v>1+0.0184235157967324i</v>
      </c>
      <c r="AJ91">
        <f t="shared" si="130"/>
        <v>1.0001696985683541</v>
      </c>
      <c r="AK91">
        <f t="shared" si="131"/>
        <v>1.8421431748123152E-2</v>
      </c>
      <c r="AL91" t="str">
        <f t="shared" si="110"/>
        <v>1-0.00128317862573725i</v>
      </c>
      <c r="AM91">
        <f t="shared" si="132"/>
        <v>1.0000008232733539</v>
      </c>
      <c r="AN91">
        <f t="shared" si="133"/>
        <v>-1.2831779214664753E-3</v>
      </c>
      <c r="AO91" s="58" t="str">
        <f t="shared" si="134"/>
        <v>2.14901840958291-14.8196577138854i</v>
      </c>
      <c r="AP91">
        <f t="shared" si="135"/>
        <v>23.507141206770644</v>
      </c>
      <c r="AQ91" s="60">
        <f t="shared" si="136"/>
        <v>-81.748976469779024</v>
      </c>
      <c r="AR91" t="str">
        <f t="shared" si="111"/>
        <v>-1.94444444444444</v>
      </c>
      <c r="AS91" t="str">
        <f t="shared" si="112"/>
        <v>1+0.0188959136376742i</v>
      </c>
      <c r="AT91">
        <f t="shared" si="137"/>
        <v>1.0001785118428621</v>
      </c>
      <c r="AU91">
        <f t="shared" si="138"/>
        <v>1.8893665155728233E-2</v>
      </c>
      <c r="AV91" t="str">
        <f t="shared" si="113"/>
        <v>1+0.0188959136376742i</v>
      </c>
      <c r="AW91">
        <f t="shared" si="139"/>
        <v>1.0001785118428621</v>
      </c>
      <c r="AX91">
        <f t="shared" si="140"/>
        <v>1.8893665155728233E-2</v>
      </c>
      <c r="AY91" t="str">
        <f t="shared" si="114"/>
        <v>1-0.112598925633636i</v>
      </c>
      <c r="AZ91">
        <f t="shared" si="141"/>
        <v>1.0063192922993422</v>
      </c>
      <c r="BA91">
        <f t="shared" si="142"/>
        <v>-0.11212665060609488</v>
      </c>
      <c r="BB91" s="58" t="str">
        <f t="shared" si="143"/>
        <v>-1.93961477837944+0.255593148741351i</v>
      </c>
      <c r="BC91">
        <f t="shared" si="144"/>
        <v>5.8290763630477063</v>
      </c>
      <c r="BD91" s="60">
        <f t="shared" si="145"/>
        <v>172.49308887637613</v>
      </c>
      <c r="BE91" s="58" t="str">
        <f t="shared" si="146"/>
        <v>0.312052270648411+19.8085258771807i</v>
      </c>
      <c r="BF91" s="37">
        <f t="shared" si="147"/>
        <v>25.938120800678117</v>
      </c>
      <c r="BG91" s="60">
        <f t="shared" si="148"/>
        <v>89.097469474031314</v>
      </c>
      <c r="BH91" s="58" t="str">
        <f t="shared" si="149"/>
        <v>-0.380464887875472+29.2937014943854i</v>
      </c>
      <c r="BI91" s="37">
        <f t="shared" si="150"/>
        <v>29.336217569818341</v>
      </c>
      <c r="BJ91" s="60">
        <f t="shared" si="151"/>
        <v>90.744112406597125</v>
      </c>
      <c r="BK91">
        <f t="shared" si="152"/>
        <v>25.938120800678117</v>
      </c>
      <c r="BL91" s="60">
        <f t="shared" si="153"/>
        <v>89.097469474031314</v>
      </c>
      <c r="BN91">
        <f t="shared" si="154"/>
        <v>0</v>
      </c>
      <c r="BO91">
        <f t="shared" si="155"/>
        <v>0</v>
      </c>
    </row>
    <row r="92" spans="2:67" ht="14.25" x14ac:dyDescent="0.2">
      <c r="M92" s="66">
        <v>74</v>
      </c>
      <c r="N92" s="36">
        <f t="shared" si="115"/>
        <v>54.95408738576247</v>
      </c>
      <c r="O92" s="91" t="str">
        <f t="shared" si="103"/>
        <v>99.7340425531915</v>
      </c>
      <c r="P92" s="67" t="str">
        <f t="shared" si="104"/>
        <v>1+10.0280077701968i</v>
      </c>
      <c r="Q92" s="67">
        <f t="shared" si="116"/>
        <v>10.077744779420016</v>
      </c>
      <c r="R92" s="67">
        <f t="shared" si="117"/>
        <v>1.4714042120998969</v>
      </c>
      <c r="S92" s="67" t="str">
        <f t="shared" si="105"/>
        <v>1+0.0188526546079701i</v>
      </c>
      <c r="T92" s="67">
        <f t="shared" si="118"/>
        <v>1.0001776955050374</v>
      </c>
      <c r="U92" s="67">
        <f t="shared" si="119"/>
        <v>1.8850421531079225E-2</v>
      </c>
      <c r="V92" t="str">
        <f t="shared" si="106"/>
        <v>1-0.00194741706939471i</v>
      </c>
      <c r="W92" s="67">
        <f t="shared" si="120"/>
        <v>1.0000018962148232</v>
      </c>
      <c r="X92" s="67">
        <f t="shared" si="121"/>
        <v>-1.9474146075839016E-3</v>
      </c>
      <c r="Y92" t="str">
        <f t="shared" si="107"/>
        <v>0.999999285218528+0.00301019186940445i</v>
      </c>
      <c r="Z92" s="67">
        <f t="shared" si="122"/>
        <v>1.0000038158390485</v>
      </c>
      <c r="AA92" s="67">
        <f t="shared" si="123"/>
        <v>3.010184929026498E-3</v>
      </c>
      <c r="AB92" s="92" t="str">
        <f t="shared" si="124"/>
        <v>1.11892054814209-9.8347576782106i</v>
      </c>
      <c r="AC92" s="37">
        <f t="shared" si="125"/>
        <v>19.911127977269622</v>
      </c>
      <c r="AD92" s="60">
        <f t="shared" si="126"/>
        <v>-83.50925124528672</v>
      </c>
      <c r="AE92" t="str">
        <f t="shared" si="127"/>
        <v>118.329284003155</v>
      </c>
      <c r="AF92" t="str">
        <f t="shared" si="108"/>
        <v>1+8.02240621615748i</v>
      </c>
      <c r="AG92">
        <f t="shared" si="128"/>
        <v>8.0844914185768157</v>
      </c>
      <c r="AH92">
        <f t="shared" si="129"/>
        <v>1.4467850952611792</v>
      </c>
      <c r="AI92" t="str">
        <f t="shared" si="109"/>
        <v>1+0.0188526546079701i</v>
      </c>
      <c r="AJ92">
        <f t="shared" si="130"/>
        <v>1.0001776955050374</v>
      </c>
      <c r="AK92">
        <f t="shared" si="131"/>
        <v>1.8850421531079225E-2</v>
      </c>
      <c r="AL92" t="str">
        <f t="shared" si="110"/>
        <v>1-0.00131306769556138i</v>
      </c>
      <c r="AM92">
        <f t="shared" si="132"/>
        <v>1.000000862073015</v>
      </c>
      <c r="AN92">
        <f t="shared" si="133"/>
        <v>-1.313066940921684E-3</v>
      </c>
      <c r="AO92" s="58" t="str">
        <f t="shared" si="134"/>
        <v>2.06524406933627-14.4927800986693i</v>
      </c>
      <c r="AP92">
        <f t="shared" si="135"/>
        <v>23.310341439770546</v>
      </c>
      <c r="AQ92" s="60">
        <f t="shared" si="136"/>
        <v>-81.889863419057946</v>
      </c>
      <c r="AR92" t="str">
        <f t="shared" si="111"/>
        <v>-1.94444444444444</v>
      </c>
      <c r="AS92" t="str">
        <f t="shared" si="112"/>
        <v>1+0.0193360560081744i</v>
      </c>
      <c r="AT92">
        <f t="shared" si="137"/>
        <v>1.0001869240606733</v>
      </c>
      <c r="AU92">
        <f t="shared" si="138"/>
        <v>1.9333646740679764E-2</v>
      </c>
      <c r="AV92" t="str">
        <f t="shared" si="113"/>
        <v>1+0.0193360560081744i</v>
      </c>
      <c r="AW92">
        <f t="shared" si="139"/>
        <v>1.0001869240606733</v>
      </c>
      <c r="AX92">
        <f t="shared" si="140"/>
        <v>1.9333646740679764E-2</v>
      </c>
      <c r="AY92" t="str">
        <f t="shared" si="114"/>
        <v>1-0.110035861168824i</v>
      </c>
      <c r="AZ92">
        <f t="shared" si="141"/>
        <v>1.0060357303511465</v>
      </c>
      <c r="BA92">
        <f t="shared" si="142"/>
        <v>-0.10959495907217395</v>
      </c>
      <c r="BB92" s="58" t="str">
        <f t="shared" si="143"/>
        <v>-1.93958215169142+0.251462488056941i</v>
      </c>
      <c r="BC92">
        <f t="shared" si="144"/>
        <v>5.8265554427171038</v>
      </c>
      <c r="BD92" s="60">
        <f t="shared" si="145"/>
        <v>172.61293502841761</v>
      </c>
      <c r="BE92" s="58" t="str">
        <f t="shared" si="146"/>
        <v>0.302834310862763+19.3566870038413i</v>
      </c>
      <c r="BF92" s="37">
        <f t="shared" si="147"/>
        <v>25.737683419986737</v>
      </c>
      <c r="BG92" s="60">
        <f t="shared" si="148"/>
        <v>89.103683783130904</v>
      </c>
      <c r="BH92" s="58" t="str">
        <f t="shared" si="149"/>
        <v>-0.361319993297685+28.6292690198877i</v>
      </c>
      <c r="BI92" s="37">
        <f t="shared" si="150"/>
        <v>29.13689688248764</v>
      </c>
      <c r="BJ92" s="60">
        <f t="shared" si="151"/>
        <v>90.723071609359664</v>
      </c>
      <c r="BK92">
        <f t="shared" si="152"/>
        <v>25.737683419986737</v>
      </c>
      <c r="BL92" s="60">
        <f t="shared" si="153"/>
        <v>89.103683783130904</v>
      </c>
      <c r="BN92">
        <f t="shared" si="154"/>
        <v>0</v>
      </c>
      <c r="BO92">
        <f t="shared" si="155"/>
        <v>0</v>
      </c>
    </row>
    <row r="93" spans="2:67" ht="14.25" x14ac:dyDescent="0.2">
      <c r="M93" s="66">
        <v>75</v>
      </c>
      <c r="N93" s="36">
        <f t="shared" si="115"/>
        <v>56.234132519034915</v>
      </c>
      <c r="O93" s="91" t="str">
        <f t="shared" si="103"/>
        <v>99.7340425531915</v>
      </c>
      <c r="P93" s="67" t="str">
        <f t="shared" si="104"/>
        <v>1+10.2615900777794i</v>
      </c>
      <c r="Q93" s="67">
        <f t="shared" si="116"/>
        <v>10.310200333862609</v>
      </c>
      <c r="R93" s="67">
        <f t="shared" si="117"/>
        <v>1.4736522822071043</v>
      </c>
      <c r="S93" s="67" t="str">
        <f t="shared" si="105"/>
        <v>1+0.0192917893462252i</v>
      </c>
      <c r="T93" s="67">
        <f t="shared" si="118"/>
        <v>1.0001860692572053</v>
      </c>
      <c r="U93" s="67">
        <f t="shared" si="119"/>
        <v>1.928939658526746E-2</v>
      </c>
      <c r="V93" t="str">
        <f t="shared" si="106"/>
        <v>1-0.00199277824015953i</v>
      </c>
      <c r="W93" s="67">
        <f t="shared" si="120"/>
        <v>1.000001985580586</v>
      </c>
      <c r="X93" s="67">
        <f t="shared" si="121"/>
        <v>-1.992775602282006E-3</v>
      </c>
      <c r="Y93" t="str">
        <f t="shared" si="107"/>
        <v>0.999999251531915+0.00308030824538207i</v>
      </c>
      <c r="Z93" s="67">
        <f t="shared" si="122"/>
        <v>1.0000039956736557</v>
      </c>
      <c r="AA93" s="67">
        <f t="shared" si="123"/>
        <v>3.0803008086346976E-3</v>
      </c>
      <c r="AB93" s="92" t="str">
        <f t="shared" si="124"/>
        <v>1.07519911157125-9.61518825289898i</v>
      </c>
      <c r="AC93" s="37">
        <f t="shared" si="125"/>
        <v>19.713124943533174</v>
      </c>
      <c r="AD93" s="60">
        <f t="shared" si="126"/>
        <v>-83.619521094091823</v>
      </c>
      <c r="AE93" t="str">
        <f t="shared" si="127"/>
        <v>118.329284003155</v>
      </c>
      <c r="AF93" t="str">
        <f t="shared" si="108"/>
        <v>1+8.2092720622235i</v>
      </c>
      <c r="AG93">
        <f t="shared" si="128"/>
        <v>8.2699545217373043</v>
      </c>
      <c r="AH93">
        <f t="shared" si="129"/>
        <v>1.44958004930469</v>
      </c>
      <c r="AI93" t="str">
        <f t="shared" si="109"/>
        <v>1+0.0192917893462252i</v>
      </c>
      <c r="AJ93">
        <f t="shared" si="130"/>
        <v>1.0001860692572053</v>
      </c>
      <c r="AK93">
        <f t="shared" si="131"/>
        <v>1.928939658526746E-2</v>
      </c>
      <c r="AL93" t="str">
        <f t="shared" si="110"/>
        <v>1-0.0013436529712582i</v>
      </c>
      <c r="AM93">
        <f t="shared" si="132"/>
        <v>1.0000009027012462</v>
      </c>
      <c r="AN93">
        <f t="shared" si="133"/>
        <v>-1.3436521626472367E-3</v>
      </c>
      <c r="AO93" s="58" t="str">
        <f t="shared" si="134"/>
        <v>1.98512733708641-14.1726602618588i</v>
      </c>
      <c r="AP93">
        <f t="shared" si="135"/>
        <v>23.113406175006354</v>
      </c>
      <c r="AQ93" s="60">
        <f t="shared" si="136"/>
        <v>-82.026603475887953</v>
      </c>
      <c r="AR93" t="str">
        <f t="shared" si="111"/>
        <v>-1.94444444444444</v>
      </c>
      <c r="AS93" t="str">
        <f t="shared" si="112"/>
        <v>1+0.019786450611513i</v>
      </c>
      <c r="AT93">
        <f t="shared" si="137"/>
        <v>1.0001957326582642</v>
      </c>
      <c r="AU93">
        <f t="shared" si="138"/>
        <v>1.9783869062165525E-2</v>
      </c>
      <c r="AV93" t="str">
        <f t="shared" si="113"/>
        <v>1+0.019786450611513i</v>
      </c>
      <c r="AW93">
        <f t="shared" si="139"/>
        <v>1.0001957326582642</v>
      </c>
      <c r="AX93">
        <f t="shared" si="140"/>
        <v>1.9783869062165525E-2</v>
      </c>
      <c r="AY93" t="str">
        <f t="shared" si="114"/>
        <v>1-0.107531139174101i</v>
      </c>
      <c r="AZ93">
        <f t="shared" si="141"/>
        <v>1.0057648561627512</v>
      </c>
      <c r="BA93">
        <f t="shared" si="142"/>
        <v>-0.10711953214182311</v>
      </c>
      <c r="BB93" s="58" t="str">
        <f t="shared" si="143"/>
        <v>-1.93954798853139+0.247465096655599i</v>
      </c>
      <c r="BC93">
        <f t="shared" si="144"/>
        <v>5.8241399642094365</v>
      </c>
      <c r="BD93" s="60">
        <f t="shared" si="145"/>
        <v>172.728970705156</v>
      </c>
      <c r="BE93" s="58" t="str">
        <f t="shared" si="146"/>
        <v>0.29402321624667+18.9151932873299i</v>
      </c>
      <c r="BF93" s="37">
        <f t="shared" si="147"/>
        <v>25.537264907742628</v>
      </c>
      <c r="BG93" s="60">
        <f t="shared" si="148"/>
        <v>89.109449611064193</v>
      </c>
      <c r="BH93" s="58" t="str">
        <f t="shared" si="149"/>
        <v>-0.343010992056766+27.9798044313728i</v>
      </c>
      <c r="BI93" s="37">
        <f t="shared" si="150"/>
        <v>28.937546139215801</v>
      </c>
      <c r="BJ93" s="60">
        <f t="shared" si="151"/>
        <v>90.702367229268063</v>
      </c>
      <c r="BK93">
        <f t="shared" si="152"/>
        <v>25.537264907742628</v>
      </c>
      <c r="BL93" s="60">
        <f t="shared" si="153"/>
        <v>89.109449611064193</v>
      </c>
      <c r="BN93">
        <f t="shared" si="154"/>
        <v>0</v>
      </c>
      <c r="BO93">
        <f t="shared" si="155"/>
        <v>0</v>
      </c>
    </row>
    <row r="94" spans="2:67" ht="14.25" x14ac:dyDescent="0.2">
      <c r="M94" s="66">
        <v>76</v>
      </c>
      <c r="N94" s="36">
        <f t="shared" si="115"/>
        <v>57.543993733715695</v>
      </c>
      <c r="O94" s="91" t="str">
        <f t="shared" si="103"/>
        <v>99.7340425531915</v>
      </c>
      <c r="P94" s="67" t="str">
        <f t="shared" si="104"/>
        <v>1+10.5006132162494i</v>
      </c>
      <c r="Q94" s="67">
        <f t="shared" si="116"/>
        <v>10.548122009024713</v>
      </c>
      <c r="R94" s="67">
        <f t="shared" si="117"/>
        <v>1.475850132189314</v>
      </c>
      <c r="S94" s="67" t="str">
        <f t="shared" si="105"/>
        <v>1+0.0197411528465488i</v>
      </c>
      <c r="T94" s="67">
        <f t="shared" si="118"/>
        <v>1.0001948375770147</v>
      </c>
      <c r="U94" s="67">
        <f t="shared" si="119"/>
        <v>1.9738588983963447E-2</v>
      </c>
      <c r="V94" t="str">
        <f t="shared" si="106"/>
        <v>1-0.00203919600832482i</v>
      </c>
      <c r="W94" s="67">
        <f t="shared" si="120"/>
        <v>1.0000020791580186</v>
      </c>
      <c r="X94" s="67">
        <f t="shared" si="121"/>
        <v>-2.0391931817884453E-3</v>
      </c>
      <c r="Y94" t="str">
        <f t="shared" si="107"/>
        <v>0.999999216257701+0.0031520578415641i</v>
      </c>
      <c r="Z94" s="67">
        <f t="shared" si="122"/>
        <v>1.0000041839835736</v>
      </c>
      <c r="AA94" s="67">
        <f t="shared" si="123"/>
        <v>3.1520498729475056E-3</v>
      </c>
      <c r="AB94" s="92" t="str">
        <f t="shared" si="124"/>
        <v>1.03340924861148-9.40033674970891i</v>
      </c>
      <c r="AC94" s="37">
        <f t="shared" si="125"/>
        <v>19.515039454836643</v>
      </c>
      <c r="AD94" s="60">
        <f t="shared" si="126"/>
        <v>-83.726482243410786</v>
      </c>
      <c r="AE94" t="str">
        <f t="shared" si="127"/>
        <v>118.329284003155</v>
      </c>
      <c r="AF94" t="str">
        <f t="shared" si="108"/>
        <v>1+8.40049057299949i</v>
      </c>
      <c r="AG94">
        <f t="shared" si="128"/>
        <v>8.4598015264575377</v>
      </c>
      <c r="AH94">
        <f t="shared" si="129"/>
        <v>1.4523132226500519</v>
      </c>
      <c r="AI94" t="str">
        <f t="shared" si="109"/>
        <v>1+0.0197411528465488i</v>
      </c>
      <c r="AJ94">
        <f t="shared" si="130"/>
        <v>1.0001948375770147</v>
      </c>
      <c r="AK94">
        <f t="shared" si="131"/>
        <v>1.9738588983963447E-2</v>
      </c>
      <c r="AL94" t="str">
        <f t="shared" si="110"/>
        <v>1-0.00137495066954573i</v>
      </c>
      <c r="AM94">
        <f t="shared" si="132"/>
        <v>1.0000009452442251</v>
      </c>
      <c r="AN94">
        <f t="shared" si="133"/>
        <v>-1.3749498031035165E-3</v>
      </c>
      <c r="AO94" s="58" t="str">
        <f t="shared" si="134"/>
        <v>1.90851331060155-13.8591885206904i</v>
      </c>
      <c r="AP94">
        <f t="shared" si="135"/>
        <v>22.916341630863357</v>
      </c>
      <c r="AQ94" s="60">
        <f t="shared" si="136"/>
        <v>-82.159259167327065</v>
      </c>
      <c r="AR94" t="str">
        <f t="shared" si="111"/>
        <v>-1.94444444444444</v>
      </c>
      <c r="AS94" t="str">
        <f t="shared" si="112"/>
        <v>1+0.0202473362528705i</v>
      </c>
      <c r="AT94">
        <f t="shared" si="137"/>
        <v>1.0002049563091242</v>
      </c>
      <c r="AU94">
        <f t="shared" si="138"/>
        <v>2.0244570103520189E-2</v>
      </c>
      <c r="AV94" t="str">
        <f t="shared" si="113"/>
        <v>1+0.0202473362528705i</v>
      </c>
      <c r="AW94">
        <f t="shared" si="139"/>
        <v>1.0002049563091242</v>
      </c>
      <c r="AX94">
        <f t="shared" si="140"/>
        <v>2.0244570103520189E-2</v>
      </c>
      <c r="AY94" t="str">
        <f t="shared" si="114"/>
        <v>1-0.105083431612711i</v>
      </c>
      <c r="AZ94">
        <f t="shared" si="141"/>
        <v>1.0055061052025012</v>
      </c>
      <c r="BA94">
        <f t="shared" si="142"/>
        <v>-0.10469917872706284</v>
      </c>
      <c r="BB94" s="58" t="str">
        <f t="shared" si="143"/>
        <v>-1.9395122166011+0.243598850818566i</v>
      </c>
      <c r="BC94">
        <f t="shared" si="144"/>
        <v>5.8218249770126951</v>
      </c>
      <c r="BD94" s="60">
        <f t="shared" si="145"/>
        <v>172.84125051546496</v>
      </c>
      <c r="BE94" s="58" t="str">
        <f t="shared" si="146"/>
        <v>0.285601367106096+18.4838052716117i</v>
      </c>
      <c r="BF94" s="37">
        <f t="shared" si="147"/>
        <v>25.336864431849317</v>
      </c>
      <c r="BG94" s="60">
        <f t="shared" si="148"/>
        <v>89.114768272054164</v>
      </c>
      <c r="BH94" s="58" t="str">
        <f t="shared" si="149"/>
        <v>-0.325502484539473+27.3449770972912i</v>
      </c>
      <c r="BI94" s="37">
        <f t="shared" si="150"/>
        <v>28.738166607876039</v>
      </c>
      <c r="BJ94" s="60">
        <f t="shared" si="151"/>
        <v>90.681991348137899</v>
      </c>
      <c r="BK94">
        <f t="shared" si="152"/>
        <v>25.336864431849317</v>
      </c>
      <c r="BL94" s="60">
        <f t="shared" si="153"/>
        <v>89.114768272054164</v>
      </c>
      <c r="BN94">
        <f t="shared" si="154"/>
        <v>0</v>
      </c>
      <c r="BO94">
        <f t="shared" si="155"/>
        <v>0</v>
      </c>
    </row>
    <row r="95" spans="2:67" ht="14.25" x14ac:dyDescent="0.2">
      <c r="M95" s="66">
        <v>77</v>
      </c>
      <c r="N95" s="36">
        <f t="shared" si="115"/>
        <v>58.884365535558949</v>
      </c>
      <c r="O95" s="91" t="str">
        <f t="shared" si="103"/>
        <v>99.7340425531915</v>
      </c>
      <c r="P95" s="67" t="str">
        <f t="shared" si="104"/>
        <v>1+10.7452039188386i</v>
      </c>
      <c r="Q95" s="67">
        <f t="shared" si="116"/>
        <v>10.791635986143362</v>
      </c>
      <c r="R95" s="67">
        <f t="shared" si="117"/>
        <v>1.4779988423944384</v>
      </c>
      <c r="S95" s="67" t="str">
        <f t="shared" si="105"/>
        <v>1+0.0202009833674167i</v>
      </c>
      <c r="T95" s="67">
        <f t="shared" si="118"/>
        <v>1.0002040190526185</v>
      </c>
      <c r="U95" s="67">
        <f t="shared" si="119"/>
        <v>2.0198236169424715E-2</v>
      </c>
      <c r="V95" t="str">
        <f t="shared" si="106"/>
        <v>1-0.00208669498520568i</v>
      </c>
      <c r="W95" s="67">
        <f t="shared" si="120"/>
        <v>1.0000021771456107</v>
      </c>
      <c r="X95" s="67">
        <f t="shared" si="121"/>
        <v>-2.0866919565177438E-3</v>
      </c>
      <c r="Y95" t="str">
        <f t="shared" si="107"/>
        <v>0.999999179321064+0.00322547870053614i</v>
      </c>
      <c r="Z95" s="67">
        <f t="shared" si="122"/>
        <v>1.0000043811682271</v>
      </c>
      <c r="AA95" s="67">
        <f t="shared" si="123"/>
        <v>3.2254701620116253E-3</v>
      </c>
      <c r="AB95" s="92" t="str">
        <f t="shared" si="124"/>
        <v>0.993467167332965-9.19011417540787i</v>
      </c>
      <c r="AC95" s="37">
        <f t="shared" si="125"/>
        <v>19.316875464874176</v>
      </c>
      <c r="AD95" s="60">
        <f t="shared" si="126"/>
        <v>-83.830186577787131</v>
      </c>
      <c r="AE95" t="str">
        <f t="shared" si="127"/>
        <v>118.329284003155</v>
      </c>
      <c r="AF95" t="str">
        <f t="shared" si="108"/>
        <v>1+8.59616313507092i</v>
      </c>
      <c r="AG95">
        <f t="shared" si="128"/>
        <v>8.65413315386078</v>
      </c>
      <c r="AH95">
        <f t="shared" si="129"/>
        <v>1.4549859010346067</v>
      </c>
      <c r="AI95" t="str">
        <f t="shared" si="109"/>
        <v>1+0.0202009833674167i</v>
      </c>
      <c r="AJ95">
        <f t="shared" si="130"/>
        <v>1.0002040190526185</v>
      </c>
      <c r="AK95">
        <f t="shared" si="131"/>
        <v>2.0198236169424715E-2</v>
      </c>
      <c r="AL95" t="str">
        <f t="shared" si="110"/>
        <v>1-0.00140697738487788i</v>
      </c>
      <c r="AM95">
        <f t="shared" si="132"/>
        <v>1.0000009897921909</v>
      </c>
      <c r="AN95">
        <f t="shared" si="133"/>
        <v>-1.406976456468371E-3</v>
      </c>
      <c r="AO95" s="58" t="str">
        <f t="shared" si="134"/>
        <v>1.8352532313793-13.5522548996377i</v>
      </c>
      <c r="AP95">
        <f t="shared" si="135"/>
        <v>22.719153775855997</v>
      </c>
      <c r="AQ95" s="60">
        <f t="shared" si="136"/>
        <v>-82.287891507035638</v>
      </c>
      <c r="AR95" t="str">
        <f t="shared" si="111"/>
        <v>-1.94444444444444</v>
      </c>
      <c r="AS95" t="str">
        <f t="shared" si="112"/>
        <v>1+0.0207189572999144i</v>
      </c>
      <c r="AT95">
        <f t="shared" si="137"/>
        <v>1.000214614566092</v>
      </c>
      <c r="AU95">
        <f t="shared" si="138"/>
        <v>2.0715993351831722E-2</v>
      </c>
      <c r="AV95" t="str">
        <f t="shared" si="113"/>
        <v>1+0.0207189572999144i</v>
      </c>
      <c r="AW95">
        <f t="shared" si="139"/>
        <v>1.000214614566092</v>
      </c>
      <c r="AX95">
        <f t="shared" si="140"/>
        <v>2.0715993351831722E-2</v>
      </c>
      <c r="AY95" t="str">
        <f t="shared" si="114"/>
        <v>1-0.102691440677706i</v>
      </c>
      <c r="AZ95">
        <f t="shared" si="141"/>
        <v>1.0052589377809396</v>
      </c>
      <c r="BA95">
        <f t="shared" si="142"/>
        <v>-0.10233272901590092</v>
      </c>
      <c r="BB95" s="58" t="str">
        <f t="shared" si="143"/>
        <v>-1.93947476020591+0.239861696058729i</v>
      </c>
      <c r="BC95">
        <f t="shared" si="144"/>
        <v>5.8196057288004708</v>
      </c>
      <c r="BD95" s="60">
        <f t="shared" si="145"/>
        <v>172.9498275338519</v>
      </c>
      <c r="BE95" s="58" t="str">
        <f t="shared" si="146"/>
        <v>0.277551876951153+18.0622892063493i</v>
      </c>
      <c r="BF95" s="37">
        <f t="shared" si="147"/>
        <v>25.136481193674665</v>
      </c>
      <c r="BG95" s="60">
        <f t="shared" si="148"/>
        <v>89.119640956064785</v>
      </c>
      <c r="BH95" s="58" t="str">
        <f t="shared" si="149"/>
        <v>-0.30876047519917+26.7244632745001i</v>
      </c>
      <c r="BI95" s="37">
        <f t="shared" si="150"/>
        <v>28.538759504656465</v>
      </c>
      <c r="BJ95" s="60">
        <f t="shared" si="151"/>
        <v>90.661936026816264</v>
      </c>
      <c r="BK95">
        <f t="shared" si="152"/>
        <v>25.136481193674665</v>
      </c>
      <c r="BL95" s="60">
        <f t="shared" si="153"/>
        <v>89.119640956064785</v>
      </c>
      <c r="BN95">
        <f t="shared" si="154"/>
        <v>0</v>
      </c>
      <c r="BO95">
        <f t="shared" si="155"/>
        <v>0</v>
      </c>
    </row>
    <row r="96" spans="2:67" ht="14.25" x14ac:dyDescent="0.2">
      <c r="M96" s="66">
        <v>78</v>
      </c>
      <c r="N96" s="36">
        <f t="shared" si="115"/>
        <v>60.255958607435822</v>
      </c>
      <c r="O96" s="91" t="str">
        <f t="shared" si="103"/>
        <v>99.7340425531915</v>
      </c>
      <c r="P96" s="67" t="str">
        <f t="shared" si="104"/>
        <v>1+10.9954918707753i</v>
      </c>
      <c r="Q96" s="67">
        <f t="shared" si="116"/>
        <v>11.040871409462465</v>
      </c>
      <c r="R96" s="67">
        <f t="shared" si="117"/>
        <v>1.4800994726893149</v>
      </c>
      <c r="S96" s="67" t="str">
        <f t="shared" si="105"/>
        <v>1+0.0206715247170575i</v>
      </c>
      <c r="T96" s="67">
        <f t="shared" si="118"/>
        <v>1.0002136331475031</v>
      </c>
      <c r="U96" s="67">
        <f t="shared" si="119"/>
        <v>2.0668581075329855E-2</v>
      </c>
      <c r="V96" t="str">
        <f t="shared" si="106"/>
        <v>1-0.00213530035538836i</v>
      </c>
      <c r="W96" s="67">
        <f t="shared" si="120"/>
        <v>1.0000022797512051</v>
      </c>
      <c r="X96" s="67">
        <f t="shared" si="121"/>
        <v>-2.1352971100911662E-3</v>
      </c>
      <c r="Y96" t="str">
        <f t="shared" si="107"/>
        <v>0.999999140643657+0.00330060975100947i</v>
      </c>
      <c r="Z96" s="67">
        <f t="shared" si="122"/>
        <v>1.0000045876458672</v>
      </c>
      <c r="AA96" s="67">
        <f t="shared" si="123"/>
        <v>3.3006006018178598E-3</v>
      </c>
      <c r="AB96" s="92" t="str">
        <f t="shared" si="124"/>
        <v>0.955292575792777-8.98443237593822i</v>
      </c>
      <c r="AC96" s="37">
        <f t="shared" si="125"/>
        <v>19.118636770122144</v>
      </c>
      <c r="AD96" s="60">
        <f t="shared" si="126"/>
        <v>-83.930684577253217</v>
      </c>
      <c r="AE96" t="str">
        <f t="shared" si="127"/>
        <v>118.329284003155</v>
      </c>
      <c r="AF96" t="str">
        <f t="shared" si="108"/>
        <v>1+8.79639349662022i</v>
      </c>
      <c r="AG96">
        <f t="shared" si="128"/>
        <v>8.8530524988493386</v>
      </c>
      <c r="AH96">
        <f t="shared" si="129"/>
        <v>1.457599348733507</v>
      </c>
      <c r="AI96" t="str">
        <f t="shared" si="109"/>
        <v>1+0.0206715247170575i</v>
      </c>
      <c r="AJ96">
        <f t="shared" si="130"/>
        <v>1.0002136331475031</v>
      </c>
      <c r="AK96">
        <f t="shared" si="131"/>
        <v>2.0668581075329855E-2</v>
      </c>
      <c r="AL96" t="str">
        <f t="shared" si="110"/>
        <v>1-0.00143975009824303i</v>
      </c>
      <c r="AM96">
        <f t="shared" si="132"/>
        <v>1.0000010364396357</v>
      </c>
      <c r="AN96">
        <f t="shared" si="133"/>
        <v>-1.4397491034343736E-3</v>
      </c>
      <c r="AO96" s="58" t="str">
        <f t="shared" si="134"/>
        <v>1.76520427759001-13.2517493068446i</v>
      </c>
      <c r="AP96">
        <f t="shared" si="135"/>
        <v>22.521848339201767</v>
      </c>
      <c r="AQ96" s="60">
        <f t="shared" si="136"/>
        <v>-82.412559986491587</v>
      </c>
      <c r="AR96" t="str">
        <f t="shared" si="111"/>
        <v>-1.94444444444444</v>
      </c>
      <c r="AS96" t="str">
        <f t="shared" si="112"/>
        <v>1+0.0212015638123666i</v>
      </c>
      <c r="AT96">
        <f t="shared" si="137"/>
        <v>1.0002247279027299</v>
      </c>
      <c r="AU96">
        <f t="shared" si="138"/>
        <v>2.1198387923313564E-2</v>
      </c>
      <c r="AV96" t="str">
        <f t="shared" si="113"/>
        <v>1+0.0212015638123666i</v>
      </c>
      <c r="AW96">
        <f t="shared" si="139"/>
        <v>1.0002247279027299</v>
      </c>
      <c r="AX96">
        <f t="shared" si="140"/>
        <v>2.1198387923313564E-2</v>
      </c>
      <c r="AY96" t="str">
        <f t="shared" si="114"/>
        <v>1-0.10035389810383i</v>
      </c>
      <c r="AZ96">
        <f t="shared" si="141"/>
        <v>1.0050228379816222</v>
      </c>
      <c r="BA96">
        <f t="shared" si="142"/>
        <v>-0.10001903436185475</v>
      </c>
      <c r="BB96" s="58" t="str">
        <f t="shared" si="143"/>
        <v>-1.93943554009579+0.236251646009649i</v>
      </c>
      <c r="BC96">
        <f t="shared" si="144"/>
        <v>5.8174776566439759</v>
      </c>
      <c r="BD96" s="60">
        <f t="shared" si="145"/>
        <v>173.05475329960478</v>
      </c>
      <c r="BE96" s="58" t="str">
        <f t="shared" si="146"/>
        <v>0.269858564595623+17.6504169009337i</v>
      </c>
      <c r="BF96" s="37">
        <f t="shared" si="147"/>
        <v>24.936114426766132</v>
      </c>
      <c r="BG96" s="60">
        <f t="shared" si="148"/>
        <v>89.124068722351566</v>
      </c>
      <c r="BH96" s="58" t="str">
        <f t="shared" si="149"/>
        <v>-0.292752325237918+26.1179459902581i</v>
      </c>
      <c r="BI96" s="37">
        <f t="shared" si="150"/>
        <v>28.339325995845748</v>
      </c>
      <c r="BJ96" s="60">
        <f t="shared" si="151"/>
        <v>90.642193313113211</v>
      </c>
      <c r="BK96">
        <f t="shared" si="152"/>
        <v>24.936114426766132</v>
      </c>
      <c r="BL96" s="60">
        <f t="shared" si="153"/>
        <v>89.124068722351566</v>
      </c>
      <c r="BN96">
        <f t="shared" si="154"/>
        <v>0</v>
      </c>
      <c r="BO96">
        <f t="shared" si="155"/>
        <v>0</v>
      </c>
    </row>
    <row r="97" spans="13:67" ht="14.25" x14ac:dyDescent="0.2">
      <c r="M97" s="66">
        <v>79</v>
      </c>
      <c r="N97" s="36">
        <f t="shared" si="115"/>
        <v>61.659500186148257</v>
      </c>
      <c r="O97" s="91" t="str">
        <f t="shared" si="103"/>
        <v>99.7340425531915</v>
      </c>
      <c r="P97" s="67" t="str">
        <f t="shared" si="104"/>
        <v>1+11.2516097780444i</v>
      </c>
      <c r="Q97" s="67">
        <f t="shared" si="116"/>
        <v>11.29596045484333</v>
      </c>
      <c r="R97" s="67">
        <f t="shared" si="117"/>
        <v>1.4821530626602344</v>
      </c>
      <c r="S97" s="67" t="str">
        <f t="shared" si="105"/>
        <v>1+0.0211530263827234i</v>
      </c>
      <c r="T97" s="67">
        <f t="shared" si="118"/>
        <v>1.000223700241675</v>
      </c>
      <c r="U97" s="67">
        <f t="shared" si="119"/>
        <v>2.1149872251882799E-2</v>
      </c>
      <c r="V97" t="str">
        <f t="shared" si="106"/>
        <v>1-0.00218503789008351i</v>
      </c>
      <c r="W97" s="67">
        <f t="shared" si="120"/>
        <v>1.0000023871924413</v>
      </c>
      <c r="X97" s="67">
        <f t="shared" si="121"/>
        <v>-2.1850344126853639E-3</v>
      </c>
      <c r="Y97" t="str">
        <f t="shared" si="107"/>
        <v>0.999999100143441+0.00337749082846152i</v>
      </c>
      <c r="Z97" s="67">
        <f t="shared" si="122"/>
        <v>1.0000048038544556</v>
      </c>
      <c r="AA97" s="67">
        <f t="shared" si="123"/>
        <v>3.377481024928599E-3</v>
      </c>
      <c r="AB97" s="92" t="str">
        <f t="shared" si="124"/>
        <v>0.918808547694128-8.78320409231399i</v>
      </c>
      <c r="AC97" s="37">
        <f t="shared" si="125"/>
        <v>18.920327017085189</v>
      </c>
      <c r="AD97" s="60">
        <f t="shared" si="126"/>
        <v>-84.028025323598385</v>
      </c>
      <c r="AE97" t="str">
        <f t="shared" si="127"/>
        <v>118.329284003155</v>
      </c>
      <c r="AF97" t="str">
        <f t="shared" si="108"/>
        <v>1+9.00128782243548i</v>
      </c>
      <c r="AG97">
        <f t="shared" si="128"/>
        <v>9.0566650850257933</v>
      </c>
      <c r="AH97">
        <f t="shared" si="129"/>
        <v>1.4601548085530995</v>
      </c>
      <c r="AI97" t="str">
        <f t="shared" si="109"/>
        <v>1+0.0211530263827234i</v>
      </c>
      <c r="AJ97">
        <f t="shared" si="130"/>
        <v>1.000223700241675</v>
      </c>
      <c r="AK97">
        <f t="shared" si="131"/>
        <v>2.1149872251882799E-2</v>
      </c>
      <c r="AL97" t="str">
        <f t="shared" si="110"/>
        <v>1-0.00147328618616762i</v>
      </c>
      <c r="AM97">
        <f t="shared" si="132"/>
        <v>1.0000010852855044</v>
      </c>
      <c r="AN97">
        <f t="shared" si="133"/>
        <v>-1.4732851202110021E-3</v>
      </c>
      <c r="AO97" s="58" t="str">
        <f t="shared" si="134"/>
        <v>1.6982293606526-12.9575616969181i</v>
      </c>
      <c r="AP97">
        <f t="shared" si="135"/>
        <v>22.324430821062254</v>
      </c>
      <c r="AQ97" s="60">
        <f t="shared" si="136"/>
        <v>-82.533322567959104</v>
      </c>
      <c r="AR97" t="str">
        <f t="shared" si="111"/>
        <v>-1.94444444444444</v>
      </c>
      <c r="AS97" t="str">
        <f t="shared" si="112"/>
        <v>1+0.021695411674588i</v>
      </c>
      <c r="AT97">
        <f t="shared" si="137"/>
        <v>1.0002353177566417</v>
      </c>
      <c r="AU97">
        <f t="shared" si="138"/>
        <v>2.1692008691394631E-2</v>
      </c>
      <c r="AV97" t="str">
        <f t="shared" si="113"/>
        <v>1+0.021695411674588i</v>
      </c>
      <c r="AW97">
        <f t="shared" si="139"/>
        <v>1.0002353177566417</v>
      </c>
      <c r="AX97">
        <f t="shared" si="140"/>
        <v>2.1692008691394631E-2</v>
      </c>
      <c r="AY97" t="str">
        <f t="shared" si="114"/>
        <v>1-0.098069564495069i</v>
      </c>
      <c r="AZ97">
        <f t="shared" si="141"/>
        <v>1.0047973126358631</v>
      </c>
      <c r="BA97">
        <f t="shared" si="142"/>
        <v>-9.7756967152709429E-2</v>
      </c>
      <c r="BB97" s="58" t="str">
        <f t="shared" si="143"/>
        <v>-1.9393944732989+0.232766781349163i</v>
      </c>
      <c r="BC97">
        <f t="shared" si="144"/>
        <v>5.8154363785158658</v>
      </c>
      <c r="BD97" s="60">
        <f t="shared" si="145"/>
        <v>173.15607781697273</v>
      </c>
      <c r="BE97" s="58" t="str">
        <f t="shared" si="146"/>
        <v>0.262505927082944+17.2479655828129i</v>
      </c>
      <c r="BF97" s="37">
        <f t="shared" si="147"/>
        <v>24.735763395601055</v>
      </c>
      <c r="BG97" s="60">
        <f t="shared" si="148"/>
        <v>89.128052493374327</v>
      </c>
      <c r="BH97" s="58" t="str">
        <f t="shared" si="149"/>
        <v>-0.277446706118751+25.5251149247042i</v>
      </c>
      <c r="BI97" s="37">
        <f t="shared" si="150"/>
        <v>28.139867199578109</v>
      </c>
      <c r="BJ97" s="60">
        <f t="shared" si="151"/>
        <v>90.622755249013608</v>
      </c>
      <c r="BK97">
        <f t="shared" si="152"/>
        <v>24.735763395601055</v>
      </c>
      <c r="BL97" s="60">
        <f t="shared" si="153"/>
        <v>89.128052493374327</v>
      </c>
      <c r="BN97">
        <f t="shared" si="154"/>
        <v>0</v>
      </c>
      <c r="BO97">
        <f t="shared" si="155"/>
        <v>0</v>
      </c>
    </row>
    <row r="98" spans="13:67" ht="14.25" x14ac:dyDescent="0.2">
      <c r="M98" s="66">
        <v>80</v>
      </c>
      <c r="N98" s="36">
        <f t="shared" si="115"/>
        <v>63.095734448019364</v>
      </c>
      <c r="O98" s="91" t="str">
        <f t="shared" si="103"/>
        <v>99.7340425531915</v>
      </c>
      <c r="P98" s="67" t="str">
        <f t="shared" si="104"/>
        <v>1+11.5136934377504i</v>
      </c>
      <c r="Q98" s="67">
        <f t="shared" si="116"/>
        <v>11.557038399974996</v>
      </c>
      <c r="R98" s="67">
        <f t="shared" si="117"/>
        <v>1.4841606318257212</v>
      </c>
      <c r="S98" s="67" t="str">
        <f t="shared" si="105"/>
        <v>1+0.0216457436629707i</v>
      </c>
      <c r="T98" s="67">
        <f t="shared" si="118"/>
        <v>1.0002342416747805</v>
      </c>
      <c r="U98" s="67">
        <f t="shared" si="119"/>
        <v>2.1642363993629461E-2</v>
      </c>
      <c r="V98" t="str">
        <f t="shared" si="106"/>
        <v>1-0.00223593396079038i</v>
      </c>
      <c r="W98" s="67">
        <f t="shared" si="120"/>
        <v>1.0000024996972143</v>
      </c>
      <c r="X98" s="67">
        <f t="shared" si="121"/>
        <v>-2.2359302346916378E-3</v>
      </c>
      <c r="Y98" t="str">
        <f t="shared" si="107"/>
        <v>0.999999057734508+0.00345616269625718i</v>
      </c>
      <c r="Z98" s="67">
        <f t="shared" si="122"/>
        <v>1.0000050302525918</v>
      </c>
      <c r="AA98" s="67">
        <f t="shared" si="123"/>
        <v>3.4561521915852222E-3</v>
      </c>
      <c r="AB98" s="92" t="str">
        <f t="shared" si="124"/>
        <v>0.883941392137882-8.58634301068842i</v>
      </c>
      <c r="AC98" s="37">
        <f t="shared" si="125"/>
        <v>18.721949709292304</v>
      </c>
      <c r="AD98" s="60">
        <f t="shared" si="126"/>
        <v>-84.12225650722884</v>
      </c>
      <c r="AE98" t="str">
        <f t="shared" si="127"/>
        <v>118.329284003155</v>
      </c>
      <c r="AF98" t="str">
        <f t="shared" si="108"/>
        <v>1+9.21095475020031i</v>
      </c>
      <c r="AG98">
        <f t="shared" si="128"/>
        <v>9.2650789208855446</v>
      </c>
      <c r="AH98">
        <f t="shared" si="129"/>
        <v>1.4626535018547848</v>
      </c>
      <c r="AI98" t="str">
        <f t="shared" si="109"/>
        <v>1+0.0216457436629707i</v>
      </c>
      <c r="AJ98">
        <f t="shared" si="130"/>
        <v>1.0002342416747805</v>
      </c>
      <c r="AK98">
        <f t="shared" si="131"/>
        <v>2.1642363993629461E-2</v>
      </c>
      <c r="AL98" t="str">
        <f t="shared" si="110"/>
        <v>1-0.00150760342992936i</v>
      </c>
      <c r="AM98">
        <f t="shared" si="132"/>
        <v>1.0000011364334052</v>
      </c>
      <c r="AN98">
        <f t="shared" si="133"/>
        <v>-1.5076022877363357E-3</v>
      </c>
      <c r="AO98" s="58" t="str">
        <f t="shared" si="134"/>
        <v>1.63419692572763-12.6695822208628i</v>
      </c>
      <c r="AP98">
        <f t="shared" si="135"/>
        <v>22.126906502460969</v>
      </c>
      <c r="AQ98" s="60">
        <f t="shared" si="136"/>
        <v>-82.650235679060216</v>
      </c>
      <c r="AR98" t="str">
        <f t="shared" si="111"/>
        <v>-1.94444444444444</v>
      </c>
      <c r="AS98" t="str">
        <f t="shared" si="112"/>
        <v>1+0.0222007627312519i</v>
      </c>
      <c r="AT98">
        <f t="shared" si="137"/>
        <v>1.0002464065748247</v>
      </c>
      <c r="AU98">
        <f t="shared" si="138"/>
        <v>2.2197116417577423E-2</v>
      </c>
      <c r="AV98" t="str">
        <f t="shared" si="113"/>
        <v>1+0.0222007627312519i</v>
      </c>
      <c r="AW98">
        <f t="shared" si="139"/>
        <v>1.0002464065748247</v>
      </c>
      <c r="AX98">
        <f t="shared" si="140"/>
        <v>2.2197116417577423E-2</v>
      </c>
      <c r="AY98" t="str">
        <f t="shared" si="114"/>
        <v>1-0.095837228667508i</v>
      </c>
      <c r="AZ98">
        <f t="shared" si="141"/>
        <v>1.0045818903397912</v>
      </c>
      <c r="BA98">
        <f t="shared" si="142"/>
        <v>-9.5545420660360203E-2</v>
      </c>
      <c r="BB98" s="58" t="str">
        <f t="shared" si="143"/>
        <v>-1.93935147294748+0.229405248756898i</v>
      </c>
      <c r="BC98">
        <f t="shared" si="144"/>
        <v>5.8134776850774195</v>
      </c>
      <c r="BD98" s="60">
        <f t="shared" si="145"/>
        <v>173.25384955627155</v>
      </c>
      <c r="BE98" s="58" t="str">
        <f t="shared" si="146"/>
        <v>0.255479113437182+16.8547177599608i</v>
      </c>
      <c r="BF98" s="37">
        <f t="shared" si="147"/>
        <v>24.535427394369727</v>
      </c>
      <c r="BG98" s="60">
        <f t="shared" si="148"/>
        <v>89.131593049042721</v>
      </c>
      <c r="BH98" s="58" t="str">
        <f t="shared" si="149"/>
        <v>-0.26281355397312+24.9456662939238i</v>
      </c>
      <c r="BI98" s="37">
        <f t="shared" si="150"/>
        <v>27.940384187538395</v>
      </c>
      <c r="BJ98" s="60">
        <f t="shared" si="151"/>
        <v>90.603613877211345</v>
      </c>
      <c r="BK98">
        <f t="shared" si="152"/>
        <v>24.535427394369727</v>
      </c>
      <c r="BL98" s="60">
        <f t="shared" si="153"/>
        <v>89.131593049042721</v>
      </c>
      <c r="BN98">
        <f t="shared" si="154"/>
        <v>0</v>
      </c>
      <c r="BO98">
        <f t="shared" si="155"/>
        <v>0</v>
      </c>
    </row>
    <row r="99" spans="13:67" ht="14.25" x14ac:dyDescent="0.2">
      <c r="M99" s="66">
        <v>81</v>
      </c>
      <c r="N99" s="36">
        <f t="shared" si="115"/>
        <v>64.565422903465588</v>
      </c>
      <c r="O99" s="91" t="str">
        <f t="shared" si="103"/>
        <v>99.7340425531915</v>
      </c>
      <c r="P99" s="67" t="str">
        <f t="shared" si="104"/>
        <v>1+11.7818818101189i</v>
      </c>
      <c r="Q99" s="67">
        <f t="shared" si="116"/>
        <v>11.824243696220517</v>
      </c>
      <c r="R99" s="67">
        <f t="shared" si="117"/>
        <v>1.4861231798602466</v>
      </c>
      <c r="S99" s="67" t="str">
        <f t="shared" si="105"/>
        <v>1+0.0221499378030235i</v>
      </c>
      <c r="T99" s="67">
        <f t="shared" si="118"/>
        <v>1.0002452797912509</v>
      </c>
      <c r="U99" s="67">
        <f t="shared" si="119"/>
        <v>2.2146316470039038E-2</v>
      </c>
      <c r="V99" t="str">
        <f t="shared" si="106"/>
        <v>1-0.00228801555327935i</v>
      </c>
      <c r="W99" s="67">
        <f t="shared" si="120"/>
        <v>1.0000026175041603</v>
      </c>
      <c r="X99" s="67">
        <f t="shared" si="121"/>
        <v>-2.2880115606931789E-3</v>
      </c>
      <c r="Y99" t="str">
        <f t="shared" si="107"/>
        <v>0.999999013326903+0.00353666706726213i</v>
      </c>
      <c r="Z99" s="67">
        <f t="shared" si="122"/>
        <v>1.0000052673204898</v>
      </c>
      <c r="AA99" s="67">
        <f t="shared" si="123"/>
        <v>3.5366558113065047E-3</v>
      </c>
      <c r="AB99" s="92" t="str">
        <f t="shared" si="124"/>
        <v>0.85062052744343-8.39376380698282i</v>
      </c>
      <c r="AC99" s="37">
        <f t="shared" si="125"/>
        <v>18.523508214052786</v>
      </c>
      <c r="AD99" s="60">
        <f t="shared" si="126"/>
        <v>-84.21342443454229</v>
      </c>
      <c r="AE99" t="str">
        <f t="shared" si="127"/>
        <v>118.329284003155</v>
      </c>
      <c r="AF99" t="str">
        <f t="shared" si="108"/>
        <v>1+9.42550544809509i</v>
      </c>
      <c r="AG99">
        <f t="shared" si="128"/>
        <v>9.4784045573118583</v>
      </c>
      <c r="AH99">
        <f t="shared" si="129"/>
        <v>1.4650966286069271</v>
      </c>
      <c r="AI99" t="str">
        <f t="shared" si="109"/>
        <v>1+0.0221499378030235i</v>
      </c>
      <c r="AJ99">
        <f t="shared" si="130"/>
        <v>1.0002452797912509</v>
      </c>
      <c r="AK99">
        <f t="shared" si="131"/>
        <v>2.2146316470039038E-2</v>
      </c>
      <c r="AL99" t="str">
        <f t="shared" si="110"/>
        <v>1-0.00154272002498515i</v>
      </c>
      <c r="AM99">
        <f t="shared" si="132"/>
        <v>1.0000011899918297</v>
      </c>
      <c r="AN99">
        <f t="shared" si="133"/>
        <v>-1.5427188011033527E-3</v>
      </c>
      <c r="AO99" s="58" t="str">
        <f t="shared" si="134"/>
        <v>1.57298075636552-12.3877013638996i</v>
      </c>
      <c r="AP99">
        <f t="shared" si="135"/>
        <v>21.929280454882758</v>
      </c>
      <c r="AQ99" s="60">
        <f t="shared" si="136"/>
        <v>-82.763354208807172</v>
      </c>
      <c r="AR99" t="str">
        <f t="shared" si="111"/>
        <v>-1.94444444444444</v>
      </c>
      <c r="AS99" t="str">
        <f t="shared" si="112"/>
        <v>1+0.0227178849261778i</v>
      </c>
      <c r="AT99">
        <f t="shared" si="137"/>
        <v>1.0002580178611513</v>
      </c>
      <c r="AU99">
        <f t="shared" si="138"/>
        <v>2.2713977885112927E-2</v>
      </c>
      <c r="AV99" t="str">
        <f t="shared" si="113"/>
        <v>1+0.0227178849261778i</v>
      </c>
      <c r="AW99">
        <f t="shared" si="139"/>
        <v>1.0002580178611513</v>
      </c>
      <c r="AX99">
        <f t="shared" si="140"/>
        <v>2.2713977885112927E-2</v>
      </c>
      <c r="AY99" t="str">
        <f t="shared" si="114"/>
        <v>1-0.0936557070071421i</v>
      </c>
      <c r="AZ99">
        <f t="shared" si="141"/>
        <v>1.0043761205121355</v>
      </c>
      <c r="BA99">
        <f t="shared" si="142"/>
        <v>-9.3383308873470086E-2</v>
      </c>
      <c r="BB99" s="58" t="str">
        <f t="shared" si="143"/>
        <v>-1.93930644809562+0.226165259904985i</v>
      </c>
      <c r="BC99">
        <f t="shared" si="144"/>
        <v>5.8115975317397393</v>
      </c>
      <c r="BD99" s="60">
        <f t="shared" si="145"/>
        <v>173.34811545581312</v>
      </c>
      <c r="BE99" s="58" t="str">
        <f t="shared" si="146"/>
        <v>0.248763899233785+16.4704610873432i</v>
      </c>
      <c r="BF99" s="37">
        <f t="shared" si="147"/>
        <v>24.335105745792536</v>
      </c>
      <c r="BG99" s="60">
        <f t="shared" si="148"/>
        <v>89.134691021270839</v>
      </c>
      <c r="BH99" s="58" t="str">
        <f t="shared" si="149"/>
        <v>-0.248824024958288+24.3793027336823i</v>
      </c>
      <c r="BI99" s="37">
        <f t="shared" si="150"/>
        <v>27.740877986622479</v>
      </c>
      <c r="BJ99" s="60">
        <f t="shared" si="151"/>
        <v>90.584761247005943</v>
      </c>
      <c r="BK99">
        <f t="shared" si="152"/>
        <v>24.335105745792536</v>
      </c>
      <c r="BL99" s="60">
        <f t="shared" si="153"/>
        <v>89.134691021270839</v>
      </c>
      <c r="BN99">
        <f t="shared" si="154"/>
        <v>0</v>
      </c>
      <c r="BO99">
        <f t="shared" si="155"/>
        <v>0</v>
      </c>
    </row>
    <row r="100" spans="13:67" ht="14.25" x14ac:dyDescent="0.2">
      <c r="M100" s="66">
        <v>82</v>
      </c>
      <c r="N100" s="36">
        <f t="shared" si="115"/>
        <v>66.069344800759623</v>
      </c>
      <c r="O100" s="91" t="str">
        <f t="shared" si="103"/>
        <v>99.7340425531915</v>
      </c>
      <c r="P100" s="67" t="str">
        <f t="shared" si="104"/>
        <v>1+12.0563170921747i</v>
      </c>
      <c r="Q100" s="67">
        <f t="shared" si="116"/>
        <v>12.097718042137691</v>
      </c>
      <c r="R100" s="67">
        <f t="shared" si="117"/>
        <v>1.4880416868276607</v>
      </c>
      <c r="S100" s="67" t="str">
        <f t="shared" si="105"/>
        <v>1+0.0226658761332885i</v>
      </c>
      <c r="T100" s="67">
        <f t="shared" si="118"/>
        <v>1.0002568379875689</v>
      </c>
      <c r="U100" s="67">
        <f t="shared" si="119"/>
        <v>2.266199585889522E-2</v>
      </c>
      <c r="V100" t="str">
        <f t="shared" si="106"/>
        <v>1-0.00234131028190013i</v>
      </c>
      <c r="W100" s="67">
        <f t="shared" si="120"/>
        <v>1.000002740863162</v>
      </c>
      <c r="X100" s="67">
        <f t="shared" si="121"/>
        <v>-2.3413060037676034E-3</v>
      </c>
      <c r="Y100" t="str">
        <f t="shared" si="107"/>
        <v>0.999998966826433+0.00361904662595947i</v>
      </c>
      <c r="Z100" s="67">
        <f t="shared" si="122"/>
        <v>1.0000055155609964</v>
      </c>
      <c r="AA100" s="67">
        <f t="shared" si="123"/>
        <v>3.6190345649892747E-3</v>
      </c>
      <c r="AB100" s="92" t="str">
        <f t="shared" si="124"/>
        <v>0.818778359004154-8.20538218644633i</v>
      </c>
      <c r="AC100" s="37">
        <f t="shared" si="125"/>
        <v>18.325005768981775</v>
      </c>
      <c r="AD100" s="60">
        <f t="shared" si="126"/>
        <v>-84.30157403574546</v>
      </c>
      <c r="AE100" t="str">
        <f t="shared" si="127"/>
        <v>118.329284003155</v>
      </c>
      <c r="AF100" t="str">
        <f t="shared" si="108"/>
        <v>1+9.64505367373979i</v>
      </c>
      <c r="AG100">
        <f t="shared" si="128"/>
        <v>9.6967551464044615</v>
      </c>
      <c r="AH100">
        <f t="shared" si="129"/>
        <v>1.467485367462517</v>
      </c>
      <c r="AI100" t="str">
        <f t="shared" si="109"/>
        <v>1+0.0226658761332885i</v>
      </c>
      <c r="AJ100">
        <f t="shared" si="130"/>
        <v>1.0002568379875689</v>
      </c>
      <c r="AK100">
        <f t="shared" si="131"/>
        <v>2.266199585889522E-2</v>
      </c>
      <c r="AL100" t="str">
        <f t="shared" si="110"/>
        <v>1-0.00157865459061849i</v>
      </c>
      <c r="AM100">
        <f t="shared" si="132"/>
        <v>1.0000012460743819</v>
      </c>
      <c r="AN100">
        <f t="shared" si="133"/>
        <v>-1.578653279205605E-3</v>
      </c>
      <c r="AO100" s="58" t="str">
        <f t="shared" si="134"/>
        <v>1.51445978350729-12.1118100718881i</v>
      </c>
      <c r="AP100">
        <f t="shared" si="135"/>
        <v>21.731557549565764</v>
      </c>
      <c r="AQ100" s="60">
        <f t="shared" si="136"/>
        <v>-82.872731504962289</v>
      </c>
      <c r="AR100" t="str">
        <f t="shared" si="111"/>
        <v>-1.94444444444444</v>
      </c>
      <c r="AS100" t="str">
        <f t="shared" si="112"/>
        <v>1+0.0232470524443984i</v>
      </c>
      <c r="AT100">
        <f t="shared" si="137"/>
        <v>1.0002701762260797</v>
      </c>
      <c r="AU100">
        <f t="shared" si="138"/>
        <v>2.3242866035540745E-2</v>
      </c>
      <c r="AV100" t="str">
        <f t="shared" si="113"/>
        <v>1+0.0232470524443984i</v>
      </c>
      <c r="AW100">
        <f t="shared" si="139"/>
        <v>1.0002701762260797</v>
      </c>
      <c r="AX100">
        <f t="shared" si="140"/>
        <v>2.3242866035540745E-2</v>
      </c>
      <c r="AY100" t="str">
        <f t="shared" si="114"/>
        <v>1-0.0915238428423111i</v>
      </c>
      <c r="AZ100">
        <f t="shared" si="141"/>
        <v>1.0041795724912075</v>
      </c>
      <c r="BA100">
        <f t="shared" si="142"/>
        <v>-9.1269566314577721E-2</v>
      </c>
      <c r="BB100" s="58" t="str">
        <f t="shared" si="143"/>
        <v>-1.93925930352855+0.223045090481354i</v>
      </c>
      <c r="BC100">
        <f t="shared" si="144"/>
        <v>5.8097920309900486</v>
      </c>
      <c r="BD100" s="60">
        <f t="shared" si="145"/>
        <v>173.43892092456085</v>
      </c>
      <c r="BE100" s="58" t="str">
        <f t="shared" si="146"/>
        <v>0.242346661983368+16.0949882372417i</v>
      </c>
      <c r="BF100" s="37">
        <f t="shared" si="147"/>
        <v>24.134797799971803</v>
      </c>
      <c r="BG100" s="60">
        <f t="shared" si="148"/>
        <v>89.137346888815358</v>
      </c>
      <c r="BH100" s="58" t="str">
        <f t="shared" si="149"/>
        <v>-0.235450451609089+23.8257331839225i</v>
      </c>
      <c r="BI100" s="37">
        <f t="shared" si="150"/>
        <v>27.541349580555799</v>
      </c>
      <c r="BJ100" s="60">
        <f t="shared" si="151"/>
        <v>90.566189419598544</v>
      </c>
      <c r="BK100">
        <f t="shared" si="152"/>
        <v>24.134797799971803</v>
      </c>
      <c r="BL100" s="60">
        <f t="shared" si="153"/>
        <v>89.137346888815358</v>
      </c>
      <c r="BN100">
        <f t="shared" si="154"/>
        <v>0</v>
      </c>
      <c r="BO100">
        <f t="shared" si="155"/>
        <v>0</v>
      </c>
    </row>
    <row r="101" spans="13:67" ht="14.25" x14ac:dyDescent="0.2">
      <c r="M101" s="66">
        <v>83</v>
      </c>
      <c r="N101" s="36">
        <f t="shared" si="115"/>
        <v>67.60829753919819</v>
      </c>
      <c r="O101" s="91" t="str">
        <f t="shared" si="103"/>
        <v>99.7340425531915</v>
      </c>
      <c r="P101" s="67" t="str">
        <f t="shared" si="104"/>
        <v>1+12.3371447931371i</v>
      </c>
      <c r="Q101" s="67">
        <f t="shared" si="116"/>
        <v>12.377606458715265</v>
      </c>
      <c r="R101" s="67">
        <f t="shared" si="117"/>
        <v>1.4899171134232274</v>
      </c>
      <c r="S101" s="67" t="str">
        <f t="shared" si="105"/>
        <v>1+0.0231938322110977i</v>
      </c>
      <c r="T101" s="67">
        <f t="shared" si="118"/>
        <v>1.0002689407617518</v>
      </c>
      <c r="U101" s="67">
        <f t="shared" si="119"/>
        <v>2.3189674482549747E-2</v>
      </c>
      <c r="V101" t="str">
        <f t="shared" si="106"/>
        <v>1-0.00239584640422328i</v>
      </c>
      <c r="W101" s="67">
        <f t="shared" si="120"/>
        <v>1.0000028700358778</v>
      </c>
      <c r="X101" s="67">
        <f t="shared" si="121"/>
        <v>-2.3958418201223976E-3</v>
      </c>
      <c r="Y101" t="str">
        <f t="shared" si="107"/>
        <v>0.999998918134462+0.00370334505108163i</v>
      </c>
      <c r="Z101" s="67">
        <f t="shared" si="122"/>
        <v>1.0000057755006526</v>
      </c>
      <c r="AA101" s="67">
        <f t="shared" si="123"/>
        <v>3.7033321275232217E-3</v>
      </c>
      <c r="AB101" s="92" t="str">
        <f t="shared" si="124"/>
        <v>0.788350161131935-8.02111491849277i</v>
      </c>
      <c r="AC101" s="37">
        <f t="shared" si="125"/>
        <v>18.126445488302402</v>
      </c>
      <c r="AD101" s="60">
        <f t="shared" si="126"/>
        <v>-84.386748873049228</v>
      </c>
      <c r="AE101" t="str">
        <f t="shared" si="127"/>
        <v>118.329284003155</v>
      </c>
      <c r="AF101" t="str">
        <f t="shared" si="108"/>
        <v>1+9.86971583450967i</v>
      </c>
      <c r="AG101">
        <f t="shared" si="128"/>
        <v>9.9202465016737804</v>
      </c>
      <c r="AH101">
        <f t="shared" si="129"/>
        <v>1.4698208758604299</v>
      </c>
      <c r="AI101" t="str">
        <f t="shared" si="109"/>
        <v>1+0.0231938322110977i</v>
      </c>
      <c r="AJ101">
        <f t="shared" si="130"/>
        <v>1.0002689407617518</v>
      </c>
      <c r="AK101">
        <f t="shared" si="131"/>
        <v>2.3189674482549747E-2</v>
      </c>
      <c r="AL101" t="str">
        <f t="shared" si="110"/>
        <v>1-0.00161542617981175i</v>
      </c>
      <c r="AM101">
        <f t="shared" si="132"/>
        <v>1.00000130480002</v>
      </c>
      <c r="AN101">
        <f t="shared" si="133"/>
        <v>-1.6154247746076257E-3</v>
      </c>
      <c r="AO101" s="58" t="str">
        <f t="shared" si="134"/>
        <v>1.45851789899679-11.841799867033i</v>
      </c>
      <c r="AP101">
        <f t="shared" si="135"/>
        <v>21.533742466492161</v>
      </c>
      <c r="AQ101" s="60">
        <f t="shared" si="136"/>
        <v>-82.97841937259831</v>
      </c>
      <c r="AR101" t="str">
        <f t="shared" si="111"/>
        <v>-1.94444444444444</v>
      </c>
      <c r="AS101" t="str">
        <f t="shared" si="112"/>
        <v>1+0.023788545857536i</v>
      </c>
      <c r="AT101">
        <f t="shared" si="137"/>
        <v>1.0002829074386987</v>
      </c>
      <c r="AU101">
        <f t="shared" si="138"/>
        <v>2.3784060108144312E-2</v>
      </c>
      <c r="AV101" t="str">
        <f t="shared" si="113"/>
        <v>1+0.023788545857536i</v>
      </c>
      <c r="AW101">
        <f t="shared" si="139"/>
        <v>1.0002829074386987</v>
      </c>
      <c r="AX101">
        <f t="shared" si="140"/>
        <v>2.3784060108144312E-2</v>
      </c>
      <c r="AY101" t="str">
        <f t="shared" si="114"/>
        <v>1-0.0894405058304165i</v>
      </c>
      <c r="AZ101">
        <f t="shared" si="141"/>
        <v>1.0039918346695857</v>
      </c>
      <c r="BA101">
        <f t="shared" si="142"/>
        <v>-8.9203147843167047E-2</v>
      </c>
      <c r="BB101" s="58" t="str">
        <f t="shared" si="143"/>
        <v>-1.93920993956319+0.220043079244943i</v>
      </c>
      <c r="BC101">
        <f t="shared" si="144"/>
        <v>5.8080574449744358</v>
      </c>
      <c r="BD101" s="60">
        <f t="shared" si="145"/>
        <v>173.52630984542287</v>
      </c>
      <c r="BE101" s="58" t="str">
        <f t="shared" si="146"/>
        <v>0.236214357319408+15.7280967732985i</v>
      </c>
      <c r="BF101" s="37">
        <f t="shared" si="147"/>
        <v>23.93450293327685</v>
      </c>
      <c r="BG101" s="60">
        <f t="shared" si="148"/>
        <v>89.139560972373644</v>
      </c>
      <c r="BH101" s="58" t="str">
        <f t="shared" si="149"/>
        <v>-0.222666300221098+23.2846727740976i</v>
      </c>
      <c r="BI101" s="37">
        <f t="shared" si="150"/>
        <v>27.341799911466609</v>
      </c>
      <c r="BJ101" s="60">
        <f t="shared" si="151"/>
        <v>90.547890472824548</v>
      </c>
      <c r="BK101">
        <f t="shared" si="152"/>
        <v>23.93450293327685</v>
      </c>
      <c r="BL101" s="60">
        <f t="shared" si="153"/>
        <v>89.139560972373644</v>
      </c>
      <c r="BN101">
        <f t="shared" si="154"/>
        <v>0</v>
      </c>
      <c r="BO101">
        <f t="shared" si="155"/>
        <v>0</v>
      </c>
    </row>
    <row r="102" spans="13:67" ht="14.25" x14ac:dyDescent="0.2">
      <c r="M102" s="66">
        <v>84</v>
      </c>
      <c r="N102" s="36">
        <f t="shared" si="115"/>
        <v>69.183097091893657</v>
      </c>
      <c r="O102" s="91" t="str">
        <f t="shared" si="103"/>
        <v>99.7340425531915</v>
      </c>
      <c r="P102" s="67" t="str">
        <f t="shared" si="104"/>
        <v>1+12.6245138115702i</v>
      </c>
      <c r="Q102" s="67">
        <f t="shared" si="116"/>
        <v>12.664057366362753</v>
      </c>
      <c r="R102" s="67">
        <f t="shared" si="117"/>
        <v>1.4917504012231857</v>
      </c>
      <c r="S102" s="67" t="str">
        <f t="shared" si="105"/>
        <v>1+0.0237340859657519i</v>
      </c>
      <c r="T102" s="67">
        <f t="shared" si="118"/>
        <v>1.0002816137651585</v>
      </c>
      <c r="U102" s="67">
        <f t="shared" si="119"/>
        <v>2.3729630947085256E-2</v>
      </c>
      <c r="V102" t="str">
        <f t="shared" si="106"/>
        <v>1-0.00245165283602272i</v>
      </c>
      <c r="W102" s="67">
        <f t="shared" si="120"/>
        <v>1.0000030052962983</v>
      </c>
      <c r="X102" s="67">
        <f t="shared" si="121"/>
        <v>-2.4516479240709248E-3</v>
      </c>
      <c r="Y102" t="str">
        <f t="shared" si="107"/>
        <v>0.99999886714771+0.00378960703876944i</v>
      </c>
      <c r="Z102" s="67">
        <f t="shared" si="122"/>
        <v>1.0000060476908184</v>
      </c>
      <c r="AA102" s="67">
        <f t="shared" si="123"/>
        <v>3.7895931909315921E-3</v>
      </c>
      <c r="AB102" s="92" t="str">
        <f t="shared" si="124"/>
        <v>0.759273962836936-7.84087986714529i</v>
      </c>
      <c r="AC102" s="37">
        <f t="shared" si="125"/>
        <v>17.927830368935297</v>
      </c>
      <c r="AD102" s="60">
        <f t="shared" si="126"/>
        <v>-84.468991149177896</v>
      </c>
      <c r="AE102" t="str">
        <f t="shared" si="127"/>
        <v>118.329284003155</v>
      </c>
      <c r="AF102" t="str">
        <f t="shared" si="108"/>
        <v>1+10.0996110492561i</v>
      </c>
      <c r="AG102">
        <f t="shared" si="128"/>
        <v>10.148997159633849</v>
      </c>
      <c r="AH102">
        <f t="shared" si="129"/>
        <v>1.4721042901482613</v>
      </c>
      <c r="AI102" t="str">
        <f t="shared" si="109"/>
        <v>1+0.0237340859657519i</v>
      </c>
      <c r="AJ102">
        <f t="shared" si="130"/>
        <v>1.0002816137651585</v>
      </c>
      <c r="AK102">
        <f t="shared" si="131"/>
        <v>2.3729630947085256E-2</v>
      </c>
      <c r="AL102" t="str">
        <f t="shared" si="110"/>
        <v>1-0.00165305428934823i</v>
      </c>
      <c r="AM102">
        <f t="shared" si="132"/>
        <v>1.0000013662933083</v>
      </c>
      <c r="AN102">
        <f t="shared" si="133"/>
        <v>-1.6530527836449941E-3</v>
      </c>
      <c r="AO102" s="58" t="str">
        <f t="shared" si="134"/>
        <v>1.40504377372963-11.5775629535284i</v>
      </c>
      <c r="AP102">
        <f t="shared" si="135"/>
        <v>21.335839703086986</v>
      </c>
      <c r="AQ102" s="60">
        <f t="shared" si="136"/>
        <v>-83.080468073741528</v>
      </c>
      <c r="AR102" t="str">
        <f t="shared" si="111"/>
        <v>-1.94444444444444</v>
      </c>
      <c r="AS102" t="str">
        <f t="shared" si="112"/>
        <v>1+0.024342652272566i</v>
      </c>
      <c r="AT102">
        <f t="shared" si="137"/>
        <v>1.0002962384812126</v>
      </c>
      <c r="AU102">
        <f t="shared" si="138"/>
        <v>2.4337845782370967E-2</v>
      </c>
      <c r="AV102" t="str">
        <f t="shared" si="113"/>
        <v>1+0.024342652272566i</v>
      </c>
      <c r="AW102">
        <f t="shared" si="139"/>
        <v>1.0002962384812126</v>
      </c>
      <c r="AX102">
        <f t="shared" si="140"/>
        <v>2.4337845782370967E-2</v>
      </c>
      <c r="AY102" t="str">
        <f t="shared" si="114"/>
        <v>1-0.0874045913585982i</v>
      </c>
      <c r="AZ102">
        <f t="shared" si="141"/>
        <v>1.0038125136650586</v>
      </c>
      <c r="BA102">
        <f t="shared" si="142"/>
        <v>-8.7183028446122968E-2</v>
      </c>
      <c r="BB102" s="58" t="str">
        <f t="shared" si="143"/>
        <v>-1.93915825183931+0.217157627112164i</v>
      </c>
      <c r="BC102">
        <f t="shared" si="144"/>
        <v>5.8063901783268745</v>
      </c>
      <c r="BD102" s="60">
        <f t="shared" si="145"/>
        <v>173.61032457909801</v>
      </c>
      <c r="BE102" s="58" t="str">
        <f t="shared" si="146"/>
        <v>0.230354495978833+15.3695890281532i</v>
      </c>
      <c r="BF102" s="37">
        <f t="shared" si="147"/>
        <v>23.734220547262158</v>
      </c>
      <c r="BG102" s="60">
        <f t="shared" si="148"/>
        <v>89.141333429920138</v>
      </c>
      <c r="BH102" s="58" t="str">
        <f t="shared" si="149"/>
        <v>-0.210446129293332+22.7558427094155i</v>
      </c>
      <c r="BI102" s="37">
        <f t="shared" si="150"/>
        <v>27.14222988141384</v>
      </c>
      <c r="BJ102" s="60">
        <f t="shared" si="151"/>
        <v>90.529856505356477</v>
      </c>
      <c r="BK102">
        <f t="shared" si="152"/>
        <v>23.734220547262158</v>
      </c>
      <c r="BL102" s="60">
        <f t="shared" si="153"/>
        <v>89.141333429920138</v>
      </c>
      <c r="BN102">
        <f t="shared" si="154"/>
        <v>0</v>
      </c>
      <c r="BO102">
        <f t="shared" si="155"/>
        <v>0</v>
      </c>
    </row>
    <row r="103" spans="13:67" ht="14.25" x14ac:dyDescent="0.2">
      <c r="M103" s="66">
        <v>85</v>
      </c>
      <c r="N103" s="36">
        <f t="shared" si="115"/>
        <v>70.794578438413865</v>
      </c>
      <c r="O103" s="91" t="str">
        <f t="shared" si="103"/>
        <v>99.7340425531915</v>
      </c>
      <c r="P103" s="67" t="str">
        <f t="shared" si="104"/>
        <v>1+12.9185765143314i</v>
      </c>
      <c r="Q103" s="67">
        <f t="shared" si="116"/>
        <v>12.957222663697452</v>
      </c>
      <c r="R103" s="67">
        <f t="shared" si="117"/>
        <v>1.4935424729408806</v>
      </c>
      <c r="S103" s="67" t="str">
        <f t="shared" si="105"/>
        <v>1+0.024286923846943i</v>
      </c>
      <c r="T103" s="67">
        <f t="shared" si="118"/>
        <v>1.0002948838567292</v>
      </c>
      <c r="U103" s="67">
        <f t="shared" si="119"/>
        <v>2.4282150284437438E-2</v>
      </c>
      <c r="V103" t="str">
        <f t="shared" si="106"/>
        <v>1-0.00250875916660729i</v>
      </c>
      <c r="W103" s="67">
        <f t="shared" si="120"/>
        <v>1.0000031469313264</v>
      </c>
      <c r="X103" s="67">
        <f t="shared" si="121"/>
        <v>-2.5087539033570097E-3</v>
      </c>
      <c r="Y103" t="str">
        <f t="shared" si="107"/>
        <v>0.999998813758027+0.0038778783262706i</v>
      </c>
      <c r="Z103" s="67">
        <f t="shared" si="122"/>
        <v>1.0000063327088358</v>
      </c>
      <c r="AA103" s="67">
        <f t="shared" si="123"/>
        <v>3.877863488050034E-3</v>
      </c>
      <c r="AB103" s="92" t="str">
        <f t="shared" si="124"/>
        <v>0.731490437480556-7.66459601739721i</v>
      </c>
      <c r="AC103" s="37">
        <f t="shared" si="125"/>
        <v>17.72916329638263</v>
      </c>
      <c r="AD103" s="60">
        <f t="shared" si="126"/>
        <v>-84.54834171613625</v>
      </c>
      <c r="AE103" t="str">
        <f t="shared" si="127"/>
        <v>118.329284003155</v>
      </c>
      <c r="AF103" t="str">
        <f t="shared" si="108"/>
        <v>1+10.3348612114651i</v>
      </c>
      <c r="AG103">
        <f t="shared" si="128"/>
        <v>10.383128442827138</v>
      </c>
      <c r="AH103">
        <f t="shared" si="129"/>
        <v>1.474336725724833</v>
      </c>
      <c r="AI103" t="str">
        <f t="shared" si="109"/>
        <v>1+0.024286923846943i</v>
      </c>
      <c r="AJ103">
        <f t="shared" si="130"/>
        <v>1.0002948838567292</v>
      </c>
      <c r="AK103">
        <f t="shared" si="131"/>
        <v>2.4282150284437438E-2</v>
      </c>
      <c r="AL103" t="str">
        <f t="shared" si="110"/>
        <v>1-0.00169155887014969i</v>
      </c>
      <c r="AM103">
        <f t="shared" si="132"/>
        <v>1.0000014306846821</v>
      </c>
      <c r="AN103">
        <f t="shared" si="133"/>
        <v>-1.6915572567597296E-3</v>
      </c>
      <c r="AO103" s="58" t="str">
        <f t="shared" si="134"/>
        <v>1.35393068053328-11.318992313762i</v>
      </c>
      <c r="AP103">
        <f t="shared" si="135"/>
        <v>21.137853582634072</v>
      </c>
      <c r="AQ103" s="60">
        <f t="shared" si="136"/>
        <v>-83.178926327986147</v>
      </c>
      <c r="AR103" t="str">
        <f t="shared" si="111"/>
        <v>-1.94444444444444</v>
      </c>
      <c r="AS103" t="str">
        <f t="shared" si="112"/>
        <v>1+0.024909665484044i</v>
      </c>
      <c r="AT103">
        <f t="shared" si="137"/>
        <v>1.0003101976059861</v>
      </c>
      <c r="AU103">
        <f t="shared" si="138"/>
        <v>2.4904515323263206E-2</v>
      </c>
      <c r="AV103" t="str">
        <f t="shared" si="113"/>
        <v>1+0.024909665484044i</v>
      </c>
      <c r="AW103">
        <f t="shared" si="139"/>
        <v>1.0003101976059861</v>
      </c>
      <c r="AX103">
        <f t="shared" si="140"/>
        <v>2.4904515323263206E-2</v>
      </c>
      <c r="AY103" t="str">
        <f t="shared" si="114"/>
        <v>1-0.0854150199580546i</v>
      </c>
      <c r="AZ103">
        <f t="shared" si="141"/>
        <v>1.0036412335264204</v>
      </c>
      <c r="BA103">
        <f t="shared" si="142"/>
        <v>-8.5208203016900894E-2</v>
      </c>
      <c r="BB103" s="58" t="str">
        <f t="shared" si="143"/>
        <v>-1.93910413110119+0.214387196274009i</v>
      </c>
      <c r="BC103">
        <f t="shared" si="144"/>
        <v>5.8047867712366221</v>
      </c>
      <c r="BD103" s="60">
        <f t="shared" si="145"/>
        <v>173.69100596839581</v>
      </c>
      <c r="BE103" s="58" t="str">
        <f t="shared" si="146"/>
        <v>0.224755121563161+15.0192719845494i</v>
      </c>
      <c r="BF103" s="37">
        <f t="shared" si="147"/>
        <v>23.533950067619269</v>
      </c>
      <c r="BG103" s="60">
        <f t="shared" si="148"/>
        <v>89.142664252259564</v>
      </c>
      <c r="BH103" s="58" t="str">
        <f t="shared" si="149"/>
        <v>-0.198765549052236+22.2389701580674i</v>
      </c>
      <c r="BI103" s="37">
        <f t="shared" si="150"/>
        <v>26.942640353870694</v>
      </c>
      <c r="BJ103" s="60">
        <f t="shared" si="151"/>
        <v>90.512079640409652</v>
      </c>
      <c r="BK103">
        <f t="shared" si="152"/>
        <v>23.533950067619269</v>
      </c>
      <c r="BL103" s="60">
        <f t="shared" si="153"/>
        <v>89.142664252259564</v>
      </c>
      <c r="BN103">
        <f t="shared" si="154"/>
        <v>0</v>
      </c>
      <c r="BO103">
        <f t="shared" si="155"/>
        <v>0</v>
      </c>
    </row>
    <row r="104" spans="13:67" ht="14.25" x14ac:dyDescent="0.2">
      <c r="M104" s="66">
        <v>86</v>
      </c>
      <c r="N104" s="36">
        <f t="shared" si="115"/>
        <v>72.443596007499011</v>
      </c>
      <c r="O104" s="91" t="str">
        <f t="shared" si="103"/>
        <v>99.7340425531915</v>
      </c>
      <c r="P104" s="67" t="str">
        <f t="shared" si="104"/>
        <v>1+13.219488817358i</v>
      </c>
      <c r="Q104" s="67">
        <f t="shared" si="116"/>
        <v>13.257257808168823</v>
      </c>
      <c r="R104" s="67">
        <f t="shared" si="117"/>
        <v>1.4952942326885379</v>
      </c>
      <c r="S104" s="67" t="str">
        <f t="shared" si="105"/>
        <v>1+0.024852638976633i</v>
      </c>
      <c r="T104" s="67">
        <f t="shared" si="118"/>
        <v>1.0003087791597667</v>
      </c>
      <c r="U104" s="67">
        <f t="shared" si="119"/>
        <v>2.4847524097524686E-2</v>
      </c>
      <c r="V104" t="str">
        <f t="shared" si="106"/>
        <v>1-0.00256719567450934i</v>
      </c>
      <c r="W104" s="67">
        <f t="shared" si="120"/>
        <v>1.0000032952413864</v>
      </c>
      <c r="X104" s="67">
        <f t="shared" si="121"/>
        <v>-2.5671900348360598E-3</v>
      </c>
      <c r="Y104" t="str">
        <f t="shared" si="107"/>
        <v>0.999998757852165+0.00396820571619011i</v>
      </c>
      <c r="Z104" s="67">
        <f t="shared" si="122"/>
        <v>1.0000066311592533</v>
      </c>
      <c r="AA104" s="67">
        <f t="shared" si="123"/>
        <v>3.9681898167559576E-3</v>
      </c>
      <c r="AB104" s="92" t="str">
        <f t="shared" si="124"/>
        <v>0.704942796233429-7.49218349778227i</v>
      </c>
      <c r="AC104" s="37">
        <f t="shared" si="125"/>
        <v>17.530447050416605</v>
      </c>
      <c r="AD104" s="60">
        <f t="shared" si="126"/>
        <v>-84.624840084179382</v>
      </c>
      <c r="AE104" t="str">
        <f t="shared" si="127"/>
        <v>118.329284003155</v>
      </c>
      <c r="AF104" t="str">
        <f t="shared" si="108"/>
        <v>1+10.5755910538864i</v>
      </c>
      <c r="AG104">
        <f t="shared" si="128"/>
        <v>10.622764524314849</v>
      </c>
      <c r="AH104">
        <f t="shared" si="129"/>
        <v>1.4765192772005817</v>
      </c>
      <c r="AI104" t="str">
        <f t="shared" si="109"/>
        <v>1+0.024852638976633i</v>
      </c>
      <c r="AJ104">
        <f t="shared" si="130"/>
        <v>1.0003087791597667</v>
      </c>
      <c r="AK104">
        <f t="shared" si="131"/>
        <v>2.4847524097524686E-2</v>
      </c>
      <c r="AL104" t="str">
        <f t="shared" si="110"/>
        <v>1-0.00173096033785452i</v>
      </c>
      <c r="AM104">
        <f t="shared" si="132"/>
        <v>1.0000014981107235</v>
      </c>
      <c r="AN104">
        <f t="shared" si="133"/>
        <v>-1.7309586090761705E-3</v>
      </c>
      <c r="AO104" s="58" t="str">
        <f t="shared" si="134"/>
        <v>1.3050763218456-11.0659817956716i</v>
      </c>
      <c r="AP104">
        <f t="shared" si="135"/>
        <v>20.939788262418396</v>
      </c>
      <c r="AQ104" s="60">
        <f t="shared" si="136"/>
        <v>-83.273841313974344</v>
      </c>
      <c r="AR104" t="str">
        <f t="shared" si="111"/>
        <v>-1.94444444444444</v>
      </c>
      <c r="AS104" t="str">
        <f t="shared" si="112"/>
        <v>1+0.0254898861298799i</v>
      </c>
      <c r="AT104">
        <f t="shared" si="137"/>
        <v>1.0003248143952614</v>
      </c>
      <c r="AU104">
        <f t="shared" si="138"/>
        <v>2.5484367729952405E-2</v>
      </c>
      <c r="AV104" t="str">
        <f t="shared" si="113"/>
        <v>1+0.0254898861298799i</v>
      </c>
      <c r="AW104">
        <f t="shared" si="139"/>
        <v>1.0003248143952614</v>
      </c>
      <c r="AX104">
        <f t="shared" si="140"/>
        <v>2.5484367729952405E-2</v>
      </c>
      <c r="AY104" t="str">
        <f t="shared" si="114"/>
        <v>1-0.0834707367316947i</v>
      </c>
      <c r="AZ104">
        <f t="shared" si="141"/>
        <v>1.0034776349727641</v>
      </c>
      <c r="BA104">
        <f t="shared" si="142"/>
        <v>-8.3277686124647587E-2</v>
      </c>
      <c r="BB104" s="58" t="str">
        <f t="shared" si="143"/>
        <v>-1.93904746296904+0.211730309343141i</v>
      </c>
      <c r="BC104">
        <f t="shared" si="144"/>
        <v>5.8032438927435415</v>
      </c>
      <c r="BD104" s="60">
        <f t="shared" si="145"/>
        <v>173.76839334295687</v>
      </c>
      <c r="BE104" s="58" t="str">
        <f t="shared" si="146"/>
        <v>0.219404789066285+14.6769571597889i</v>
      </c>
      <c r="BF104" s="37">
        <f t="shared" si="147"/>
        <v>23.333690943160121</v>
      </c>
      <c r="BG104" s="60">
        <f t="shared" si="148"/>
        <v>89.143553258777501</v>
      </c>
      <c r="BH104" s="58" t="str">
        <f t="shared" si="149"/>
        <v>-0.187601182072562+21.7337881394994i</v>
      </c>
      <c r="BI104" s="37">
        <f t="shared" si="150"/>
        <v>26.743032155161949</v>
      </c>
      <c r="BJ104" s="60">
        <f t="shared" si="151"/>
        <v>90.494552028982525</v>
      </c>
      <c r="BK104">
        <f t="shared" si="152"/>
        <v>23.333690943160121</v>
      </c>
      <c r="BL104" s="60">
        <f t="shared" si="153"/>
        <v>89.143553258777501</v>
      </c>
      <c r="BN104">
        <f t="shared" si="154"/>
        <v>0</v>
      </c>
      <c r="BO104">
        <f t="shared" si="155"/>
        <v>0</v>
      </c>
    </row>
    <row r="105" spans="13:67" ht="14.25" x14ac:dyDescent="0.2">
      <c r="M105" s="66">
        <v>87</v>
      </c>
      <c r="N105" s="36">
        <f t="shared" si="115"/>
        <v>74.131024130091816</v>
      </c>
      <c r="O105" s="91" t="str">
        <f t="shared" si="103"/>
        <v>99.7340425531915</v>
      </c>
      <c r="P105" s="67" t="str">
        <f t="shared" si="104"/>
        <v>1+13.5274102683362i</v>
      </c>
      <c r="Q105" s="67">
        <f t="shared" si="116"/>
        <v>13.564321898564913</v>
      </c>
      <c r="R105" s="67">
        <f t="shared" si="117"/>
        <v>1.4970065662438463</v>
      </c>
      <c r="S105" s="67" t="str">
        <f t="shared" si="105"/>
        <v>1+0.0254315313044721i</v>
      </c>
      <c r="T105" s="67">
        <f t="shared" si="118"/>
        <v>1.0003233291213849</v>
      </c>
      <c r="U105" s="67">
        <f t="shared" si="119"/>
        <v>2.5426050708435503E-2</v>
      </c>
      <c r="V105" t="str">
        <f t="shared" si="106"/>
        <v>1-0.00262699334353888i</v>
      </c>
      <c r="W105" s="67">
        <f t="shared" si="120"/>
        <v>1.0000034505410604</v>
      </c>
      <c r="X105" s="67">
        <f t="shared" si="121"/>
        <v>-2.6269873005212111E-3</v>
      </c>
      <c r="Y105" t="str">
        <f t="shared" si="107"/>
        <v>0.999998699311541+0.00406063710130578i</v>
      </c>
      <c r="Z105" s="67">
        <f t="shared" si="122"/>
        <v>1.0000069436751138</v>
      </c>
      <c r="AA105" s="67">
        <f t="shared" si="123"/>
        <v>4.0606200647614723E-3</v>
      </c>
      <c r="AB105" s="92" t="str">
        <f t="shared" si="124"/>
        <v>0.679576685264358-7.3235635994284i</v>
      </c>
      <c r="AC105" s="37">
        <f t="shared" si="125"/>
        <v>17.331684310580041</v>
      </c>
      <c r="AD105" s="60">
        <f t="shared" si="126"/>
        <v>-84.698524430936217</v>
      </c>
      <c r="AE105" t="str">
        <f t="shared" si="127"/>
        <v>118.329284003155</v>
      </c>
      <c r="AF105" t="str">
        <f t="shared" si="108"/>
        <v>1+10.821928214669i</v>
      </c>
      <c r="AG105">
        <f t="shared" si="128"/>
        <v>10.868032493669173</v>
      </c>
      <c r="AH105">
        <f t="shared" si="129"/>
        <v>1.4786530185741782</v>
      </c>
      <c r="AI105" t="str">
        <f t="shared" si="109"/>
        <v>1+0.0254315313044721i</v>
      </c>
      <c r="AJ105">
        <f t="shared" si="130"/>
        <v>1.0003233291213849</v>
      </c>
      <c r="AK105">
        <f t="shared" si="131"/>
        <v>2.5426050708435503E-2</v>
      </c>
      <c r="AL105" t="str">
        <f t="shared" si="110"/>
        <v>1-0.00177127958364246i</v>
      </c>
      <c r="AM105">
        <f t="shared" si="132"/>
        <v>1.0000015687144512</v>
      </c>
      <c r="AN105">
        <f t="shared" si="133"/>
        <v>-1.7712777312232407E-3</v>
      </c>
      <c r="AO105" s="58" t="str">
        <f t="shared" si="134"/>
        <v>1.25838266223356-10.8184261918154i</v>
      </c>
      <c r="AP105">
        <f t="shared" si="135"/>
        <v>20.74164774160289</v>
      </c>
      <c r="AQ105" s="60">
        <f t="shared" si="136"/>
        <v>-83.365258671645321</v>
      </c>
      <c r="AR105" t="str">
        <f t="shared" si="111"/>
        <v>-1.94444444444444</v>
      </c>
      <c r="AS105" t="str">
        <f t="shared" si="112"/>
        <v>1+0.0260836218507405i</v>
      </c>
      <c r="AT105">
        <f t="shared" si="137"/>
        <v>1.000340119823679</v>
      </c>
      <c r="AU105">
        <f t="shared" si="138"/>
        <v>2.607770888726197E-2</v>
      </c>
      <c r="AV105" t="str">
        <f t="shared" si="113"/>
        <v>1+0.0260836218507405i</v>
      </c>
      <c r="AW105">
        <f t="shared" si="139"/>
        <v>1.000340119823679</v>
      </c>
      <c r="AX105">
        <f t="shared" si="140"/>
        <v>2.607770888726197E-2</v>
      </c>
      <c r="AY105" t="str">
        <f t="shared" si="114"/>
        <v>1-0.0815707107948153i</v>
      </c>
      <c r="AZ105">
        <f t="shared" si="141"/>
        <v>1.0033213746649532</v>
      </c>
      <c r="BA105">
        <f t="shared" si="142"/>
        <v>-8.1390511774423815E-2</v>
      </c>
      <c r="BB105" s="58" t="str">
        <f t="shared" si="143"/>
        <v>-1.93898812769993+0.209185548530363i</v>
      </c>
      <c r="BC105">
        <f t="shared" si="144"/>
        <v>5.8017583342531154</v>
      </c>
      <c r="BD105" s="60">
        <f t="shared" si="145"/>
        <v>173.84252452430476</v>
      </c>
      <c r="BE105" s="58" t="str">
        <f t="shared" si="146"/>
        <v>0.214292544154168+14.3424604934225i</v>
      </c>
      <c r="BF105" s="37">
        <f t="shared" si="147"/>
        <v>23.133442644833156</v>
      </c>
      <c r="BG105" s="60">
        <f t="shared" si="148"/>
        <v>89.144000093368547</v>
      </c>
      <c r="BH105" s="58" t="str">
        <f t="shared" si="149"/>
        <v>-0.176930625004153+21.2400354137885i</v>
      </c>
      <c r="BI105" s="37">
        <f t="shared" si="150"/>
        <v>26.543406075856026</v>
      </c>
      <c r="BJ105" s="60">
        <f t="shared" si="151"/>
        <v>90.477265852659443</v>
      </c>
      <c r="BK105">
        <f t="shared" si="152"/>
        <v>23.133442644833156</v>
      </c>
      <c r="BL105" s="60">
        <f t="shared" si="153"/>
        <v>89.144000093368547</v>
      </c>
      <c r="BN105">
        <f t="shared" si="154"/>
        <v>0</v>
      </c>
      <c r="BO105">
        <f t="shared" si="155"/>
        <v>0</v>
      </c>
    </row>
    <row r="106" spans="13:67" ht="14.25" x14ac:dyDescent="0.2">
      <c r="M106" s="66">
        <v>88</v>
      </c>
      <c r="N106" s="36">
        <f t="shared" si="115"/>
        <v>75.857757502918361</v>
      </c>
      <c r="O106" s="91" t="str">
        <f t="shared" si="103"/>
        <v>99.7340425531915</v>
      </c>
      <c r="P106" s="67" t="str">
        <f t="shared" si="104"/>
        <v>1+13.8425041312952i</v>
      </c>
      <c r="Q106" s="67">
        <f t="shared" si="116"/>
        <v>13.878577759443679</v>
      </c>
      <c r="R106" s="67">
        <f t="shared" si="117"/>
        <v>1.4986803413205598</v>
      </c>
      <c r="S106" s="67" t="str">
        <f t="shared" si="105"/>
        <v>1+0.0260239077668349i</v>
      </c>
      <c r="T106" s="67">
        <f t="shared" si="118"/>
        <v>1.0003385645747427</v>
      </c>
      <c r="U106" s="67">
        <f t="shared" si="119"/>
        <v>2.6018035309718572E-2</v>
      </c>
      <c r="V106" t="str">
        <f t="shared" si="106"/>
        <v>1-0.00268818387921152i</v>
      </c>
      <c r="W106" s="67">
        <f t="shared" si="120"/>
        <v>1.0000036131597567</v>
      </c>
      <c r="X106" s="67">
        <f t="shared" si="121"/>
        <v>-2.6881774040026897E-3</v>
      </c>
      <c r="Y106" t="str">
        <f t="shared" si="107"/>
        <v>0.999998638011983+0.00415522148996144i</v>
      </c>
      <c r="Z106" s="67">
        <f t="shared" si="122"/>
        <v>1.0000072709192926</v>
      </c>
      <c r="AA106" s="67">
        <f t="shared" si="123"/>
        <v>4.155203234982416E-3</v>
      </c>
      <c r="AB106" s="92" t="str">
        <f t="shared" si="124"/>
        <v>0.655340086581762-7.15865879185432i</v>
      </c>
      <c r="AC106" s="37">
        <f t="shared" si="125"/>
        <v>17.132877661508189</v>
      </c>
      <c r="AD106" s="60">
        <f t="shared" si="126"/>
        <v>-84.769431610639899</v>
      </c>
      <c r="AE106" t="str">
        <f t="shared" si="127"/>
        <v>118.329284003155</v>
      </c>
      <c r="AF106" t="str">
        <f t="shared" si="108"/>
        <v>1+11.0740033050361i</v>
      </c>
      <c r="AG106">
        <f t="shared" si="128"/>
        <v>11.119062424501019</v>
      </c>
      <c r="AH106">
        <f t="shared" si="129"/>
        <v>1.4807390034237897</v>
      </c>
      <c r="AI106" t="str">
        <f t="shared" si="109"/>
        <v>1+0.0260239077668349i</v>
      </c>
      <c r="AJ106">
        <f t="shared" si="130"/>
        <v>1.0003385645747427</v>
      </c>
      <c r="AK106">
        <f t="shared" si="131"/>
        <v>2.6018035309718572E-2</v>
      </c>
      <c r="AL106" t="str">
        <f t="shared" si="110"/>
        <v>1-0.0018125379853113i</v>
      </c>
      <c r="AM106">
        <f t="shared" si="132"/>
        <v>1.0000016426456251</v>
      </c>
      <c r="AN106">
        <f t="shared" si="133"/>
        <v>-1.8125360004085211E-3</v>
      </c>
      <c r="AO106" s="58" t="str">
        <f t="shared" si="134"/>
        <v>1.21375576577293-10.5762213106928i</v>
      </c>
      <c r="AP106">
        <f t="shared" si="135"/>
        <v>20.543435868850985</v>
      </c>
      <c r="AQ106" s="60">
        <f t="shared" si="136"/>
        <v>-83.453222505160454</v>
      </c>
      <c r="AR106" t="str">
        <f t="shared" si="111"/>
        <v>-1.94444444444444</v>
      </c>
      <c r="AS106" t="str">
        <f t="shared" si="112"/>
        <v>1+0.026691187453164i</v>
      </c>
      <c r="AT106">
        <f t="shared" si="137"/>
        <v>1.000356146323728</v>
      </c>
      <c r="AU106">
        <f t="shared" si="138"/>
        <v>2.6684851720466439E-2</v>
      </c>
      <c r="AV106" t="str">
        <f t="shared" si="113"/>
        <v>1+0.026691187453164i</v>
      </c>
      <c r="AW106">
        <f t="shared" si="139"/>
        <v>1.000356146323728</v>
      </c>
      <c r="AX106">
        <f t="shared" si="140"/>
        <v>2.6684851720466439E-2</v>
      </c>
      <c r="AY106" t="str">
        <f t="shared" si="114"/>
        <v>1-0.0797139347285154i</v>
      </c>
      <c r="AZ106">
        <f t="shared" si="141"/>
        <v>1.0031721245080039</v>
      </c>
      <c r="BA106">
        <f t="shared" si="142"/>
        <v>-7.954573315961147E-2</v>
      </c>
      <c r="BB106" s="58" t="str">
        <f t="shared" si="143"/>
        <v>-1.93892599993771+0.206751554849819i</v>
      </c>
      <c r="BC106">
        <f t="shared" si="144"/>
        <v>5.8003270032618275</v>
      </c>
      <c r="BD106" s="60">
        <f t="shared" si="145"/>
        <v>173.91343583116529</v>
      </c>
      <c r="BE106" s="58" t="str">
        <f t="shared" si="146"/>
        <v>0.209407903180399+14.0156022380652i</v>
      </c>
      <c r="BF106" s="37">
        <f t="shared" si="147"/>
        <v>22.93320466477001</v>
      </c>
      <c r="BG106" s="60">
        <f t="shared" si="148"/>
        <v>89.144004220525389</v>
      </c>
      <c r="BH106" s="58" t="str">
        <f t="shared" si="149"/>
        <v>-0.166732411409912+20.757456372179i</v>
      </c>
      <c r="BI106" s="37">
        <f t="shared" si="150"/>
        <v>26.343762872112791</v>
      </c>
      <c r="BJ106" s="60">
        <f t="shared" si="151"/>
        <v>90.460213326004833</v>
      </c>
      <c r="BK106">
        <f t="shared" si="152"/>
        <v>22.93320466477001</v>
      </c>
      <c r="BL106" s="60">
        <f t="shared" si="153"/>
        <v>89.144004220525389</v>
      </c>
      <c r="BN106">
        <f t="shared" si="154"/>
        <v>0</v>
      </c>
      <c r="BO106">
        <f t="shared" si="155"/>
        <v>0</v>
      </c>
    </row>
    <row r="107" spans="13:67" ht="14.25" x14ac:dyDescent="0.2">
      <c r="M107" s="66">
        <v>89</v>
      </c>
      <c r="N107" s="36">
        <f t="shared" si="115"/>
        <v>77.624711662869217</v>
      </c>
      <c r="O107" s="91" t="str">
        <f t="shared" si="103"/>
        <v>99.7340425531915</v>
      </c>
      <c r="P107" s="67" t="str">
        <f t="shared" si="104"/>
        <v>1+14.1649374731718i</v>
      </c>
      <c r="Q107" s="67">
        <f t="shared" si="116"/>
        <v>14.200192027534934</v>
      </c>
      <c r="R107" s="67">
        <f t="shared" si="117"/>
        <v>1.5003164078423981</v>
      </c>
      <c r="S107" s="67" t="str">
        <f t="shared" si="105"/>
        <v>1+0.0266300824495629i</v>
      </c>
      <c r="T107" s="67">
        <f t="shared" si="118"/>
        <v>1.0003545178041984</v>
      </c>
      <c r="U107" s="67">
        <f t="shared" si="119"/>
        <v>2.6623790118826898E-2</v>
      </c>
      <c r="V107" t="str">
        <f t="shared" si="106"/>
        <v>1-0.00275079972555924i</v>
      </c>
      <c r="W107" s="67">
        <f t="shared" si="120"/>
        <v>1.0000037834424078</v>
      </c>
      <c r="X107" s="67">
        <f t="shared" si="121"/>
        <v>-2.7507927872493904E-3</v>
      </c>
      <c r="Y107" t="str">
        <f t="shared" si="107"/>
        <v>0.999998573823465+0.00425200903205194i</v>
      </c>
      <c r="Z107" s="67">
        <f t="shared" si="122"/>
        <v>1.0000076135859031</v>
      </c>
      <c r="AA107" s="67">
        <f t="shared" si="123"/>
        <v>4.2519894714974655E-3</v>
      </c>
      <c r="AB107" s="92" t="str">
        <f t="shared" si="124"/>
        <v>0.632183222445249-6.99739273575173i</v>
      </c>
      <c r="AC107" s="37">
        <f t="shared" si="125"/>
        <v>16.934029598079835</v>
      </c>
      <c r="AD107" s="60">
        <f t="shared" si="126"/>
        <v>-84.837597163422132</v>
      </c>
      <c r="AE107" t="str">
        <f t="shared" si="127"/>
        <v>118.329284003155</v>
      </c>
      <c r="AF107" t="str">
        <f t="shared" si="108"/>
        <v>1+11.3319499785374i</v>
      </c>
      <c r="AG107">
        <f t="shared" si="128"/>
        <v>11.375987443561714</v>
      </c>
      <c r="AH107">
        <f t="shared" si="129"/>
        <v>1.4827782651115464</v>
      </c>
      <c r="AI107" t="str">
        <f t="shared" si="109"/>
        <v>1+0.0266300824495629i</v>
      </c>
      <c r="AJ107">
        <f t="shared" si="130"/>
        <v>1.0003545178041984</v>
      </c>
      <c r="AK107">
        <f t="shared" si="131"/>
        <v>2.6623790118826898E-2</v>
      </c>
      <c r="AL107" t="str">
        <f t="shared" si="110"/>
        <v>1-0.00185475741861173i</v>
      </c>
      <c r="AM107">
        <f t="shared" si="132"/>
        <v>1.0000017200610616</v>
      </c>
      <c r="AN107">
        <f t="shared" si="133"/>
        <v>-1.8547552917502811E-3</v>
      </c>
      <c r="AO107" s="58" t="str">
        <f t="shared" si="134"/>
        <v>1.17110563828921-10.3392640408185i</v>
      </c>
      <c r="AP107">
        <f t="shared" si="135"/>
        <v>20.345156349701028</v>
      </c>
      <c r="AQ107" s="60">
        <f t="shared" si="136"/>
        <v>-83.537775386417835</v>
      </c>
      <c r="AR107" t="str">
        <f t="shared" si="111"/>
        <v>-1.94444444444444</v>
      </c>
      <c r="AS107" t="str">
        <f t="shared" si="112"/>
        <v>1+0.0273129050764747i</v>
      </c>
      <c r="AT107">
        <f t="shared" si="137"/>
        <v>1.0003729278542659</v>
      </c>
      <c r="AU107">
        <f t="shared" si="138"/>
        <v>2.7306116353255271E-2</v>
      </c>
      <c r="AV107" t="str">
        <f t="shared" si="113"/>
        <v>1+0.0273129050764747i</v>
      </c>
      <c r="AW107">
        <f t="shared" si="139"/>
        <v>1.0003729278542659</v>
      </c>
      <c r="AX107">
        <f t="shared" si="140"/>
        <v>2.7306116353255271E-2</v>
      </c>
      <c r="AY107" t="str">
        <f t="shared" si="114"/>
        <v>1-0.0778994240455472i</v>
      </c>
      <c r="AZ107">
        <f t="shared" si="141"/>
        <v>1.0030295709831432</v>
      </c>
      <c r="BA107">
        <f t="shared" si="142"/>
        <v>-7.7742422407494294E-2</v>
      </c>
      <c r="BB107" s="58" t="str">
        <f t="shared" si="143"/>
        <v>-1.9388609484513+0.20442702735232i</v>
      </c>
      <c r="BC107">
        <f t="shared" si="144"/>
        <v>5.7989469172833674</v>
      </c>
      <c r="BD107" s="60">
        <f t="shared" si="145"/>
        <v>173.9811620849926</v>
      </c>
      <c r="BE107" s="58" t="str">
        <f t="shared" si="146"/>
        <v>0.20474083392125+13.6962068532323i</v>
      </c>
      <c r="BF107" s="37">
        <f t="shared" si="147"/>
        <v>22.732976515363184</v>
      </c>
      <c r="BG107" s="60">
        <f t="shared" si="148"/>
        <v>89.143564921570473</v>
      </c>
      <c r="BH107" s="58" t="str">
        <f t="shared" si="149"/>
        <v>-0.156985975714821+20.2858009288208i</v>
      </c>
      <c r="BI107" s="37">
        <f t="shared" si="150"/>
        <v>26.144103266984406</v>
      </c>
      <c r="BJ107" s="60">
        <f t="shared" si="151"/>
        <v>90.443386698574798</v>
      </c>
      <c r="BK107">
        <f t="shared" si="152"/>
        <v>22.732976515363184</v>
      </c>
      <c r="BL107" s="60">
        <f t="shared" si="153"/>
        <v>89.143564921570473</v>
      </c>
      <c r="BN107">
        <f t="shared" si="154"/>
        <v>0</v>
      </c>
      <c r="BO107">
        <f t="shared" si="155"/>
        <v>0</v>
      </c>
    </row>
    <row r="108" spans="13:67" ht="14.25" x14ac:dyDescent="0.2">
      <c r="M108" s="66">
        <v>90</v>
      </c>
      <c r="N108" s="36">
        <f t="shared" si="115"/>
        <v>79.432823472428197</v>
      </c>
      <c r="O108" s="91" t="str">
        <f t="shared" si="103"/>
        <v>99.7340425531915</v>
      </c>
      <c r="P108" s="67" t="str">
        <f t="shared" si="104"/>
        <v>1+14.4948812523917i</v>
      </c>
      <c r="Q108" s="67">
        <f t="shared" si="116"/>
        <v>14.529335240159352</v>
      </c>
      <c r="R108" s="67">
        <f t="shared" si="117"/>
        <v>1.5019155982195758</v>
      </c>
      <c r="S108" s="67" t="str">
        <f t="shared" si="105"/>
        <v>1+0.0272503767544964i</v>
      </c>
      <c r="T108" s="67">
        <f t="shared" si="118"/>
        <v>1.0003712226135166</v>
      </c>
      <c r="U108" s="67">
        <f t="shared" si="119"/>
        <v>2.7243634535759939E-2</v>
      </c>
      <c r="V108" t="str">
        <f t="shared" si="106"/>
        <v>1-0.0028148740823326i</v>
      </c>
      <c r="W108" s="67">
        <f t="shared" si="120"/>
        <v>1.0000039617502019</v>
      </c>
      <c r="X108" s="67">
        <f t="shared" si="121"/>
        <v>-2.8148666478012415E-3</v>
      </c>
      <c r="Y108" t="str">
        <f t="shared" si="107"/>
        <v>0.999998506609836+0.00435105104561322i</v>
      </c>
      <c r="Z108" s="67">
        <f t="shared" si="122"/>
        <v>1.0000079724017721</v>
      </c>
      <c r="AA108" s="67">
        <f t="shared" si="123"/>
        <v>4.3510300861104145E-3</v>
      </c>
      <c r="AB108" s="92" t="str">
        <f t="shared" si="124"/>
        <v>0.610058463261897-6.83969029298141i</v>
      </c>
      <c r="AC108" s="37">
        <f t="shared" si="125"/>
        <v>16.735142530405803</v>
      </c>
      <c r="AD108" s="60">
        <f t="shared" si="126"/>
        <v>-84.903055324631765</v>
      </c>
      <c r="AE108" t="str">
        <f t="shared" si="127"/>
        <v>118.329284003155</v>
      </c>
      <c r="AF108" t="str">
        <f t="shared" si="108"/>
        <v>1+11.5959050019134i</v>
      </c>
      <c r="AG108">
        <f t="shared" si="128"/>
        <v>11.638943801453815</v>
      </c>
      <c r="AH108">
        <f t="shared" si="129"/>
        <v>1.4847718169998247</v>
      </c>
      <c r="AI108" t="str">
        <f t="shared" si="109"/>
        <v>1+0.0272503767544964i</v>
      </c>
      <c r="AJ108">
        <f t="shared" si="130"/>
        <v>1.0003712226135166</v>
      </c>
      <c r="AK108">
        <f t="shared" si="131"/>
        <v>2.7243634535759939E-2</v>
      </c>
      <c r="AL108" t="str">
        <f t="shared" si="110"/>
        <v>1-0.00189796026884613i</v>
      </c>
      <c r="AM108">
        <f t="shared" si="132"/>
        <v>1.0000018011249692</v>
      </c>
      <c r="AN108">
        <f t="shared" si="133"/>
        <v>-1.8979579898732496E-3</v>
      </c>
      <c r="AO108" s="58" t="str">
        <f t="shared" si="134"/>
        <v>1.13034607444351-10.1074524080359i</v>
      </c>
      <c r="AP108">
        <f t="shared" si="135"/>
        <v>20.146812753706733</v>
      </c>
      <c r="AQ108" s="60">
        <f t="shared" si="136"/>
        <v>-83.618958359077538</v>
      </c>
      <c r="AR108" t="str">
        <f t="shared" si="111"/>
        <v>-1.94444444444444</v>
      </c>
      <c r="AS108" t="str">
        <f t="shared" si="112"/>
        <v>1+0.027949104363586i</v>
      </c>
      <c r="AT108">
        <f t="shared" si="137"/>
        <v>1.000390499972249</v>
      </c>
      <c r="AU108">
        <f t="shared" si="138"/>
        <v>2.7941830268947119E-2</v>
      </c>
      <c r="AV108" t="str">
        <f t="shared" si="113"/>
        <v>1+0.027949104363586i</v>
      </c>
      <c r="AW108">
        <f t="shared" si="139"/>
        <v>1.000390499972249</v>
      </c>
      <c r="AX108">
        <f t="shared" si="140"/>
        <v>2.7941830268947119E-2</v>
      </c>
      <c r="AY108" t="str">
        <f t="shared" si="114"/>
        <v>1-0.0761262166683288i</v>
      </c>
      <c r="AZ108">
        <f t="shared" si="141"/>
        <v>1.0028934145083581</v>
      </c>
      <c r="BA108">
        <f t="shared" si="142"/>
        <v>-7.597967031894852E-2</v>
      </c>
      <c r="BB108" s="58" t="str">
        <f t="shared" si="143"/>
        <v>-1.93879283586103+0.202210722386159i</v>
      </c>
      <c r="BC108">
        <f t="shared" si="144"/>
        <v>5.7976151979675761</v>
      </c>
      <c r="BD108" s="60">
        <f t="shared" si="145"/>
        <v>174.04573661564726</v>
      </c>
      <c r="BE108" s="58" t="str">
        <f t="shared" si="146"/>
        <v>0.200281737012815+13.3841029020946i</v>
      </c>
      <c r="BF108" s="37">
        <f t="shared" si="147"/>
        <v>22.532757728373397</v>
      </c>
      <c r="BG108" s="60">
        <f t="shared" si="148"/>
        <v>89.142681291015492</v>
      </c>
      <c r="BH108" s="58" t="str">
        <f t="shared" si="149"/>
        <v>-0.147671618262054+19.8248244137659i</v>
      </c>
      <c r="BI108" s="37">
        <f t="shared" si="150"/>
        <v>25.94442795167431</v>
      </c>
      <c r="BJ108" s="60">
        <f t="shared" si="151"/>
        <v>90.426778256569705</v>
      </c>
      <c r="BK108">
        <f t="shared" si="152"/>
        <v>22.532757728373397</v>
      </c>
      <c r="BL108" s="60">
        <f t="shared" si="153"/>
        <v>89.142681291015492</v>
      </c>
      <c r="BN108">
        <f t="shared" si="154"/>
        <v>0</v>
      </c>
      <c r="BO108">
        <f t="shared" si="155"/>
        <v>0</v>
      </c>
    </row>
    <row r="109" spans="13:67" ht="14.25" x14ac:dyDescent="0.2">
      <c r="M109" s="66">
        <v>91</v>
      </c>
      <c r="N109" s="36">
        <f t="shared" si="115"/>
        <v>81.283051616409963</v>
      </c>
      <c r="O109" s="91" t="str">
        <f t="shared" si="103"/>
        <v>99.7340425531915</v>
      </c>
      <c r="P109" s="67" t="str">
        <f t="shared" si="104"/>
        <v>1+14.8325104095141i</v>
      </c>
      <c r="Q109" s="67">
        <f t="shared" si="116"/>
        <v>14.86618192571126</v>
      </c>
      <c r="R109" s="67">
        <f t="shared" si="117"/>
        <v>1.5034787276273396</v>
      </c>
      <c r="S109" s="67" t="str">
        <f t="shared" si="105"/>
        <v>1+0.0278851195698865i</v>
      </c>
      <c r="T109" s="67">
        <f t="shared" si="118"/>
        <v>1.0003887143972721</v>
      </c>
      <c r="U109" s="67">
        <f t="shared" si="119"/>
        <v>2.7877895303952342E-2</v>
      </c>
      <c r="V109" t="str">
        <f t="shared" si="106"/>
        <v>1-0.00288044092260366i</v>
      </c>
      <c r="W109" s="67">
        <f t="shared" si="120"/>
        <v>1.0000041484613496</v>
      </c>
      <c r="X109" s="67">
        <f t="shared" si="121"/>
        <v>-2.8804329563615685E-3</v>
      </c>
      <c r="Y109" t="str">
        <f t="shared" si="107"/>
        <v>0.999998436228525+0.00445240004403185i</v>
      </c>
      <c r="Z109" s="67">
        <f t="shared" si="122"/>
        <v>1.000008348127978</v>
      </c>
      <c r="AA109" s="67">
        <f t="shared" si="123"/>
        <v>4.4523775855299973E-3</v>
      </c>
      <c r="AB109" s="92" t="str">
        <f t="shared" si="124"/>
        <v>0.5889202388795-6.68547753399754i</v>
      </c>
      <c r="AC109" s="37">
        <f t="shared" si="125"/>
        <v>16.536218788662843</v>
      </c>
      <c r="AD109" s="60">
        <f t="shared" si="126"/>
        <v>-84.965839034140984</v>
      </c>
      <c r="AE109" t="str">
        <f t="shared" si="127"/>
        <v>118.329284003155</v>
      </c>
      <c r="AF109" t="str">
        <f t="shared" si="108"/>
        <v>1+11.8660083276113i</v>
      </c>
      <c r="AG109">
        <f t="shared" si="128"/>
        <v>11.90807094499108</v>
      </c>
      <c r="AH109">
        <f t="shared" si="129"/>
        <v>1.4867206526780958</v>
      </c>
      <c r="AI109" t="str">
        <f t="shared" si="109"/>
        <v>1+0.0278851195698865i</v>
      </c>
      <c r="AJ109">
        <f t="shared" si="130"/>
        <v>1.0003887143972721</v>
      </c>
      <c r="AK109">
        <f t="shared" si="131"/>
        <v>2.7877895303952342E-2</v>
      </c>
      <c r="AL109" t="str">
        <f t="shared" si="110"/>
        <v>1-0.00194216944273753i</v>
      </c>
      <c r="AM109">
        <f t="shared" si="132"/>
        <v>1.0000018860092936</v>
      </c>
      <c r="AN109">
        <f t="shared" si="133"/>
        <v>-1.9421670007743412E-3</v>
      </c>
      <c r="AO109" s="58" t="str">
        <f t="shared" si="134"/>
        <v>1.09139450963116-9.88068562651749i</v>
      </c>
      <c r="AP109">
        <f t="shared" si="135"/>
        <v>19.948408521347819</v>
      </c>
      <c r="AQ109" s="60">
        <f t="shared" si="136"/>
        <v>-83.696810943019926</v>
      </c>
      <c r="AR109" t="str">
        <f t="shared" si="111"/>
        <v>-1.94444444444444</v>
      </c>
      <c r="AS109" t="str">
        <f t="shared" si="112"/>
        <v>1+0.028600122635781i</v>
      </c>
      <c r="AT109">
        <f t="shared" si="137"/>
        <v>1.0004088999078236</v>
      </c>
      <c r="AU109">
        <f t="shared" si="138"/>
        <v>2.8592328474998489E-2</v>
      </c>
      <c r="AV109" t="str">
        <f t="shared" si="113"/>
        <v>1+0.028600122635781i</v>
      </c>
      <c r="AW109">
        <f t="shared" si="139"/>
        <v>1.0004088999078236</v>
      </c>
      <c r="AX109">
        <f t="shared" si="140"/>
        <v>2.8592328474998489E-2</v>
      </c>
      <c r="AY109" t="str">
        <f t="shared" si="114"/>
        <v>1-0.0743933724188376i</v>
      </c>
      <c r="AZ109">
        <f t="shared" si="141"/>
        <v>1.0027633688262889</v>
      </c>
      <c r="BA109">
        <f t="shared" si="142"/>
        <v>-7.4256586103101735E-2</v>
      </c>
      <c r="BB109" s="58" t="str">
        <f t="shared" si="143"/>
        <v>-1.93872151835234+0.200101452884799i</v>
      </c>
      <c r="BC109">
        <f t="shared" si="144"/>
        <v>5.7963290654025723</v>
      </c>
      <c r="BD109" s="60">
        <f t="shared" si="145"/>
        <v>174.10719126717336</v>
      </c>
      <c r="BE109" s="58" t="str">
        <f t="shared" si="146"/>
        <v>0.196021428072704+13.0791229510552i</v>
      </c>
      <c r="BF109" s="37">
        <f t="shared" si="147"/>
        <v>22.332547854065407</v>
      </c>
      <c r="BG109" s="60">
        <f t="shared" si="148"/>
        <v>89.141352233032379</v>
      </c>
      <c r="BH109" s="58" t="str">
        <f t="shared" si="149"/>
        <v>-0.13877047146943+19.3742874672518i</v>
      </c>
      <c r="BI109" s="37">
        <f t="shared" si="150"/>
        <v>25.744737586750386</v>
      </c>
      <c r="BJ109" s="60">
        <f t="shared" si="151"/>
        <v>90.410380324153437</v>
      </c>
      <c r="BK109">
        <f t="shared" si="152"/>
        <v>22.332547854065407</v>
      </c>
      <c r="BL109" s="60">
        <f t="shared" si="153"/>
        <v>89.141352233032379</v>
      </c>
      <c r="BN109">
        <f t="shared" si="154"/>
        <v>0</v>
      </c>
      <c r="BO109">
        <f t="shared" si="155"/>
        <v>0</v>
      </c>
    </row>
    <row r="110" spans="13:67" ht="14.25" x14ac:dyDescent="0.2">
      <c r="M110" s="66">
        <v>92</v>
      </c>
      <c r="N110" s="36">
        <f t="shared" si="115"/>
        <v>83.176377110267126</v>
      </c>
      <c r="O110" s="91" t="str">
        <f t="shared" si="103"/>
        <v>99.7340425531915</v>
      </c>
      <c r="P110" s="67" t="str">
        <f t="shared" si="104"/>
        <v>1+15.1780039599871i</v>
      </c>
      <c r="Q110" s="67">
        <f t="shared" si="116"/>
        <v>15.210910696253006</v>
      </c>
      <c r="R110" s="67">
        <f t="shared" si="117"/>
        <v>1.505006594285939</v>
      </c>
      <c r="S110" s="67" t="str">
        <f t="shared" si="105"/>
        <v>1+0.0285346474447758i</v>
      </c>
      <c r="T110" s="67">
        <f t="shared" si="118"/>
        <v>1.0004070302156005</v>
      </c>
      <c r="U110" s="67">
        <f t="shared" si="119"/>
        <v>2.8526906674452832E-2</v>
      </c>
      <c r="V110" t="str">
        <f t="shared" si="106"/>
        <v>1-0.00294753501077904i</v>
      </c>
      <c r="W110" s="67">
        <f t="shared" si="120"/>
        <v>1.0000043439718849</v>
      </c>
      <c r="X110" s="67">
        <f t="shared" si="121"/>
        <v>-2.9475264747988515E-3</v>
      </c>
      <c r="Y110" t="str">
        <f t="shared" si="107"/>
        <v>0.999998362530246+0.00455610976388832i</v>
      </c>
      <c r="Z110" s="67">
        <f t="shared" si="122"/>
        <v>1.0000087415614696</v>
      </c>
      <c r="AA110" s="67">
        <f t="shared" si="123"/>
        <v>4.5560856991812698E-3</v>
      </c>
      <c r="AB110" s="92" t="str">
        <f t="shared" si="124"/>
        <v>0.568724953187354-6.53468174290193i</v>
      </c>
      <c r="AC110" s="37">
        <f t="shared" si="125"/>
        <v>16.337260627781916</v>
      </c>
      <c r="AD110" s="60">
        <f t="shared" si="126"/>
        <v>-85.025979945604419</v>
      </c>
      <c r="AE110" t="str">
        <f t="shared" si="127"/>
        <v>118.329284003155</v>
      </c>
      <c r="AF110" t="str">
        <f t="shared" si="108"/>
        <v>1+12.1424031679897i</v>
      </c>
      <c r="AG110">
        <f t="shared" si="128"/>
        <v>12.183511591245207</v>
      </c>
      <c r="AH110">
        <f t="shared" si="129"/>
        <v>1.4886257461991328</v>
      </c>
      <c r="AI110" t="str">
        <f t="shared" si="109"/>
        <v>1+0.0285346474447758i</v>
      </c>
      <c r="AJ110">
        <f t="shared" si="130"/>
        <v>1.0004070302156005</v>
      </c>
      <c r="AK110">
        <f t="shared" si="131"/>
        <v>2.8526906674452832E-2</v>
      </c>
      <c r="AL110" t="str">
        <f t="shared" si="110"/>
        <v>1-0.00198740838057514i</v>
      </c>
      <c r="AM110">
        <f t="shared" si="132"/>
        <v>1.0000019748940856</v>
      </c>
      <c r="AN110">
        <f t="shared" si="133"/>
        <v>-1.9874057639647199E-3</v>
      </c>
      <c r="AO110" s="58" t="str">
        <f t="shared" si="134"/>
        <v>1.05417187664776-9.65886414388598i</v>
      </c>
      <c r="AP110">
        <f t="shared" si="135"/>
        <v>19.749946970723656</v>
      </c>
      <c r="AQ110" s="60">
        <f t="shared" si="136"/>
        <v>-83.771371139168593</v>
      </c>
      <c r="AR110" t="str">
        <f t="shared" si="111"/>
        <v>-1.94444444444444</v>
      </c>
      <c r="AS110" t="str">
        <f t="shared" si="112"/>
        <v>1+0.0292663050715648i</v>
      </c>
      <c r="AT110">
        <f t="shared" si="137"/>
        <v>1.0004281666429338</v>
      </c>
      <c r="AU110">
        <f t="shared" si="138"/>
        <v>2.9257953670852425E-2</v>
      </c>
      <c r="AV110" t="str">
        <f t="shared" si="113"/>
        <v>1+0.0292663050715648i</v>
      </c>
      <c r="AW110">
        <f t="shared" si="139"/>
        <v>1.0004281666429338</v>
      </c>
      <c r="AX110">
        <f t="shared" si="140"/>
        <v>2.9257953670852425E-2</v>
      </c>
      <c r="AY110" t="str">
        <f t="shared" si="114"/>
        <v>1-0.0726999725201155i</v>
      </c>
      <c r="AZ110">
        <f t="shared" si="141"/>
        <v>1.0026391604183558</v>
      </c>
      <c r="BA110">
        <f t="shared" si="142"/>
        <v>-7.2572297107760572E-2</v>
      </c>
      <c r="BB110" s="58" t="str">
        <f t="shared" si="143"/>
        <v>-1.93864684537628+0.198098087680811i</v>
      </c>
      <c r="BC110">
        <f t="shared" si="144"/>
        <v>5.7950858325913206</v>
      </c>
      <c r="BD110" s="60">
        <f t="shared" si="145"/>
        <v>174.16555640362671</v>
      </c>
      <c r="BE110" s="58" t="str">
        <f t="shared" si="146"/>
        <v>0.191951120488145+12.7811034720576i</v>
      </c>
      <c r="BF110" s="37">
        <f t="shared" si="147"/>
        <v>22.132346460373256</v>
      </c>
      <c r="BG110" s="60">
        <f t="shared" si="148"/>
        <v>89.13957645802229</v>
      </c>
      <c r="BH110" s="58" t="str">
        <f t="shared" si="149"/>
        <v>-0.130264467075006+18.9339559353134i</v>
      </c>
      <c r="BI110" s="37">
        <f t="shared" si="150"/>
        <v>25.54503280331496</v>
      </c>
      <c r="BJ110" s="60">
        <f t="shared" si="151"/>
        <v>90.394185264458102</v>
      </c>
      <c r="BK110">
        <f t="shared" si="152"/>
        <v>22.132346460373256</v>
      </c>
      <c r="BL110" s="60">
        <f t="shared" si="153"/>
        <v>89.13957645802229</v>
      </c>
      <c r="BN110">
        <f t="shared" si="154"/>
        <v>0</v>
      </c>
      <c r="BO110">
        <f t="shared" si="155"/>
        <v>0</v>
      </c>
    </row>
    <row r="111" spans="13:67" ht="14.25" x14ac:dyDescent="0.2">
      <c r="M111" s="66">
        <v>93</v>
      </c>
      <c r="N111" s="36">
        <f t="shared" si="115"/>
        <v>85.113803820237734</v>
      </c>
      <c r="O111" s="91" t="str">
        <f t="shared" si="103"/>
        <v>99.7340425531915</v>
      </c>
      <c r="P111" s="67" t="str">
        <f t="shared" si="104"/>
        <v>1+15.5315450890644i</v>
      </c>
      <c r="Q111" s="67">
        <f t="shared" si="116"/>
        <v>15.563704342271489</v>
      </c>
      <c r="R111" s="67">
        <f t="shared" si="117"/>
        <v>1.5064999797415133</v>
      </c>
      <c r="S111" s="67" t="str">
        <f t="shared" si="105"/>
        <v>1+0.029199304767441i</v>
      </c>
      <c r="T111" s="67">
        <f t="shared" si="118"/>
        <v>1.0004262088724494</v>
      </c>
      <c r="U111" s="67">
        <f t="shared" si="119"/>
        <v>2.9191010573438279E-2</v>
      </c>
      <c r="V111" t="str">
        <f t="shared" si="106"/>
        <v>1-0.00301619192103237i</v>
      </c>
      <c r="W111" s="67">
        <f t="shared" si="120"/>
        <v>1.000004548696507</v>
      </c>
      <c r="X111" s="67">
        <f t="shared" si="121"/>
        <v>-3.016182774567056E-3</v>
      </c>
      <c r="Y111" t="str">
        <f t="shared" si="107"/>
        <v>0.999998285358674+0.00466223519344884i</v>
      </c>
      <c r="Z111" s="67">
        <f t="shared" si="122"/>
        <v>1.0000091535367499</v>
      </c>
      <c r="AA111" s="67">
        <f t="shared" si="123"/>
        <v>4.6622094076632856E-3</v>
      </c>
      <c r="AB111" s="92" t="str">
        <f t="shared" si="124"/>
        <v>0.549430901933607-6.38723142031539i</v>
      </c>
      <c r="AC111" s="37">
        <f t="shared" si="125"/>
        <v>16.138270231996991</v>
      </c>
      <c r="AD111" s="60">
        <f t="shared" si="126"/>
        <v>-85.083508435641008</v>
      </c>
      <c r="AE111" t="str">
        <f t="shared" si="127"/>
        <v>118.329284003155</v>
      </c>
      <c r="AF111" t="str">
        <f t="shared" si="108"/>
        <v>1+12.4252360712515i</v>
      </c>
      <c r="AG111">
        <f t="shared" si="128"/>
        <v>12.465411803319192</v>
      </c>
      <c r="AH111">
        <f t="shared" si="129"/>
        <v>1.4904880523234771</v>
      </c>
      <c r="AI111" t="str">
        <f t="shared" si="109"/>
        <v>1+0.029199304767441i</v>
      </c>
      <c r="AJ111">
        <f t="shared" si="130"/>
        <v>1.0004262088724494</v>
      </c>
      <c r="AK111">
        <f t="shared" si="131"/>
        <v>2.9191010573438279E-2</v>
      </c>
      <c r="AL111" t="str">
        <f t="shared" si="110"/>
        <v>1-0.00203370106864258i</v>
      </c>
      <c r="AM111">
        <f t="shared" si="132"/>
        <v>1.00000206796788</v>
      </c>
      <c r="AN111">
        <f t="shared" si="133"/>
        <v>-2.0336982648943135E-3</v>
      </c>
      <c r="AO111" s="58" t="str">
        <f t="shared" si="134"/>
        <v>1.01860246706592-9.44188968086097i</v>
      </c>
      <c r="AP111">
        <f t="shared" si="135"/>
        <v>19.55143130403874</v>
      </c>
      <c r="AQ111" s="60">
        <f t="shared" si="136"/>
        <v>-83.842675434611209</v>
      </c>
      <c r="AR111" t="str">
        <f t="shared" si="111"/>
        <v>-1.94444444444444</v>
      </c>
      <c r="AS111" t="str">
        <f t="shared" si="112"/>
        <v>1+0.029948004889683i</v>
      </c>
      <c r="AT111">
        <f t="shared" si="137"/>
        <v>1.0004483409936129</v>
      </c>
      <c r="AU111">
        <f t="shared" si="138"/>
        <v>2.9939056419169666E-2</v>
      </c>
      <c r="AV111" t="str">
        <f t="shared" si="113"/>
        <v>1+0.029948004889683i</v>
      </c>
      <c r="AW111">
        <f t="shared" si="139"/>
        <v>1.0004483409936129</v>
      </c>
      <c r="AX111">
        <f t="shared" si="140"/>
        <v>2.9939056419169666E-2</v>
      </c>
      <c r="AY111" t="str">
        <f t="shared" si="114"/>
        <v>1-0.0710451191091214i</v>
      </c>
      <c r="AZ111">
        <f t="shared" si="141"/>
        <v>1.0025205279440561</v>
      </c>
      <c r="BA111">
        <f t="shared" si="142"/>
        <v>-7.0925948546347414E-2</v>
      </c>
      <c r="BB111" s="58" t="str">
        <f t="shared" si="143"/>
        <v>-1.93856865933637+0.196199550845417i</v>
      </c>
      <c r="BC111">
        <f t="shared" si="144"/>
        <v>5.7938829000945855</v>
      </c>
      <c r="BD111" s="60">
        <f t="shared" si="145"/>
        <v>174.22086091490979</v>
      </c>
      <c r="BE111" s="58" t="str">
        <f t="shared" si="146"/>
        <v>0.188062408852209+12.4898847475319i</v>
      </c>
      <c r="BF111" s="37">
        <f t="shared" si="147"/>
        <v>21.932153132091567</v>
      </c>
      <c r="BG111" s="60">
        <f t="shared" si="148"/>
        <v>89.13735247926877</v>
      </c>
      <c r="BH111" s="58" t="str">
        <f t="shared" si="149"/>
        <v>-0.1221363044598+18.5036007667569i</v>
      </c>
      <c r="BI111" s="37">
        <f t="shared" si="150"/>
        <v>25.345314204133317</v>
      </c>
      <c r="BJ111" s="60">
        <f t="shared" si="151"/>
        <v>90.378185480298569</v>
      </c>
      <c r="BK111">
        <f t="shared" si="152"/>
        <v>21.932153132091567</v>
      </c>
      <c r="BL111" s="60">
        <f t="shared" si="153"/>
        <v>89.13735247926877</v>
      </c>
      <c r="BN111">
        <f t="shared" si="154"/>
        <v>0</v>
      </c>
      <c r="BO111">
        <f t="shared" si="155"/>
        <v>0</v>
      </c>
    </row>
    <row r="112" spans="13:67" ht="14.25" x14ac:dyDescent="0.2">
      <c r="M112" s="66">
        <v>94</v>
      </c>
      <c r="N112" s="36">
        <f t="shared" si="115"/>
        <v>87.096358995608071</v>
      </c>
      <c r="O112" s="91" t="str">
        <f t="shared" si="103"/>
        <v>99.7340425531915</v>
      </c>
      <c r="P112" s="67" t="str">
        <f t="shared" si="104"/>
        <v>1+15.8933212489321i</v>
      </c>
      <c r="Q112" s="67">
        <f t="shared" si="116"/>
        <v>15.924749929645884</v>
      </c>
      <c r="R112" s="67">
        <f t="shared" si="117"/>
        <v>1.5079596491474001</v>
      </c>
      <c r="S112" s="67" t="str">
        <f t="shared" si="105"/>
        <v>1+0.0298794439479924i</v>
      </c>
      <c r="T112" s="67">
        <f t="shared" si="118"/>
        <v>1.0004462909974934</v>
      </c>
      <c r="U112" s="67">
        <f t="shared" si="119"/>
        <v>2.9870556773106328E-2</v>
      </c>
      <c r="V112" t="str">
        <f t="shared" si="106"/>
        <v>1-0.00308644805616624i</v>
      </c>
      <c r="W112" s="67">
        <f t="shared" si="120"/>
        <v>1.0000047630694582</v>
      </c>
      <c r="X112" s="67">
        <f t="shared" si="121"/>
        <v>-3.0864382555546026E-3</v>
      </c>
      <c r="Y112" t="str">
        <f t="shared" si="107"/>
        <v>0.999998204550118+0.0047708326018209i</v>
      </c>
      <c r="Z112" s="67">
        <f t="shared" si="122"/>
        <v>1.0000095849276518</v>
      </c>
      <c r="AA112" s="67">
        <f t="shared" si="123"/>
        <v>4.7708049718680418E-3</v>
      </c>
      <c r="AB112" s="92" t="str">
        <f t="shared" si="124"/>
        <v>0.530998193667897-6.24305628424396i</v>
      </c>
      <c r="AC112" s="37">
        <f t="shared" si="125"/>
        <v>15.939249719263863</v>
      </c>
      <c r="AD112" s="60">
        <f t="shared" si="126"/>
        <v>-85.138453612908592</v>
      </c>
      <c r="AE112" t="str">
        <f t="shared" si="127"/>
        <v>118.329284003155</v>
      </c>
      <c r="AF112" t="str">
        <f t="shared" si="108"/>
        <v>1+12.7146569991457i</v>
      </c>
      <c r="AG112">
        <f t="shared" si="128"/>
        <v>12.753921067888285</v>
      </c>
      <c r="AH112">
        <f t="shared" si="129"/>
        <v>1.4923085067711339</v>
      </c>
      <c r="AI112" t="str">
        <f t="shared" si="109"/>
        <v>1+0.0298794439479924i</v>
      </c>
      <c r="AJ112">
        <f t="shared" si="130"/>
        <v>1.0004462909974934</v>
      </c>
      <c r="AK112">
        <f t="shared" si="131"/>
        <v>2.9870556773106328E-2</v>
      </c>
      <c r="AL112" t="str">
        <f t="shared" si="110"/>
        <v>1-0.00208107205193583i</v>
      </c>
      <c r="AM112">
        <f t="shared" si="132"/>
        <v>1.0000021654280982</v>
      </c>
      <c r="AN112">
        <f t="shared" si="133"/>
        <v>-2.0810690476657867E-3</v>
      </c>
      <c r="AO112" s="58" t="str">
        <f t="shared" si="134"/>
        <v>0.984613797255203-9.22966526581249i</v>
      </c>
      <c r="AP112">
        <f t="shared" si="135"/>
        <v>19.352864613888062</v>
      </c>
      <c r="AQ112" s="60">
        <f t="shared" si="136"/>
        <v>-83.910758807957663</v>
      </c>
      <c r="AR112" t="str">
        <f t="shared" si="111"/>
        <v>-1.94444444444444</v>
      </c>
      <c r="AS112" t="str">
        <f t="shared" si="112"/>
        <v>1+0.0306455835364023i</v>
      </c>
      <c r="AT112">
        <f t="shared" si="137"/>
        <v>1.0004694656961233</v>
      </c>
      <c r="AU112">
        <f t="shared" si="138"/>
        <v>3.063599532048257E-2</v>
      </c>
      <c r="AV112" t="str">
        <f t="shared" si="113"/>
        <v>1+0.0306455835364023i</v>
      </c>
      <c r="AW112">
        <f t="shared" si="139"/>
        <v>1.0004694656961233</v>
      </c>
      <c r="AX112">
        <f t="shared" si="140"/>
        <v>3.063599532048257E-2</v>
      </c>
      <c r="AY112" t="str">
        <f t="shared" si="114"/>
        <v>1-0.0694279347606725i</v>
      </c>
      <c r="AZ112">
        <f t="shared" si="141"/>
        <v>1.0024072217043989</v>
      </c>
      <c r="BA112">
        <f t="shared" si="142"/>
        <v>-6.9316703222030748E-2</v>
      </c>
      <c r="BB112" s="58" t="str">
        <f t="shared" si="143"/>
        <v>-1.93848679526098+0.194404821053024i</v>
      </c>
      <c r="BC112">
        <f t="shared" si="144"/>
        <v>5.7927177508307262</v>
      </c>
      <c r="BD112" s="60">
        <f t="shared" si="145"/>
        <v>174.27313222257055</v>
      </c>
      <c r="BE112" s="58" t="str">
        <f t="shared" si="146"/>
        <v>0.184347253029753+12.2053107778975i</v>
      </c>
      <c r="BF112" s="37">
        <f t="shared" si="147"/>
        <v>21.731967470094599</v>
      </c>
      <c r="BG112" s="60">
        <f t="shared" si="148"/>
        <v>89.134678609661989</v>
      </c>
      <c r="BH112" s="58" t="str">
        <f t="shared" si="149"/>
        <v>-0.114369420031394+18.0829979115182i</v>
      </c>
      <c r="BI112" s="37">
        <f t="shared" si="150"/>
        <v>25.145582364718805</v>
      </c>
      <c r="BJ112" s="60">
        <f t="shared" si="151"/>
        <v>90.362373414612904</v>
      </c>
      <c r="BK112">
        <f t="shared" si="152"/>
        <v>21.731967470094599</v>
      </c>
      <c r="BL112" s="60">
        <f t="shared" si="153"/>
        <v>89.134678609661989</v>
      </c>
      <c r="BN112">
        <f t="shared" si="154"/>
        <v>0</v>
      </c>
      <c r="BO112">
        <f t="shared" si="155"/>
        <v>0</v>
      </c>
    </row>
    <row r="113" spans="13:67" ht="14.25" x14ac:dyDescent="0.2">
      <c r="M113" s="66">
        <v>95</v>
      </c>
      <c r="N113" s="36">
        <f t="shared" si="115"/>
        <v>89.125093813374562</v>
      </c>
      <c r="O113" s="91" t="str">
        <f t="shared" si="103"/>
        <v>99.7340425531915</v>
      </c>
      <c r="P113" s="67" t="str">
        <f t="shared" si="104"/>
        <v>1+16.263524258099i</v>
      </c>
      <c r="Q113" s="67">
        <f t="shared" si="116"/>
        <v>16.294238898880014</v>
      </c>
      <c r="R113" s="67">
        <f t="shared" si="117"/>
        <v>1.5093863515454327</v>
      </c>
      <c r="S113" s="67" t="str">
        <f t="shared" si="105"/>
        <v>1+0.0305754256052262i</v>
      </c>
      <c r="T113" s="67">
        <f t="shared" si="118"/>
        <v>1.0004673191318847</v>
      </c>
      <c r="U113" s="67">
        <f t="shared" si="119"/>
        <v>3.0565903065987155E-2</v>
      </c>
      <c r="V113" t="str">
        <f t="shared" si="106"/>
        <v>1-0.00315834066691347i</v>
      </c>
      <c r="W113" s="67">
        <f t="shared" si="120"/>
        <v>1.0000049875454464</v>
      </c>
      <c r="X113" s="67">
        <f t="shared" si="121"/>
        <v>-3.1583301653717263E-3</v>
      </c>
      <c r="Y113" t="str">
        <f t="shared" si="107"/>
        <v>0.999998119933172+0.00488195956878788i</v>
      </c>
      <c r="Z113" s="67">
        <f t="shared" si="122"/>
        <v>1.0000100366491878</v>
      </c>
      <c r="AA113" s="67">
        <f t="shared" si="123"/>
        <v>4.8819299627758817E-3</v>
      </c>
      <c r="AB113" s="92" t="str">
        <f t="shared" si="124"/>
        <v>0.51338867371722-6.10208726910415i</v>
      </c>
      <c r="AC113" s="37">
        <f t="shared" si="125"/>
        <v>15.740201145555181</v>
      </c>
      <c r="AD113" s="60">
        <f t="shared" si="126"/>
        <v>-85.190843327045982</v>
      </c>
      <c r="AE113" t="str">
        <f t="shared" si="127"/>
        <v>118.329284003155</v>
      </c>
      <c r="AF113" t="str">
        <f t="shared" si="108"/>
        <v>1+13.0108194064792i</v>
      </c>
      <c r="AG113">
        <f t="shared" si="128"/>
        <v>13.049192374550072</v>
      </c>
      <c r="AH113">
        <f t="shared" si="129"/>
        <v>1.49408802647954</v>
      </c>
      <c r="AI113" t="str">
        <f t="shared" si="109"/>
        <v>1+0.0305754256052262i</v>
      </c>
      <c r="AJ113">
        <f t="shared" si="130"/>
        <v>1.0004673191318847</v>
      </c>
      <c r="AK113">
        <f t="shared" si="131"/>
        <v>3.0565903065987155E-2</v>
      </c>
      <c r="AL113" t="str">
        <f t="shared" si="110"/>
        <v>1-0.00212954644717727i</v>
      </c>
      <c r="AM113">
        <f t="shared" si="132"/>
        <v>1.0000022674814646</v>
      </c>
      <c r="AN113">
        <f t="shared" si="133"/>
        <v>-2.129543228044315E-3</v>
      </c>
      <c r="AO113" s="58" t="str">
        <f t="shared" si="134"/>
        <v>0.952136478969739-9.02209526458405i</v>
      </c>
      <c r="AP113">
        <f t="shared" si="135"/>
        <v>19.154249889353299</v>
      </c>
      <c r="AQ113" s="60">
        <f t="shared" si="136"/>
        <v>-83.975654734878574</v>
      </c>
      <c r="AR113" t="str">
        <f t="shared" si="111"/>
        <v>-1.94444444444444</v>
      </c>
      <c r="AS113" t="str">
        <f t="shared" si="112"/>
        <v>1+0.031359410877155i</v>
      </c>
      <c r="AT113">
        <f t="shared" si="137"/>
        <v>1.0004915854971306</v>
      </c>
      <c r="AU113">
        <f t="shared" si="138"/>
        <v>3.1349137191314019E-2</v>
      </c>
      <c r="AV113" t="str">
        <f t="shared" si="113"/>
        <v>1+0.031359410877155i</v>
      </c>
      <c r="AW113">
        <f t="shared" si="139"/>
        <v>1.0004915854971306</v>
      </c>
      <c r="AX113">
        <f t="shared" si="140"/>
        <v>3.1349137191314019E-2</v>
      </c>
      <c r="AY113" t="str">
        <f t="shared" si="114"/>
        <v>1-0.067847562022221i</v>
      </c>
      <c r="AZ113">
        <f t="shared" si="141"/>
        <v>1.0022990031284871</v>
      </c>
      <c r="BA113">
        <f t="shared" si="142"/>
        <v>-6.7743741249681258E-2</v>
      </c>
      <c r="BB113" s="58" t="str">
        <f t="shared" si="143"/>
        <v>-1.93840108046081+0.192712930970099i</v>
      </c>
      <c r="BC113">
        <f t="shared" si="144"/>
        <v>5.7915879450247747</v>
      </c>
      <c r="BD113" s="60">
        <f t="shared" si="145"/>
        <v>174.32239628552807</v>
      </c>
      <c r="BE113" s="58" t="str">
        <f t="shared" si="146"/>
        <v>0.180797962834586+11.9272291915365i</v>
      </c>
      <c r="BF113" s="37">
        <f t="shared" si="147"/>
        <v>21.531789090579927</v>
      </c>
      <c r="BG113" s="60">
        <f t="shared" si="148"/>
        <v>89.131552958482075</v>
      </c>
      <c r="BH113" s="58" t="str">
        <f t="shared" si="149"/>
        <v>-0.10694795765165+17.6719282204359i</v>
      </c>
      <c r="BI113" s="37">
        <f t="shared" si="150"/>
        <v>24.945837834378079</v>
      </c>
      <c r="BJ113" s="60">
        <f t="shared" si="151"/>
        <v>90.346741550649483</v>
      </c>
      <c r="BK113">
        <f t="shared" si="152"/>
        <v>21.531789090579927</v>
      </c>
      <c r="BL113" s="60">
        <f t="shared" si="153"/>
        <v>89.131552958482075</v>
      </c>
      <c r="BN113">
        <f t="shared" si="154"/>
        <v>0</v>
      </c>
      <c r="BO113">
        <f t="shared" si="155"/>
        <v>0</v>
      </c>
    </row>
    <row r="114" spans="13:67" ht="14.25" x14ac:dyDescent="0.2">
      <c r="M114" s="66">
        <v>96</v>
      </c>
      <c r="N114" s="36">
        <f t="shared" si="115"/>
        <v>91.201083935590972</v>
      </c>
      <c r="O114" s="91" t="str">
        <f t="shared" si="103"/>
        <v>99.7340425531915</v>
      </c>
      <c r="P114" s="67" t="str">
        <f t="shared" si="104"/>
        <v>1+16.6423504031008i</v>
      </c>
      <c r="Q114" s="67">
        <f t="shared" si="116"/>
        <v>16.672367166650009</v>
      </c>
      <c r="R114" s="67">
        <f t="shared" si="117"/>
        <v>1.510780820146806</v>
      </c>
      <c r="S114" s="67" t="str">
        <f t="shared" si="105"/>
        <v>1+0.0312876187578295i</v>
      </c>
      <c r="T114" s="67">
        <f t="shared" si="118"/>
        <v>1.0004893378180175</v>
      </c>
      <c r="U114" s="67">
        <f t="shared" si="119"/>
        <v>3.1277415442715138E-2</v>
      </c>
      <c r="V114" t="str">
        <f t="shared" si="106"/>
        <v>1-0.00323190787168788i</v>
      </c>
      <c r="W114" s="67">
        <f t="shared" si="120"/>
        <v>1.0000052226006078</v>
      </c>
      <c r="X114" s="67">
        <f t="shared" si="121"/>
        <v>-3.2318966190863409E-3</v>
      </c>
      <c r="Y114" t="str">
        <f t="shared" si="107"/>
        <v>0.999998031328352+0.00499567501533861i</v>
      </c>
      <c r="Z114" s="67">
        <f t="shared" si="122"/>
        <v>1.0000105096594927</v>
      </c>
      <c r="AA114" s="67">
        <f t="shared" si="123"/>
        <v>4.9956432919430367E-3</v>
      </c>
      <c r="AB114" s="92" t="str">
        <f t="shared" si="124"/>
        <v>0.496565851103388-5.96425652306239i</v>
      </c>
      <c r="AC114" s="37">
        <f t="shared" si="125"/>
        <v>15.541126509040078</v>
      </c>
      <c r="AD114" s="60">
        <f t="shared" si="126"/>
        <v>-85.240704177457616</v>
      </c>
      <c r="AE114" t="str">
        <f t="shared" si="127"/>
        <v>118.329284003155</v>
      </c>
      <c r="AF114" t="str">
        <f t="shared" si="108"/>
        <v>1+13.3138803224806i</v>
      </c>
      <c r="AG114">
        <f t="shared" si="128"/>
        <v>13.35138229702588</v>
      </c>
      <c r="AH114">
        <f t="shared" si="129"/>
        <v>1.4958275098669107</v>
      </c>
      <c r="AI114" t="str">
        <f t="shared" si="109"/>
        <v>1+0.0312876187578295i</v>
      </c>
      <c r="AJ114">
        <f t="shared" si="130"/>
        <v>1.0004893378180175</v>
      </c>
      <c r="AK114">
        <f t="shared" si="131"/>
        <v>3.1277415442715138E-2</v>
      </c>
      <c r="AL114" t="str">
        <f t="shared" si="110"/>
        <v>1-0.00217914995613287i</v>
      </c>
      <c r="AM114">
        <f t="shared" si="132"/>
        <v>1.0000023743444468</v>
      </c>
      <c r="AN114">
        <f t="shared" si="133"/>
        <v>-2.1791465067702047E-3</v>
      </c>
      <c r="AO114" s="58" t="str">
        <f t="shared" si="134"/>
        <v>0.921104094420083-8.81908540592291i</v>
      </c>
      <c r="AP114">
        <f t="shared" si="135"/>
        <v>18.95559002191699</v>
      </c>
      <c r="AQ114" s="60">
        <f t="shared" si="136"/>
        <v>-84.037395193771204</v>
      </c>
      <c r="AR114" t="str">
        <f t="shared" si="111"/>
        <v>-1.94444444444444</v>
      </c>
      <c r="AS114" t="str">
        <f t="shared" si="112"/>
        <v>1+0.0320898653926455i</v>
      </c>
      <c r="AT114">
        <f t="shared" si="137"/>
        <v>1.0005147472480944</v>
      </c>
      <c r="AU114">
        <f t="shared" si="138"/>
        <v>3.2078857245795615E-2</v>
      </c>
      <c r="AV114" t="str">
        <f t="shared" si="113"/>
        <v>1+0.0320898653926455i</v>
      </c>
      <c r="AW114">
        <f t="shared" si="139"/>
        <v>1.0005147472480944</v>
      </c>
      <c r="AX114">
        <f t="shared" si="140"/>
        <v>3.2078857245795615E-2</v>
      </c>
      <c r="AY114" t="str">
        <f t="shared" si="114"/>
        <v>1-0.0663031629592222i</v>
      </c>
      <c r="AZ114">
        <f t="shared" si="141"/>
        <v>1.0021956442822915</v>
      </c>
      <c r="BA114">
        <f t="shared" si="142"/>
        <v>-6.6206259776239909E-2</v>
      </c>
      <c r="BB114" s="58" t="str">
        <f t="shared" si="143"/>
        <v>-1.93831133417063+0.191122966667729i</v>
      </c>
      <c r="BC114">
        <f t="shared" si="144"/>
        <v>5.7904911152977139</v>
      </c>
      <c r="BD114" s="60">
        <f t="shared" si="145"/>
        <v>174.36867760568794</v>
      </c>
      <c r="BE114" s="58" t="str">
        <f t="shared" si="146"/>
        <v>0.177407183299256+11.6554911571617i</v>
      </c>
      <c r="BF114" s="37">
        <f t="shared" si="147"/>
        <v>21.331617624337788</v>
      </c>
      <c r="BG114" s="60">
        <f t="shared" si="148"/>
        <v>89.127973428230348</v>
      </c>
      <c r="BH114" s="58" t="str">
        <f t="shared" si="149"/>
        <v>-0.0998567400893615+17.2701773464545i</v>
      </c>
      <c r="BI114" s="37">
        <f t="shared" si="150"/>
        <v>24.746081137214695</v>
      </c>
      <c r="BJ114" s="60">
        <f t="shared" si="151"/>
        <v>90.331282411916732</v>
      </c>
      <c r="BK114">
        <f t="shared" si="152"/>
        <v>21.331617624337788</v>
      </c>
      <c r="BL114" s="60">
        <f t="shared" si="153"/>
        <v>89.127973428230348</v>
      </c>
      <c r="BN114">
        <f t="shared" si="154"/>
        <v>0</v>
      </c>
      <c r="BO114">
        <f t="shared" si="155"/>
        <v>0</v>
      </c>
    </row>
    <row r="115" spans="13:67" ht="14.25" x14ac:dyDescent="0.2">
      <c r="M115" s="66">
        <v>97</v>
      </c>
      <c r="N115" s="36">
        <f t="shared" si="115"/>
        <v>93.325430079699174</v>
      </c>
      <c r="O115" s="91" t="str">
        <f t="shared" si="103"/>
        <v>99.7340425531915</v>
      </c>
      <c r="P115" s="67" t="str">
        <f t="shared" si="104"/>
        <v>1+17.0300005425739i</v>
      </c>
      <c r="Q115" s="67">
        <f t="shared" si="116"/>
        <v>17.059335229722972</v>
      </c>
      <c r="R115" s="67">
        <f t="shared" si="117"/>
        <v>1.5121437726121494</v>
      </c>
      <c r="S115" s="67" t="str">
        <f t="shared" si="105"/>
        <v>1+0.0320164010200388i</v>
      </c>
      <c r="T115" s="67">
        <f t="shared" si="118"/>
        <v>1.0005123936934894</v>
      </c>
      <c r="U115" s="67">
        <f t="shared" si="119"/>
        <v>3.2005468273297859E-2</v>
      </c>
      <c r="V115" t="str">
        <f t="shared" si="106"/>
        <v>1-0.00330718867679522i</v>
      </c>
      <c r="W115" s="67">
        <f t="shared" si="120"/>
        <v>1.0000054687335185</v>
      </c>
      <c r="X115" s="67">
        <f t="shared" si="121"/>
        <v>-3.3071766194189981E-3</v>
      </c>
      <c r="Y115" t="str">
        <f t="shared" si="107"/>
        <v>0.999997938547716+0.00511203923490806i</v>
      </c>
      <c r="Z115" s="67">
        <f t="shared" si="122"/>
        <v>1.0000110049618558</v>
      </c>
      <c r="AA115" s="67">
        <f t="shared" si="123"/>
        <v>5.1120052426972809E-3</v>
      </c>
      <c r="AB115" s="92" t="str">
        <f t="shared" si="124"/>
        <v>0.480494828310598-5.8294974038329i</v>
      </c>
      <c r="AC115" s="37">
        <f t="shared" si="125"/>
        <v>15.342027754155525</v>
      </c>
      <c r="AD115" s="60">
        <f t="shared" si="126"/>
        <v>-85.288061521918735</v>
      </c>
      <c r="AE115" t="str">
        <f t="shared" si="127"/>
        <v>118.329284003155</v>
      </c>
      <c r="AF115" t="str">
        <f t="shared" si="108"/>
        <v>1+13.6240004340591i</v>
      </c>
      <c r="AG115">
        <f t="shared" si="128"/>
        <v>13.660651076257038</v>
      </c>
      <c r="AH115">
        <f t="shared" si="129"/>
        <v>1.4975278371001459</v>
      </c>
      <c r="AI115" t="str">
        <f t="shared" si="109"/>
        <v>1+0.0320164010200388i</v>
      </c>
      <c r="AJ115">
        <f t="shared" si="130"/>
        <v>1.0005123936934894</v>
      </c>
      <c r="AK115">
        <f t="shared" si="131"/>
        <v>3.2005468273297859E-2</v>
      </c>
      <c r="AL115" t="str">
        <f t="shared" si="110"/>
        <v>1-0.00222990887923969i</v>
      </c>
      <c r="AM115">
        <f t="shared" si="132"/>
        <v>1.0000024862437142</v>
      </c>
      <c r="AN115">
        <f t="shared" si="133"/>
        <v>-2.2299051831814994E-3</v>
      </c>
      <c r="AO115" s="58" t="str">
        <f t="shared" si="134"/>
        <v>0.891453075740108-8.6205428028402i</v>
      </c>
      <c r="AP115">
        <f t="shared" si="135"/>
        <v>18.756887811206425</v>
      </c>
      <c r="AQ115" s="60">
        <f t="shared" si="136"/>
        <v>-84.096010671503834</v>
      </c>
      <c r="AR115" t="str">
        <f t="shared" si="111"/>
        <v>-1.94444444444444</v>
      </c>
      <c r="AS115" t="str">
        <f t="shared" si="112"/>
        <v>1+0.0328373343795269i</v>
      </c>
      <c r="AT115">
        <f t="shared" si="137"/>
        <v>1.0005390000040741</v>
      </c>
      <c r="AU115">
        <f t="shared" si="138"/>
        <v>3.282553928082492E-2</v>
      </c>
      <c r="AV115" t="str">
        <f t="shared" si="113"/>
        <v>1+0.0328373343795269i</v>
      </c>
      <c r="AW115">
        <f t="shared" si="139"/>
        <v>1.0005390000040741</v>
      </c>
      <c r="AX115">
        <f t="shared" si="140"/>
        <v>3.282553928082492E-2</v>
      </c>
      <c r="AY115" t="str">
        <f t="shared" si="114"/>
        <v>1-0.0647939187108505i</v>
      </c>
      <c r="AZ115">
        <f t="shared" si="141"/>
        <v>1.0020969273986964</v>
      </c>
      <c r="BA115">
        <f t="shared" si="142"/>
        <v>-6.4703472700034168E-2</v>
      </c>
      <c r="BB115" s="58" t="str">
        <f t="shared" si="143"/>
        <v>-1.93821736717473+0.189634067057221i</v>
      </c>
      <c r="BC115">
        <f t="shared" si="144"/>
        <v>5.7894249618882956</v>
      </c>
      <c r="BD115" s="60">
        <f t="shared" si="145"/>
        <v>174.41199923341594</v>
      </c>
      <c r="BE115" s="58" t="str">
        <f t="shared" si="146"/>
        <v>0.174167880519103+11.3899512985014i</v>
      </c>
      <c r="BF115" s="37">
        <f t="shared" si="147"/>
        <v>21.131452716043796</v>
      </c>
      <c r="BG115" s="60">
        <f t="shared" si="148"/>
        <v>89.123937711497177</v>
      </c>
      <c r="BH115" s="58" t="str">
        <f t="shared" si="149"/>
        <v>-0.093081241477365+16.8775356472813i</v>
      </c>
      <c r="BI115" s="37">
        <f t="shared" si="150"/>
        <v>24.546312773094741</v>
      </c>
      <c r="BJ115" s="60">
        <f t="shared" si="151"/>
        <v>90.315988561912079</v>
      </c>
      <c r="BK115">
        <f t="shared" si="152"/>
        <v>21.131452716043796</v>
      </c>
      <c r="BL115" s="60">
        <f t="shared" si="153"/>
        <v>89.123937711497177</v>
      </c>
      <c r="BN115">
        <f t="shared" si="154"/>
        <v>0</v>
      </c>
      <c r="BO115">
        <f t="shared" si="155"/>
        <v>0</v>
      </c>
    </row>
    <row r="116" spans="13:67" ht="14.25" x14ac:dyDescent="0.2">
      <c r="M116" s="66">
        <v>98</v>
      </c>
      <c r="N116" s="36">
        <f t="shared" si="115"/>
        <v>95.499258602143655</v>
      </c>
      <c r="O116" s="91" t="str">
        <f t="shared" si="103"/>
        <v>99.7340425531915</v>
      </c>
      <c r="P116" s="67" t="str">
        <f t="shared" si="104"/>
        <v>1+17.4266802137533i</v>
      </c>
      <c r="Q116" s="67">
        <f t="shared" si="116"/>
        <v>17.455348271301283</v>
      </c>
      <c r="R116" s="67">
        <f t="shared" si="117"/>
        <v>1.5134759113304586</v>
      </c>
      <c r="S116" s="67" t="str">
        <f t="shared" si="105"/>
        <v>1+0.0327621588018561i</v>
      </c>
      <c r="T116" s="67">
        <f t="shared" si="118"/>
        <v>1.0005365355894598</v>
      </c>
      <c r="U116" s="67">
        <f t="shared" si="119"/>
        <v>3.275044449191869E-2</v>
      </c>
      <c r="V116" t="str">
        <f t="shared" si="106"/>
        <v>1-0.00338422299711481i</v>
      </c>
      <c r="W116" s="67">
        <f t="shared" si="120"/>
        <v>1.000005726466251</v>
      </c>
      <c r="X116" s="67">
        <f t="shared" si="121"/>
        <v>-3.3842100774074133E-3</v>
      </c>
      <c r="Y116" t="str">
        <f t="shared" si="107"/>
        <v>0.999997841394463+0.00523111392534568i</v>
      </c>
      <c r="Z116" s="67">
        <f t="shared" si="122"/>
        <v>1.0000115236068461</v>
      </c>
      <c r="AA116" s="67">
        <f t="shared" si="123"/>
        <v>5.231077502058052E-3</v>
      </c>
      <c r="AB116" s="92" t="str">
        <f t="shared" si="124"/>
        <v>0.465142233812356-5.69774447306884i</v>
      </c>
      <c r="AC116" s="37">
        <f t="shared" si="125"/>
        <v>15.14290677557662</v>
      </c>
      <c r="AD116" s="60">
        <f t="shared" si="126"/>
        <v>-85.332939484981708</v>
      </c>
      <c r="AE116" t="str">
        <f t="shared" si="127"/>
        <v>118.329284003155</v>
      </c>
      <c r="AF116" t="str">
        <f t="shared" si="108"/>
        <v>1+13.9413441710026i</v>
      </c>
      <c r="AG116">
        <f t="shared" si="128"/>
        <v>13.97716270544019</v>
      </c>
      <c r="AH116">
        <f t="shared" si="129"/>
        <v>1.4991898703665243</v>
      </c>
      <c r="AI116" t="str">
        <f t="shared" si="109"/>
        <v>1+0.0327621588018561i</v>
      </c>
      <c r="AJ116">
        <f t="shared" si="130"/>
        <v>1.0005365355894598</v>
      </c>
      <c r="AK116">
        <f t="shared" si="131"/>
        <v>3.275044449191869E-2</v>
      </c>
      <c r="AL116" t="str">
        <f t="shared" si="110"/>
        <v>1-0.0022818501295506i</v>
      </c>
      <c r="AM116">
        <f t="shared" si="132"/>
        <v>1.0000026034166181</v>
      </c>
      <c r="AN116">
        <f t="shared" si="133"/>
        <v>-2.2818461691534527E-3</v>
      </c>
      <c r="AO116" s="58" t="str">
        <f t="shared" si="134"/>
        <v>0.863122588754124-8.4263759701989i</v>
      </c>
      <c r="AP116">
        <f t="shared" si="135"/>
        <v>18.558145970573523</v>
      </c>
      <c r="AQ116" s="60">
        <f t="shared" si="136"/>
        <v>-84.151530169193009</v>
      </c>
      <c r="AR116" t="str">
        <f t="shared" si="111"/>
        <v>-1.94444444444444</v>
      </c>
      <c r="AS116" t="str">
        <f t="shared" si="112"/>
        <v>1+0.0336022141557498i</v>
      </c>
      <c r="AT116">
        <f t="shared" si="137"/>
        <v>1.0005643951271548</v>
      </c>
      <c r="AU116">
        <f t="shared" si="138"/>
        <v>3.3589575864790881E-2</v>
      </c>
      <c r="AV116" t="str">
        <f t="shared" si="113"/>
        <v>1+0.0336022141557498i</v>
      </c>
      <c r="AW116">
        <f t="shared" si="139"/>
        <v>1.0005643951271548</v>
      </c>
      <c r="AX116">
        <f t="shared" si="140"/>
        <v>3.3589575864790881E-2</v>
      </c>
      <c r="AY116" t="str">
        <f t="shared" si="114"/>
        <v>1-0.0633190290558282i</v>
      </c>
      <c r="AZ116">
        <f t="shared" si="141"/>
        <v>1.002002644427934</v>
      </c>
      <c r="BA116">
        <f t="shared" si="142"/>
        <v>-6.3234610389537774E-2</v>
      </c>
      <c r="BB116" s="58" t="str">
        <f t="shared" si="143"/>
        <v>-1.93811898141526+0.18824542334806i</v>
      </c>
      <c r="BC116">
        <f t="shared" si="144"/>
        <v>5.7883872479988172</v>
      </c>
      <c r="BD116" s="60">
        <f t="shared" si="145"/>
        <v>174.4523827728384</v>
      </c>
      <c r="BE116" s="58" t="str">
        <f t="shared" si="146"/>
        <v>0.171073328052291+11.1304676112297i</v>
      </c>
      <c r="BF116" s="37">
        <f t="shared" si="147"/>
        <v>20.931294023575454</v>
      </c>
      <c r="BG116" s="60">
        <f t="shared" si="148"/>
        <v>89.119443287856683</v>
      </c>
      <c r="BH116" s="58" t="str">
        <f t="shared" si="149"/>
        <v>-0.0866075607526335+16.4937980895052i</v>
      </c>
      <c r="BI116" s="37">
        <f t="shared" si="150"/>
        <v>24.346533218572336</v>
      </c>
      <c r="BJ116" s="60">
        <f t="shared" si="151"/>
        <v>90.300852603645396</v>
      </c>
      <c r="BK116">
        <f t="shared" si="152"/>
        <v>20.931294023575454</v>
      </c>
      <c r="BL116" s="60">
        <f t="shared" si="153"/>
        <v>89.119443287856683</v>
      </c>
      <c r="BN116">
        <f t="shared" si="154"/>
        <v>0</v>
      </c>
      <c r="BO116">
        <f t="shared" si="155"/>
        <v>0</v>
      </c>
    </row>
    <row r="117" spans="13:67" ht="14.25" x14ac:dyDescent="0.2">
      <c r="M117" s="66">
        <v>99</v>
      </c>
      <c r="N117" s="36">
        <f t="shared" si="115"/>
        <v>97.723722095581124</v>
      </c>
      <c r="O117" s="91" t="str">
        <f t="shared" si="103"/>
        <v>99.7340425531915</v>
      </c>
      <c r="P117" s="67" t="str">
        <f t="shared" si="104"/>
        <v>1+17.8325997414514i</v>
      </c>
      <c r="Q117" s="67">
        <f t="shared" si="116"/>
        <v>17.860616269849498</v>
      </c>
      <c r="R117" s="67">
        <f t="shared" si="117"/>
        <v>1.5147779236965793</v>
      </c>
      <c r="S117" s="67" t="str">
        <f t="shared" si="105"/>
        <v>1+0.0335252875139286i</v>
      </c>
      <c r="T117" s="67">
        <f t="shared" si="118"/>
        <v>1.0005618146336044</v>
      </c>
      <c r="U117" s="67">
        <f t="shared" si="119"/>
        <v>3.3512735785306384E-2</v>
      </c>
      <c r="V117" t="str">
        <f t="shared" si="106"/>
        <v>1-0.00346305167726295i</v>
      </c>
      <c r="W117" s="67">
        <f t="shared" si="120"/>
        <v>1.0000059963454815</v>
      </c>
      <c r="X117" s="67">
        <f t="shared" si="121"/>
        <v>-3.4630378335515398E-3</v>
      </c>
      <c r="Y117" t="str">
        <f t="shared" si="107"/>
        <v>0.999997739662518+0.0053529622216285i</v>
      </c>
      <c r="Z117" s="67">
        <f t="shared" si="122"/>
        <v>1.0000120666945431</v>
      </c>
      <c r="AA117" s="67">
        <f t="shared" si="123"/>
        <v>5.352923193397835E-3</v>
      </c>
      <c r="AB117" s="92" t="str">
        <f t="shared" si="124"/>
        <v>0.450476157267895-5.56893348947234i</v>
      </c>
      <c r="AC117" s="37">
        <f t="shared" si="125"/>
        <v>14.943765422092419</v>
      </c>
      <c r="AD117" s="60">
        <f t="shared" si="126"/>
        <v>-85.375360966164763</v>
      </c>
      <c r="AE117" t="str">
        <f t="shared" si="127"/>
        <v>118.329284003155</v>
      </c>
      <c r="AF117" t="str">
        <f t="shared" si="108"/>
        <v>1+14.2660797931611i</v>
      </c>
      <c r="AG117">
        <f t="shared" si="128"/>
        <v>14.301085017048162</v>
      </c>
      <c r="AH117">
        <f t="shared" si="129"/>
        <v>1.5008144541484894</v>
      </c>
      <c r="AI117" t="str">
        <f t="shared" si="109"/>
        <v>1+0.0335252875139286i</v>
      </c>
      <c r="AJ117">
        <f t="shared" si="130"/>
        <v>1.0005618146336044</v>
      </c>
      <c r="AK117">
        <f t="shared" si="131"/>
        <v>3.3512735785306384E-2</v>
      </c>
      <c r="AL117" t="str">
        <f t="shared" si="110"/>
        <v>1-0.00233500124700406i</v>
      </c>
      <c r="AM117">
        <f t="shared" si="132"/>
        <v>1.0000027261116959</v>
      </c>
      <c r="AN117">
        <f t="shared" si="133"/>
        <v>-2.3349970033626852E-3</v>
      </c>
      <c r="AO117" s="58" t="str">
        <f t="shared" si="134"/>
        <v>0.836054420945463-8.23649483881445i</v>
      </c>
      <c r="AP117">
        <f t="shared" si="135"/>
        <v>18.359367132521601</v>
      </c>
      <c r="AQ117" s="60">
        <f t="shared" si="136"/>
        <v>-84.203981207972134</v>
      </c>
      <c r="AR117" t="str">
        <f t="shared" si="111"/>
        <v>-1.94444444444444</v>
      </c>
      <c r="AS117" t="str">
        <f t="shared" si="112"/>
        <v>1+0.0343849102706959i</v>
      </c>
      <c r="AT117">
        <f t="shared" si="137"/>
        <v>1.0005909863947027</v>
      </c>
      <c r="AU117">
        <f t="shared" si="138"/>
        <v>3.4371368529901587E-2</v>
      </c>
      <c r="AV117" t="str">
        <f t="shared" si="113"/>
        <v>1+0.0343849102706959i</v>
      </c>
      <c r="AW117">
        <f t="shared" si="139"/>
        <v>1.0005909863947027</v>
      </c>
      <c r="AX117">
        <f t="shared" si="140"/>
        <v>3.4371368529901587E-2</v>
      </c>
      <c r="AY117" t="str">
        <f t="shared" si="114"/>
        <v>1-0.0618777119881379i</v>
      </c>
      <c r="AZ117">
        <f t="shared" si="141"/>
        <v>1.0019125966075519</v>
      </c>
      <c r="BA117">
        <f t="shared" si="142"/>
        <v>-6.1798919402030146E-2</v>
      </c>
      <c r="BB117" s="58" t="str">
        <f t="shared" si="143"/>
        <v>-1.93801596958273+0.186956278527546i</v>
      </c>
      <c r="BC117">
        <f t="shared" si="144"/>
        <v>5.7873757952569536</v>
      </c>
      <c r="BD117" s="60">
        <f t="shared" si="145"/>
        <v>174.48984838694238</v>
      </c>
      <c r="BE117" s="58" t="str">
        <f t="shared" si="146"/>
        <v>0.168117093857728+10.8769013820697i</v>
      </c>
      <c r="BF117" s="37">
        <f t="shared" si="147"/>
        <v>20.731141217349396</v>
      </c>
      <c r="BG117" s="60">
        <f t="shared" si="148"/>
        <v>89.114487420777635</v>
      </c>
      <c r="BH117" s="58" t="str">
        <f t="shared" si="149"/>
        <v>-0.0804223960564598+16.1187641541946i</v>
      </c>
      <c r="BI117" s="37">
        <f t="shared" si="150"/>
        <v>24.146742927778561</v>
      </c>
      <c r="BJ117" s="60">
        <f t="shared" si="151"/>
        <v>90.285867178970264</v>
      </c>
      <c r="BK117">
        <f t="shared" si="152"/>
        <v>20.731141217349396</v>
      </c>
      <c r="BL117" s="60">
        <f t="shared" si="153"/>
        <v>89.114487420777635</v>
      </c>
      <c r="BN117">
        <f t="shared" si="154"/>
        <v>0</v>
      </c>
      <c r="BO117">
        <f t="shared" si="155"/>
        <v>0</v>
      </c>
    </row>
    <row r="118" spans="13:67" ht="14.25" x14ac:dyDescent="0.2">
      <c r="M118" s="66">
        <v>100</v>
      </c>
      <c r="N118" s="36">
        <f t="shared" si="115"/>
        <v>100</v>
      </c>
      <c r="O118" s="91" t="str">
        <f t="shared" si="103"/>
        <v>99.7340425531915</v>
      </c>
      <c r="P118" s="67" t="str">
        <f t="shared" si="104"/>
        <v>1+18.2479743495748i</v>
      </c>
      <c r="Q118" s="67">
        <f t="shared" si="116"/>
        <v>18.275354110460892</v>
      </c>
      <c r="R118" s="67">
        <f t="shared" si="117"/>
        <v>1.5160504823869598</v>
      </c>
      <c r="S118" s="67" t="str">
        <f t="shared" si="105"/>
        <v>1+0.0343061917772006i</v>
      </c>
      <c r="T118" s="67">
        <f t="shared" si="118"/>
        <v>1.0005882843578842</v>
      </c>
      <c r="U118" s="67">
        <f t="shared" si="119"/>
        <v>3.4292742784702554E-2</v>
      </c>
      <c r="V118" t="str">
        <f t="shared" si="106"/>
        <v>1-0.00354371651324929i</v>
      </c>
      <c r="W118" s="67">
        <f t="shared" si="120"/>
        <v>1.0000062789436506</v>
      </c>
      <c r="X118" s="67">
        <f t="shared" si="121"/>
        <v>-3.5437016794502884E-3</v>
      </c>
      <c r="Y118" t="str">
        <f t="shared" si="107"/>
        <v>0.999997633136095+0.00547764872933606i</v>
      </c>
      <c r="Z118" s="67">
        <f t="shared" si="122"/>
        <v>1.0000126353768706</v>
      </c>
      <c r="AA118" s="67">
        <f t="shared" si="123"/>
        <v>5.4776069098617132E-3</v>
      </c>
      <c r="AB118" s="92" t="str">
        <f t="shared" si="124"/>
        <v>0.436466087299519-5.44300140074178i</v>
      </c>
      <c r="AC118" s="37">
        <f t="shared" si="125"/>
        <v>14.744605500395691</v>
      </c>
      <c r="AD118" s="60">
        <f t="shared" si="126"/>
        <v>-85.415347647906884</v>
      </c>
      <c r="AE118" t="str">
        <f t="shared" si="127"/>
        <v>118.329284003155</v>
      </c>
      <c r="AF118" t="str">
        <f t="shared" si="108"/>
        <v>1+14.5983794796598i</v>
      </c>
      <c r="AG118">
        <f t="shared" si="128"/>
        <v>14.632589771880861</v>
      </c>
      <c r="AH118">
        <f t="shared" si="129"/>
        <v>1.5024024155008584</v>
      </c>
      <c r="AI118" t="str">
        <f t="shared" si="109"/>
        <v>1+0.0343061917772006i</v>
      </c>
      <c r="AJ118">
        <f t="shared" si="130"/>
        <v>1.0005882843578842</v>
      </c>
      <c r="AK118">
        <f t="shared" si="131"/>
        <v>3.4292742784702554E-2</v>
      </c>
      <c r="AL118" t="str">
        <f t="shared" si="110"/>
        <v>1-0.00238939041302608i</v>
      </c>
      <c r="AM118">
        <f t="shared" si="132"/>
        <v>1.0000028545891986</v>
      </c>
      <c r="AN118">
        <f t="shared" si="133"/>
        <v>-2.389385865883123E-3</v>
      </c>
      <c r="AO118" s="58" t="str">
        <f t="shared" si="134"/>
        <v>0.810192873524453-8.05081076633229i</v>
      </c>
      <c r="AP118">
        <f t="shared" si="135"/>
        <v>18.16055385398678</v>
      </c>
      <c r="AQ118" s="60">
        <f t="shared" si="136"/>
        <v>-84.253389834711641</v>
      </c>
      <c r="AR118" t="str">
        <f t="shared" si="111"/>
        <v>-1.94444444444444</v>
      </c>
      <c r="AS118" t="str">
        <f t="shared" si="112"/>
        <v>1+0.0351858377202056i</v>
      </c>
      <c r="AT118">
        <f t="shared" si="137"/>
        <v>1.0006188301126822</v>
      </c>
      <c r="AU118">
        <f t="shared" si="138"/>
        <v>3.5171327968139966E-2</v>
      </c>
      <c r="AV118" t="str">
        <f t="shared" si="113"/>
        <v>1+0.0351858377202056i</v>
      </c>
      <c r="AW118">
        <f t="shared" si="139"/>
        <v>1.0006188301126822</v>
      </c>
      <c r="AX118">
        <f t="shared" si="140"/>
        <v>3.5171327968139966E-2</v>
      </c>
      <c r="AY118" t="str">
        <f t="shared" si="114"/>
        <v>1-0.0604692033023919i</v>
      </c>
      <c r="AZ118">
        <f t="shared" si="141"/>
        <v>1.0018265940510993</v>
      </c>
      <c r="BA118">
        <f t="shared" si="142"/>
        <v>-6.0395662202571414E-2</v>
      </c>
      <c r="BB118" s="58" t="str">
        <f t="shared" si="143"/>
        <v>-1.93790811468795+0.185765926861397i</v>
      </c>
      <c r="BC118">
        <f t="shared" si="144"/>
        <v>5.7863884792859146</v>
      </c>
      <c r="BD118" s="60">
        <f t="shared" si="145"/>
        <v>174.52441480245</v>
      </c>
      <c r="BE118" s="58" t="str">
        <f t="shared" si="146"/>
        <v>0.165293027752842+10.6291171100061i</v>
      </c>
      <c r="BF118" s="37">
        <f t="shared" si="147"/>
        <v>20.530993979681575</v>
      </c>
      <c r="BG118" s="60">
        <f t="shared" si="148"/>
        <v>89.109067154543126</v>
      </c>
      <c r="BH118" s="58" t="str">
        <f t="shared" si="149"/>
        <v>-0.0745130200719537+15.7522377439792i</v>
      </c>
      <c r="BI118" s="37">
        <f t="shared" si="150"/>
        <v>23.946942333272677</v>
      </c>
      <c r="BJ118" s="60">
        <f t="shared" si="151"/>
        <v>90.27102496773837</v>
      </c>
      <c r="BK118">
        <f t="shared" si="152"/>
        <v>20.530993979681575</v>
      </c>
      <c r="BL118" s="60">
        <f t="shared" si="153"/>
        <v>89.109067154543126</v>
      </c>
      <c r="BN118">
        <f t="shared" si="154"/>
        <v>0</v>
      </c>
      <c r="BO118">
        <f t="shared" si="155"/>
        <v>0</v>
      </c>
    </row>
    <row r="119" spans="13:67" ht="14.25" x14ac:dyDescent="0.2">
      <c r="M119" s="66">
        <v>1</v>
      </c>
      <c r="N119" s="36">
        <f>10^(2+(M119/100))</f>
        <v>102.32929922807544</v>
      </c>
      <c r="O119" s="91" t="str">
        <f t="shared" si="103"/>
        <v>99.7340425531915</v>
      </c>
      <c r="P119" s="67" t="str">
        <f t="shared" si="104"/>
        <v>1+18.6730242752388i</v>
      </c>
      <c r="Q119" s="67">
        <f t="shared" si="116"/>
        <v>18.699781698823585</v>
      </c>
      <c r="R119" s="67">
        <f t="shared" si="117"/>
        <v>1.5172942456334149</v>
      </c>
      <c r="S119" s="67" t="str">
        <f t="shared" si="105"/>
        <v>1+0.035105285637449i</v>
      </c>
      <c r="T119" s="67">
        <f t="shared" si="118"/>
        <v>1.0006160008113436</v>
      </c>
      <c r="U119" s="67">
        <f t="shared" si="119"/>
        <v>3.5090875261455171E-2</v>
      </c>
      <c r="V119" t="str">
        <f t="shared" si="106"/>
        <v>1-0.00362626027463759i</v>
      </c>
      <c r="W119" s="67">
        <f t="shared" si="120"/>
        <v>1.0000065748601752</v>
      </c>
      <c r="X119" s="67">
        <f t="shared" si="121"/>
        <v>-3.6262443799412337E-3</v>
      </c>
      <c r="Y119" t="str">
        <f t="shared" si="107"/>
        <v>0.999997521589235+0.00560523955890517i</v>
      </c>
      <c r="Z119" s="67">
        <f t="shared" si="122"/>
        <v>1.0000132308600349</v>
      </c>
      <c r="AA119" s="67">
        <f t="shared" si="123"/>
        <v>5.6051947485627855E-3</v>
      </c>
      <c r="AB119" s="92" t="str">
        <f t="shared" si="124"/>
        <v>0.423082851763387-5.319886334465i</v>
      </c>
      <c r="AC119" s="37">
        <f t="shared" si="125"/>
        <v>14.545428778792289</v>
      </c>
      <c r="AD119" s="60">
        <f t="shared" si="126"/>
        <v>-85.452920003274485</v>
      </c>
      <c r="AE119" t="str">
        <f t="shared" si="127"/>
        <v>118.329284003155</v>
      </c>
      <c r="AF119" t="str">
        <f t="shared" si="108"/>
        <v>1+14.9384194201911i</v>
      </c>
      <c r="AG119">
        <f t="shared" si="128"/>
        <v>14.971852750195701</v>
      </c>
      <c r="AH119">
        <f t="shared" si="129"/>
        <v>1.5039545643298644</v>
      </c>
      <c r="AI119" t="str">
        <f t="shared" si="109"/>
        <v>1+0.035105285637449i</v>
      </c>
      <c r="AJ119">
        <f t="shared" si="130"/>
        <v>1.0006160008113436</v>
      </c>
      <c r="AK119">
        <f t="shared" si="131"/>
        <v>3.5090875261455171E-2</v>
      </c>
      <c r="AL119" t="str">
        <f t="shared" si="110"/>
        <v>1-0.0024450464654724i</v>
      </c>
      <c r="AM119">
        <f t="shared" si="132"/>
        <v>1.0000029891216418</v>
      </c>
      <c r="AN119">
        <f t="shared" si="133"/>
        <v>-2.4450415931217247E-3</v>
      </c>
      <c r="AO119" s="58" t="str">
        <f t="shared" si="134"/>
        <v>0.785484657490902-7.86923654513245i</v>
      </c>
      <c r="AP119">
        <f t="shared" si="135"/>
        <v>17.961708621483609</v>
      </c>
      <c r="AQ119" s="60">
        <f t="shared" si="136"/>
        <v>-84.299780627656105</v>
      </c>
      <c r="AR119" t="str">
        <f t="shared" si="111"/>
        <v>-1.94444444444444</v>
      </c>
      <c r="AS119" t="str">
        <f t="shared" si="112"/>
        <v>1+0.0360054211666142i</v>
      </c>
      <c r="AT119">
        <f t="shared" si="137"/>
        <v>1.0006479852342607</v>
      </c>
      <c r="AU119">
        <f t="shared" si="138"/>
        <v>3.5989874230872229E-2</v>
      </c>
      <c r="AV119" t="str">
        <f t="shared" si="113"/>
        <v>1+0.0360054211666142i</v>
      </c>
      <c r="AW119">
        <f t="shared" si="139"/>
        <v>1.0006479852342607</v>
      </c>
      <c r="AX119">
        <f t="shared" si="140"/>
        <v>3.5989874230872229E-2</v>
      </c>
      <c r="AY119" t="str">
        <f t="shared" si="114"/>
        <v>1-0.0590927561886414i</v>
      </c>
      <c r="AZ119">
        <f t="shared" si="141"/>
        <v>1.0017444553547428</v>
      </c>
      <c r="BA119">
        <f t="shared" si="142"/>
        <v>-5.9024116883677591E-2</v>
      </c>
      <c r="BB119" s="58" t="str">
        <f t="shared" si="143"/>
        <v>-1.93779518961454+0.184673713414625i</v>
      </c>
      <c r="BC119">
        <f t="shared" si="144"/>
        <v>5.7854232253748838</v>
      </c>
      <c r="BD119" s="60">
        <f t="shared" si="145"/>
        <v>174.55609931444278</v>
      </c>
      <c r="BE119" s="58" t="str">
        <f t="shared" si="146"/>
        <v>0.162595249373876+10.3869824295396i</v>
      </c>
      <c r="BF119" s="37">
        <f t="shared" si="147"/>
        <v>20.330852004167173</v>
      </c>
      <c r="BG119" s="60">
        <f t="shared" si="148"/>
        <v>89.103179311168276</v>
      </c>
      <c r="BH119" s="58" t="str">
        <f t="shared" si="149"/>
        <v>-0.0688672562742105+15.3940270916257i</v>
      </c>
      <c r="BI119" s="37">
        <f t="shared" si="150"/>
        <v>23.747131846858519</v>
      </c>
      <c r="BJ119" s="60">
        <f t="shared" si="151"/>
        <v>90.256318686786656</v>
      </c>
      <c r="BK119">
        <f t="shared" si="152"/>
        <v>20.330852004167173</v>
      </c>
      <c r="BL119" s="60">
        <f t="shared" si="153"/>
        <v>89.103179311168276</v>
      </c>
      <c r="BN119">
        <f t="shared" si="154"/>
        <v>0</v>
      </c>
      <c r="BO119">
        <f t="shared" si="155"/>
        <v>0</v>
      </c>
    </row>
    <row r="120" spans="13:67" ht="14.25" x14ac:dyDescent="0.2">
      <c r="M120" s="66">
        <v>2</v>
      </c>
      <c r="N120" s="36">
        <f t="shared" ref="N120:N183" si="156">10^(2+(M120/100))</f>
        <v>104.71285480508998</v>
      </c>
      <c r="O120" s="91" t="str">
        <f t="shared" si="103"/>
        <v>99.7340425531915</v>
      </c>
      <c r="P120" s="67" t="str">
        <f t="shared" si="104"/>
        <v>1+19.1079748855403i</v>
      </c>
      <c r="Q120" s="67">
        <f t="shared" si="116"/>
        <v>19.13412407784686</v>
      </c>
      <c r="R120" s="67">
        <f t="shared" si="117"/>
        <v>1.5185098574946703</v>
      </c>
      <c r="S120" s="67" t="str">
        <f t="shared" si="105"/>
        <v>1+0.0359229927848158i</v>
      </c>
      <c r="T120" s="67">
        <f t="shared" si="118"/>
        <v>1.0006450226781813</v>
      </c>
      <c r="U120" s="67">
        <f t="shared" si="119"/>
        <v>3.590755232626245E-2</v>
      </c>
      <c r="V120" t="str">
        <f t="shared" si="106"/>
        <v>1-0.00371072672722273i</v>
      </c>
      <c r="W120" s="67">
        <f t="shared" si="120"/>
        <v>1.0000068847227224</v>
      </c>
      <c r="X120" s="67">
        <f t="shared" si="121"/>
        <v>-3.7107096957550664E-3</v>
      </c>
      <c r="Y120" t="str">
        <f t="shared" si="107"/>
        <v>0.999997404785335+0.00573580236068252i</v>
      </c>
      <c r="Z120" s="67">
        <f t="shared" si="122"/>
        <v>1.0000138544070907</v>
      </c>
      <c r="AA120" s="67">
        <f t="shared" si="123"/>
        <v>5.7357543455711559E-3</v>
      </c>
      <c r="AB120" s="92" t="str">
        <f t="shared" si="124"/>
        <v>0.410298560427915-5.1995275880607i</v>
      </c>
      <c r="AC120" s="37">
        <f t="shared" si="125"/>
        <v>14.346236990837317</v>
      </c>
      <c r="AD120" s="60">
        <f t="shared" si="126"/>
        <v>-85.488097303406775</v>
      </c>
      <c r="AE120" t="str">
        <f t="shared" si="127"/>
        <v>118.329284003155</v>
      </c>
      <c r="AF120" t="str">
        <f t="shared" si="108"/>
        <v>1+15.2863799084322i</v>
      </c>
      <c r="AG120">
        <f t="shared" si="128"/>
        <v>15.319053844964435</v>
      </c>
      <c r="AH120">
        <f t="shared" si="129"/>
        <v>1.5054716936734616</v>
      </c>
      <c r="AI120" t="str">
        <f t="shared" si="109"/>
        <v>1+0.0359229927848158i</v>
      </c>
      <c r="AJ120">
        <f t="shared" si="130"/>
        <v>1.0006450226781813</v>
      </c>
      <c r="AK120">
        <f t="shared" si="131"/>
        <v>3.590755232626245E-2</v>
      </c>
      <c r="AL120" t="str">
        <f t="shared" si="110"/>
        <v>1-0.00250199891391873i</v>
      </c>
      <c r="AM120">
        <f t="shared" si="132"/>
        <v>1.0000031299943841</v>
      </c>
      <c r="AN120">
        <f t="shared" si="133"/>
        <v>-2.5019936931018022E-3</v>
      </c>
      <c r="AO120" s="58" t="str">
        <f t="shared" si="134"/>
        <v>0.761878793584523-7.69168640749394i</v>
      </c>
      <c r="AP120">
        <f t="shared" si="135"/>
        <v>17.762833856122874</v>
      </c>
      <c r="AQ120" s="60">
        <f t="shared" si="136"/>
        <v>-84.343176701944344</v>
      </c>
      <c r="AR120" t="str">
        <f t="shared" si="111"/>
        <v>-1.94444444444444</v>
      </c>
      <c r="AS120" t="str">
        <f t="shared" si="112"/>
        <v>1+0.0368440951639135i</v>
      </c>
      <c r="AT120">
        <f t="shared" si="137"/>
        <v>1.0006785134839498</v>
      </c>
      <c r="AU120">
        <f t="shared" si="138"/>
        <v>3.6827436932130003E-2</v>
      </c>
      <c r="AV120" t="str">
        <f t="shared" si="113"/>
        <v>1+0.0368440951639135i</v>
      </c>
      <c r="AW120">
        <f t="shared" si="139"/>
        <v>1.0006785134839498</v>
      </c>
      <c r="AX120">
        <f t="shared" si="140"/>
        <v>3.6827436932130003E-2</v>
      </c>
      <c r="AY120" t="str">
        <f t="shared" si="114"/>
        <v>1-0.0577476408364071i</v>
      </c>
      <c r="AZ120">
        <f t="shared" si="141"/>
        <v>1.001666007221055</v>
      </c>
      <c r="BA120">
        <f t="shared" si="142"/>
        <v>-5.7683576886041983E-2</v>
      </c>
      <c r="BB120" s="58" t="str">
        <f t="shared" si="143"/>
        <v>-1.93767695665116+0.183679033591903i</v>
      </c>
      <c r="BC120">
        <f t="shared" si="144"/>
        <v>5.7844780042419828</v>
      </c>
      <c r="BD120" s="60">
        <f t="shared" si="145"/>
        <v>174.5849177907161</v>
      </c>
      <c r="BE120" s="58" t="str">
        <f t="shared" si="146"/>
        <v>0.160018136621113+10.1503680359208i</v>
      </c>
      <c r="BF120" s="37">
        <f t="shared" si="147"/>
        <v>20.130714995079341</v>
      </c>
      <c r="BG120" s="60">
        <f t="shared" si="148"/>
        <v>89.096820487309344</v>
      </c>
      <c r="BH120" s="58" t="str">
        <f t="shared" si="149"/>
        <v>-0.063473456069453+15.0439446701077i</v>
      </c>
      <c r="BI120" s="37">
        <f t="shared" si="150"/>
        <v>23.547311860364847</v>
      </c>
      <c r="BJ120" s="60">
        <f t="shared" si="151"/>
        <v>90.241741088771761</v>
      </c>
      <c r="BK120">
        <f t="shared" si="152"/>
        <v>20.130714995079341</v>
      </c>
      <c r="BL120" s="60">
        <f t="shared" si="153"/>
        <v>89.096820487309344</v>
      </c>
      <c r="BN120">
        <f t="shared" si="154"/>
        <v>0</v>
      </c>
      <c r="BO120">
        <f t="shared" si="155"/>
        <v>0</v>
      </c>
    </row>
    <row r="121" spans="13:67" ht="14.25" x14ac:dyDescent="0.2">
      <c r="M121" s="66">
        <v>3</v>
      </c>
      <c r="N121" s="36">
        <f t="shared" si="156"/>
        <v>107.15193052376065</v>
      </c>
      <c r="O121" s="91" t="str">
        <f t="shared" si="103"/>
        <v>99.7340425531915</v>
      </c>
      <c r="P121" s="67" t="str">
        <f t="shared" si="104"/>
        <v>1+19.55305679705i</v>
      </c>
      <c r="Q121" s="67">
        <f t="shared" si="116"/>
        <v>19.578611547008723</v>
      </c>
      <c r="R121" s="67">
        <f t="shared" si="117"/>
        <v>1.51969794812548</v>
      </c>
      <c r="S121" s="67" t="str">
        <f t="shared" si="105"/>
        <v>1+0.0367597467784541i</v>
      </c>
      <c r="T121" s="67">
        <f t="shared" si="118"/>
        <v>1.0006754114013274</v>
      </c>
      <c r="U121" s="67">
        <f t="shared" si="119"/>
        <v>3.6743202632088412E-2</v>
      </c>
      <c r="V121" t="str">
        <f t="shared" si="106"/>
        <v>1-0.00379716065623591i</v>
      </c>
      <c r="W121" s="67">
        <f t="shared" si="120"/>
        <v>1.0000072091885386</v>
      </c>
      <c r="X121" s="67">
        <f t="shared" si="121"/>
        <v>-3.7971424066966177E-3</v>
      </c>
      <c r="Y121" t="str">
        <f t="shared" si="107"/>
        <v>0.999997282476636+0.00586940636079383i</v>
      </c>
      <c r="Z121" s="67">
        <f t="shared" si="122"/>
        <v>1.000014507340611</v>
      </c>
      <c r="AA121" s="67">
        <f t="shared" si="123"/>
        <v>5.8693549117149815E-3</v>
      </c>
      <c r="AB121" s="92" t="str">
        <f t="shared" si="124"/>
        <v>0.398086549975596-5.08186561786332i</v>
      </c>
      <c r="AC121" s="37">
        <f t="shared" si="125"/>
        <v>14.147031838905374</v>
      </c>
      <c r="AD121" s="60">
        <f t="shared" si="126"/>
        <v>-85.520897624687976</v>
      </c>
      <c r="AE121" t="str">
        <f t="shared" si="127"/>
        <v>118.329284003155</v>
      </c>
      <c r="AF121" t="str">
        <f t="shared" si="108"/>
        <v>1+15.64244543764i</v>
      </c>
      <c r="AG121">
        <f t="shared" si="128"/>
        <v>15.67437715730818</v>
      </c>
      <c r="AH121">
        <f t="shared" si="129"/>
        <v>1.5069545799823951</v>
      </c>
      <c r="AI121" t="str">
        <f t="shared" si="109"/>
        <v>1+0.0367597467784541i</v>
      </c>
      <c r="AJ121">
        <f t="shared" si="130"/>
        <v>1.0006754114013274</v>
      </c>
      <c r="AK121">
        <f t="shared" si="131"/>
        <v>3.6743202632088412E-2</v>
      </c>
      <c r="AL121" t="str">
        <f t="shared" si="110"/>
        <v>1-0.0025602779553071i</v>
      </c>
      <c r="AM121">
        <f t="shared" si="132"/>
        <v>1.0000032775062333</v>
      </c>
      <c r="AN121">
        <f t="shared" si="133"/>
        <v>-2.5602723611019632E-3</v>
      </c>
      <c r="AO121" s="58" t="str">
        <f t="shared" si="134"/>
        <v>0.739326516015248-7.51807602823778i</v>
      </c>
      <c r="AP121">
        <f t="shared" si="135"/>
        <v>17.563931918509795</v>
      </c>
      <c r="AQ121" s="60">
        <f t="shared" si="136"/>
        <v>-84.383599714983376</v>
      </c>
      <c r="AR121" t="str">
        <f t="shared" si="111"/>
        <v>-1.94444444444444</v>
      </c>
      <c r="AS121" t="str">
        <f t="shared" si="112"/>
        <v>1+0.0377023043881579i</v>
      </c>
      <c r="AT121">
        <f t="shared" si="137"/>
        <v>1.0007104794875377</v>
      </c>
      <c r="AU121">
        <f t="shared" si="138"/>
        <v>3.7684455455582418E-2</v>
      </c>
      <c r="AV121" t="str">
        <f t="shared" si="113"/>
        <v>1+0.0377023043881579i</v>
      </c>
      <c r="AW121">
        <f t="shared" si="139"/>
        <v>1.0007104794875377</v>
      </c>
      <c r="AX121">
        <f t="shared" si="140"/>
        <v>3.7684455455582418E-2</v>
      </c>
      <c r="AY121" t="str">
        <f t="shared" si="114"/>
        <v>1-0.0564331440477248i</v>
      </c>
      <c r="AZ121">
        <f t="shared" si="141"/>
        <v>1.0015910840992501</v>
      </c>
      <c r="BA121">
        <f t="shared" si="142"/>
        <v>-5.6373350720624771E-2</v>
      </c>
      <c r="BB121" s="58" t="str">
        <f t="shared" si="143"/>
        <v>-1.93755316700264+0.182781332696704i</v>
      </c>
      <c r="BC121">
        <f t="shared" si="144"/>
        <v>5.7835508278823262</v>
      </c>
      <c r="BD121" s="60">
        <f t="shared" si="145"/>
        <v>174.61088467584381</v>
      </c>
      <c r="BE121" s="58" t="str">
        <f t="shared" si="146"/>
        <v>0.157556314572246+9.91914761230608i</v>
      </c>
      <c r="BF121" s="37">
        <f t="shared" si="147"/>
        <v>19.9305826667877</v>
      </c>
      <c r="BG121" s="60">
        <f t="shared" si="148"/>
        <v>89.089987051155845</v>
      </c>
      <c r="BH121" s="58" t="str">
        <f t="shared" si="149"/>
        <v>-0.0583204767979271+14.701807104174i</v>
      </c>
      <c r="BI121" s="37">
        <f t="shared" si="150"/>
        <v>23.347482746392107</v>
      </c>
      <c r="BJ121" s="60">
        <f t="shared" si="151"/>
        <v>90.22728496086043</v>
      </c>
      <c r="BK121">
        <f t="shared" si="152"/>
        <v>19.9305826667877</v>
      </c>
      <c r="BL121" s="60">
        <f t="shared" si="153"/>
        <v>89.089987051155845</v>
      </c>
      <c r="BN121">
        <f t="shared" si="154"/>
        <v>0</v>
      </c>
      <c r="BO121">
        <f t="shared" si="155"/>
        <v>0</v>
      </c>
    </row>
    <row r="122" spans="13:67" ht="14.25" x14ac:dyDescent="0.2">
      <c r="M122" s="66">
        <v>4</v>
      </c>
      <c r="N122" s="36">
        <f t="shared" si="156"/>
        <v>109.64781961431861</v>
      </c>
      <c r="O122" s="91" t="str">
        <f t="shared" si="103"/>
        <v>99.7340425531915</v>
      </c>
      <c r="P122" s="67" t="str">
        <f t="shared" si="104"/>
        <v>1+20.0085059980889i</v>
      </c>
      <c r="Q122" s="67">
        <f t="shared" si="116"/>
        <v>20.033479784489753</v>
      </c>
      <c r="R122" s="67">
        <f t="shared" si="117"/>
        <v>1.5208591340431263</v>
      </c>
      <c r="S122" s="67" t="str">
        <f t="shared" si="105"/>
        <v>1+0.0376159912764071i</v>
      </c>
      <c r="T122" s="67">
        <f t="shared" si="118"/>
        <v>1.0007072313117891</v>
      </c>
      <c r="U122" s="67">
        <f t="shared" si="119"/>
        <v>3.7598264580767392E-2</v>
      </c>
      <c r="V122" t="str">
        <f t="shared" si="106"/>
        <v>1-0.0038856078900904i</v>
      </c>
      <c r="W122" s="67">
        <f t="shared" si="120"/>
        <v>1.0000075489458444</v>
      </c>
      <c r="X122" s="67">
        <f t="shared" si="121"/>
        <v>-3.8855883353647088E-3</v>
      </c>
      <c r="Y122" t="str">
        <f t="shared" si="107"/>
        <v>0.999997154403705+0.00600612239784841i</v>
      </c>
      <c r="Z122" s="67">
        <f t="shared" si="122"/>
        <v>1.0000151910454986</v>
      </c>
      <c r="AA122" s="67">
        <f t="shared" si="123"/>
        <v>6.0060672692119821E-3</v>
      </c>
      <c r="AB122" s="92" t="str">
        <f t="shared" si="124"/>
        <v>0.38642133124565-4.96684202743929i</v>
      </c>
      <c r="AC122" s="37">
        <f t="shared" si="125"/>
        <v>13.947814997700718</v>
      </c>
      <c r="AD122" s="60">
        <f t="shared" si="126"/>
        <v>-85.551337855637257</v>
      </c>
      <c r="AE122" t="str">
        <f t="shared" si="127"/>
        <v>118.329284003155</v>
      </c>
      <c r="AF122" t="str">
        <f t="shared" si="108"/>
        <v>1+16.0068047984711i</v>
      </c>
      <c r="AG122">
        <f t="shared" si="128"/>
        <v>16.038011094158701</v>
      </c>
      <c r="AH122">
        <f t="shared" si="129"/>
        <v>1.5084039834015508</v>
      </c>
      <c r="AI122" t="str">
        <f t="shared" si="109"/>
        <v>1+0.0376159912764071i</v>
      </c>
      <c r="AJ122">
        <f t="shared" si="130"/>
        <v>1.0007072313117891</v>
      </c>
      <c r="AK122">
        <f t="shared" si="131"/>
        <v>3.7598264580767392E-2</v>
      </c>
      <c r="AL122" t="str">
        <f t="shared" si="110"/>
        <v>1-0.00261991448995665i</v>
      </c>
      <c r="AM122">
        <f t="shared" si="132"/>
        <v>1.0000034319700781</v>
      </c>
      <c r="AN122">
        <f t="shared" si="133"/>
        <v>-2.6199084956589594E-3</v>
      </c>
      <c r="AO122" s="58" t="str">
        <f t="shared" si="134"/>
        <v>0.717781179864984-7.34832252505496i</v>
      </c>
      <c r="AP122">
        <f t="shared" si="135"/>
        <v>17.365005113532664</v>
      </c>
      <c r="AQ122" s="60">
        <f t="shared" si="136"/>
        <v>-84.421069871647887</v>
      </c>
      <c r="AR122" t="str">
        <f t="shared" si="111"/>
        <v>-1.94444444444444</v>
      </c>
      <c r="AS122" t="str">
        <f t="shared" si="112"/>
        <v>1+0.0385805038732379i</v>
      </c>
      <c r="AT122">
        <f t="shared" si="137"/>
        <v>1.0007439509080798</v>
      </c>
      <c r="AU122">
        <f t="shared" si="138"/>
        <v>3.8561379165211275E-2</v>
      </c>
      <c r="AV122" t="str">
        <f t="shared" si="113"/>
        <v>1+0.0385805038732379i</v>
      </c>
      <c r="AW122">
        <f t="shared" si="139"/>
        <v>1.0007439509080798</v>
      </c>
      <c r="AX122">
        <f t="shared" si="140"/>
        <v>3.8561379165211275E-2</v>
      </c>
      <c r="AY122" t="str">
        <f t="shared" si="114"/>
        <v>1-0.0551485688589975i</v>
      </c>
      <c r="AZ122">
        <f t="shared" si="141"/>
        <v>1.0015195278411677</v>
      </c>
      <c r="BA122">
        <f t="shared" si="142"/>
        <v>-5.5092761692397525E-2</v>
      </c>
      <c r="BB122" s="58" t="str">
        <f t="shared" si="143"/>
        <v>-1.93742356027902+0.181980105508386i</v>
      </c>
      <c r="BC122">
        <f t="shared" si="144"/>
        <v>5.7826397454933058</v>
      </c>
      <c r="BD122" s="60">
        <f t="shared" si="145"/>
        <v>174.63401299493529</v>
      </c>
      <c r="BE122" s="58" t="str">
        <f t="shared" si="146"/>
        <v>0.155204644847182+9.69319775877567i</v>
      </c>
      <c r="BF122" s="37">
        <f t="shared" si="147"/>
        <v>19.730454743194027</v>
      </c>
      <c r="BG122" s="60">
        <f t="shared" si="148"/>
        <v>89.082675139298033</v>
      </c>
      <c r="BH122" s="58" t="str">
        <f t="shared" si="149"/>
        <v>-0.0533976605761419+14.3674350834143i</v>
      </c>
      <c r="BI122" s="37">
        <f t="shared" si="150"/>
        <v>23.147644859025995</v>
      </c>
      <c r="BJ122" s="60">
        <f t="shared" si="151"/>
        <v>90.212943123287417</v>
      </c>
      <c r="BK122">
        <f t="shared" si="152"/>
        <v>19.730454743194027</v>
      </c>
      <c r="BL122" s="60">
        <f t="shared" si="153"/>
        <v>89.082675139298033</v>
      </c>
      <c r="BN122">
        <f t="shared" si="154"/>
        <v>0</v>
      </c>
      <c r="BO122">
        <f t="shared" si="155"/>
        <v>0</v>
      </c>
    </row>
    <row r="123" spans="13:67" ht="14.25" x14ac:dyDescent="0.2">
      <c r="M123" s="66">
        <v>5</v>
      </c>
      <c r="N123" s="36">
        <f t="shared" si="156"/>
        <v>112.20184543019634</v>
      </c>
      <c r="O123" s="91" t="str">
        <f t="shared" si="103"/>
        <v>99.7340425531915</v>
      </c>
      <c r="P123" s="67" t="str">
        <f t="shared" si="104"/>
        <v>1+20.4745639738518i</v>
      </c>
      <c r="Q123" s="67">
        <f t="shared" si="116"/>
        <v>20.498969972155919</v>
      </c>
      <c r="R123" s="67">
        <f t="shared" si="117"/>
        <v>1.5219940183911354</v>
      </c>
      <c r="S123" s="67" t="str">
        <f t="shared" si="105"/>
        <v>1+0.0384921802708413i</v>
      </c>
      <c r="T123" s="67">
        <f t="shared" si="118"/>
        <v>1.0007405497640249</v>
      </c>
      <c r="U123" s="67">
        <f t="shared" si="119"/>
        <v>3.8473186533309715E-2</v>
      </c>
      <c r="V123" t="str">
        <f t="shared" si="106"/>
        <v>1-0.00397611532468031i</v>
      </c>
      <c r="W123" s="67">
        <f t="shared" si="120"/>
        <v>1.0000079047152952</v>
      </c>
      <c r="X123" s="67">
        <f t="shared" si="121"/>
        <v>-3.9760943714231686E-3</v>
      </c>
      <c r="Y123" t="str">
        <f t="shared" si="107"/>
        <v>0.999997020294883+0.00614602296049876i</v>
      </c>
      <c r="Z123" s="67">
        <f t="shared" si="122"/>
        <v>1.0000159069719219</v>
      </c>
      <c r="AA123" s="67">
        <f t="shared" si="123"/>
        <v>6.1459638891508146E-3</v>
      </c>
      <c r="AB123" s="92" t="str">
        <f t="shared" si="124"/>
        <v>0.375278538636922-4.85439955521725i</v>
      </c>
      <c r="AC123" s="37">
        <f t="shared" si="125"/>
        <v>13.748588117714819</v>
      </c>
      <c r="AD123" s="60">
        <f t="shared" si="126"/>
        <v>-85.579433703506879</v>
      </c>
      <c r="AE123" t="str">
        <f t="shared" si="127"/>
        <v>118.329284003155</v>
      </c>
      <c r="AF123" t="str">
        <f t="shared" si="108"/>
        <v>1+16.3796511790814i</v>
      </c>
      <c r="AG123">
        <f t="shared" si="128"/>
        <v>16.410148468200482</v>
      </c>
      <c r="AH123">
        <f t="shared" si="129"/>
        <v>1.5098206480511587</v>
      </c>
      <c r="AI123" t="str">
        <f t="shared" si="109"/>
        <v>1+0.0384921802708413i</v>
      </c>
      <c r="AJ123">
        <f t="shared" si="130"/>
        <v>1.0007405497640249</v>
      </c>
      <c r="AK123">
        <f t="shared" si="131"/>
        <v>3.8473186533309715E-2</v>
      </c>
      <c r="AL123" t="str">
        <f t="shared" si="110"/>
        <v>1-0.00268094013794745i</v>
      </c>
      <c r="AM123">
        <f t="shared" si="132"/>
        <v>1.0000035937135543</v>
      </c>
      <c r="AN123">
        <f t="shared" si="133"/>
        <v>-2.6809337149429997E-3</v>
      </c>
      <c r="AO123" s="58" t="str">
        <f t="shared" si="134"/>
        <v>0.697198172051691-7.18234445670949i</v>
      </c>
      <c r="AP123">
        <f t="shared" si="135"/>
        <v>17.166055695048353</v>
      </c>
      <c r="AQ123" s="60">
        <f t="shared" si="136"/>
        <v>-84.455605929280608</v>
      </c>
      <c r="AR123" t="str">
        <f t="shared" si="111"/>
        <v>-1.94444444444444</v>
      </c>
      <c r="AS123" t="str">
        <f t="shared" si="112"/>
        <v>1+0.0394791592521448i</v>
      </c>
      <c r="AT123">
        <f t="shared" si="137"/>
        <v>1.0007789985882278</v>
      </c>
      <c r="AU123">
        <f t="shared" si="138"/>
        <v>3.945866761969534E-2</v>
      </c>
      <c r="AV123" t="str">
        <f t="shared" si="113"/>
        <v>1+0.0394791592521448i</v>
      </c>
      <c r="AW123">
        <f t="shared" si="139"/>
        <v>1.0007789985882278</v>
      </c>
      <c r="AX123">
        <f t="shared" si="140"/>
        <v>3.945866761969534E-2</v>
      </c>
      <c r="AY123" t="str">
        <f t="shared" si="114"/>
        <v>1-0.0538932341714569i</v>
      </c>
      <c r="AZ123">
        <f t="shared" si="141"/>
        <v>1.0014511873723351</v>
      </c>
      <c r="BA123">
        <f t="shared" si="142"/>
        <v>-5.3841147626009181E-2</v>
      </c>
      <c r="BB123" s="58" t="str">
        <f t="shared" si="143"/>
        <v>-1.93728786396172+0.181274895876425i</v>
      </c>
      <c r="BC123">
        <f t="shared" si="144"/>
        <v>5.7817428394703585</v>
      </c>
      <c r="BD123" s="60">
        <f t="shared" si="145"/>
        <v>174.65431435707077</v>
      </c>
      <c r="BE123" s="58" t="str">
        <f t="shared" si="146"/>
        <v>0.152958215407972+9.47239792315961i</v>
      </c>
      <c r="BF123" s="37">
        <f t="shared" si="147"/>
        <v>19.530330957185175</v>
      </c>
      <c r="BG123" s="60">
        <f t="shared" si="148"/>
        <v>89.074880653563909</v>
      </c>
      <c r="BH123" s="58" t="str">
        <f t="shared" si="149"/>
        <v>-0.0486948139534049+14.0406532768199i</v>
      </c>
      <c r="BI123" s="37">
        <f t="shared" si="150"/>
        <v>22.947798534518693</v>
      </c>
      <c r="BJ123" s="60">
        <f t="shared" si="151"/>
        <v>90.198708427790166</v>
      </c>
      <c r="BK123">
        <f t="shared" si="152"/>
        <v>19.530330957185175</v>
      </c>
      <c r="BL123" s="60">
        <f t="shared" si="153"/>
        <v>89.074880653563909</v>
      </c>
      <c r="BN123">
        <f t="shared" si="154"/>
        <v>0</v>
      </c>
      <c r="BO123">
        <f t="shared" si="155"/>
        <v>0</v>
      </c>
    </row>
    <row r="124" spans="13:67" ht="14.25" x14ac:dyDescent="0.2">
      <c r="M124" s="66">
        <v>6</v>
      </c>
      <c r="N124" s="36">
        <f t="shared" si="156"/>
        <v>114.81536214968835</v>
      </c>
      <c r="O124" s="91" t="str">
        <f t="shared" si="103"/>
        <v>99.7340425531915</v>
      </c>
      <c r="P124" s="67" t="str">
        <f t="shared" si="104"/>
        <v>1+20.9514778344465i</v>
      </c>
      <c r="Q124" s="67">
        <f t="shared" si="116"/>
        <v>20.975328923459173</v>
      </c>
      <c r="R124" s="67">
        <f t="shared" si="117"/>
        <v>1.5231031912000605</v>
      </c>
      <c r="S124" s="67" t="str">
        <f t="shared" si="105"/>
        <v>1+0.0393887783287594i</v>
      </c>
      <c r="T124" s="67">
        <f t="shared" si="118"/>
        <v>1.0007754372776303</v>
      </c>
      <c r="U124" s="67">
        <f t="shared" si="119"/>
        <v>3.9368427023917053E-2</v>
      </c>
      <c r="V124" t="str">
        <f t="shared" si="106"/>
        <v>1-0.00406873094824548i</v>
      </c>
      <c r="W124" s="67">
        <f t="shared" si="120"/>
        <v>1.0000082772515082</v>
      </c>
      <c r="X124" s="67">
        <f t="shared" si="121"/>
        <v>-4.0687084964359825E-3</v>
      </c>
      <c r="Y124" t="str">
        <f t="shared" si="107"/>
        <v>0.999996879865708+0.006289182225875i</v>
      </c>
      <c r="Z124" s="67">
        <f t="shared" si="122"/>
        <v>1.0000166566383888</v>
      </c>
      <c r="AA124" s="67">
        <f t="shared" si="123"/>
        <v>6.2891189298416748E-3</v>
      </c>
      <c r="AB124" s="92" t="str">
        <f t="shared" si="124"/>
        <v>0.364634881592193-4.74448206150811i</v>
      </c>
      <c r="AC124" s="37">
        <f t="shared" si="125"/>
        <v>13.54935282863698</v>
      </c>
      <c r="AD124" s="60">
        <f t="shared" si="126"/>
        <v>-85.605199700582062</v>
      </c>
      <c r="AE124" t="str">
        <f t="shared" si="127"/>
        <v>118.329284003155</v>
      </c>
      <c r="AF124" t="str">
        <f t="shared" si="108"/>
        <v>1+16.7611822675572i</v>
      </c>
      <c r="AG124">
        <f t="shared" si="128"/>
        <v>16.79098660014574</v>
      </c>
      <c r="AH124">
        <f t="shared" si="129"/>
        <v>1.5112053023074565</v>
      </c>
      <c r="AI124" t="str">
        <f t="shared" si="109"/>
        <v>1+0.0393887783287594i</v>
      </c>
      <c r="AJ124">
        <f t="shared" si="130"/>
        <v>1.0007754372776303</v>
      </c>
      <c r="AK124">
        <f t="shared" si="131"/>
        <v>3.9368427023917053E-2</v>
      </c>
      <c r="AL124" t="str">
        <f t="shared" si="110"/>
        <v>1-0.00274338725588582i</v>
      </c>
      <c r="AM124">
        <f t="shared" si="132"/>
        <v>1.0000037630797376</v>
      </c>
      <c r="AN124">
        <f t="shared" si="133"/>
        <v>-2.7433803735139525E-3</v>
      </c>
      <c r="AO124" s="58" t="str">
        <f t="shared" si="134"/>
        <v>0.677534825747151-7.02006181929686i</v>
      </c>
      <c r="AP124">
        <f t="shared" si="135"/>
        <v>16.967085870473969</v>
      </c>
      <c r="AQ124" s="60">
        <f t="shared" si="136"/>
        <v>-84.487225202471095</v>
      </c>
      <c r="AR124" t="str">
        <f t="shared" si="111"/>
        <v>-1.94444444444444</v>
      </c>
      <c r="AS124" t="str">
        <f t="shared" si="112"/>
        <v>1+0.0403987470038557i</v>
      </c>
      <c r="AT124">
        <f t="shared" si="137"/>
        <v>1.0008156966991884</v>
      </c>
      <c r="AU124">
        <f t="shared" si="138"/>
        <v>4.0376790790507072E-2</v>
      </c>
      <c r="AV124" t="str">
        <f t="shared" si="113"/>
        <v>1+0.0403987470038557i</v>
      </c>
      <c r="AW124">
        <f t="shared" si="139"/>
        <v>1.0008156966991884</v>
      </c>
      <c r="AX124">
        <f t="shared" si="140"/>
        <v>4.0376790790507072E-2</v>
      </c>
      <c r="AY124" t="str">
        <f t="shared" si="114"/>
        <v>1-0.0526664743900353i</v>
      </c>
      <c r="AZ124">
        <f t="shared" si="141"/>
        <v>1.0013859183774636</v>
      </c>
      <c r="BA124">
        <f t="shared" si="142"/>
        <v>-5.2617860593608755E-2</v>
      </c>
      <c r="BB124" s="58" t="str">
        <f t="shared" si="143"/>
        <v>-1.93714579284559+0.180665296330932i</v>
      </c>
      <c r="BC124">
        <f t="shared" si="144"/>
        <v>5.7808582214645901</v>
      </c>
      <c r="BD124" s="60">
        <f t="shared" si="145"/>
        <v>174.67179895839973</v>
      </c>
      <c r="BE124" s="58" t="str">
        <f t="shared" si="146"/>
        <v>0.150812330778087+9.25663033361725i</v>
      </c>
      <c r="BF124" s="37">
        <f t="shared" si="147"/>
        <v>19.330211050101564</v>
      </c>
      <c r="BG124" s="60">
        <f t="shared" si="148"/>
        <v>89.066599257817671</v>
      </c>
      <c r="BH124" s="58" t="str">
        <f t="shared" si="149"/>
        <v>-0.0442021883577346+13.721290248835i</v>
      </c>
      <c r="BI124" s="37">
        <f t="shared" si="150"/>
        <v>22.747944091938557</v>
      </c>
      <c r="BJ124" s="60">
        <f t="shared" si="151"/>
        <v>90.184573755928653</v>
      </c>
      <c r="BK124">
        <f t="shared" si="152"/>
        <v>19.330211050101564</v>
      </c>
      <c r="BL124" s="60">
        <f t="shared" si="153"/>
        <v>89.066599257817671</v>
      </c>
      <c r="BN124">
        <f t="shared" si="154"/>
        <v>0</v>
      </c>
      <c r="BO124">
        <f t="shared" si="155"/>
        <v>0</v>
      </c>
    </row>
    <row r="125" spans="13:67" ht="14.25" x14ac:dyDescent="0.2">
      <c r="M125" s="66">
        <v>7</v>
      </c>
      <c r="N125" s="36">
        <f t="shared" si="156"/>
        <v>117.48975549395293</v>
      </c>
      <c r="O125" s="91" t="str">
        <f t="shared" si="103"/>
        <v>99.7340425531915</v>
      </c>
      <c r="P125" s="67" t="str">
        <f t="shared" si="104"/>
        <v>1+21.4395004459146i</v>
      </c>
      <c r="Q125" s="67">
        <f t="shared" si="116"/>
        <v>21.462809214321698</v>
      </c>
      <c r="R125" s="67">
        <f t="shared" si="117"/>
        <v>1.5241872296451964</v>
      </c>
      <c r="S125" s="67" t="str">
        <f t="shared" si="105"/>
        <v>1+0.0403062608383195i</v>
      </c>
      <c r="T125" s="67">
        <f t="shared" si="118"/>
        <v>1.000811967685622</v>
      </c>
      <c r="U125" s="67">
        <f t="shared" si="119"/>
        <v>4.0284454977709182E-2</v>
      </c>
      <c r="V125" t="str">
        <f t="shared" si="106"/>
        <v>1-0.00416350386681542i</v>
      </c>
      <c r="W125" s="67">
        <f t="shared" si="120"/>
        <v>1.0000086673446631</v>
      </c>
      <c r="X125" s="67">
        <f t="shared" si="121"/>
        <v>-4.1634798092793669E-3</v>
      </c>
      <c r="Y125" t="str">
        <f t="shared" si="107"/>
        <v>0.999996732818309+0.00643567609891455i</v>
      </c>
      <c r="Z125" s="67">
        <f t="shared" si="122"/>
        <v>1.0000174416349661</v>
      </c>
      <c r="AA125" s="67">
        <f t="shared" si="123"/>
        <v>6.4356082760561673E-3</v>
      </c>
      <c r="AB125" s="92" t="str">
        <f t="shared" si="124"/>
        <v>0.354468098087145-4.63703451498614i</v>
      </c>
      <c r="AC125" s="37">
        <f t="shared" si="125"/>
        <v>13.350110742725183</v>
      </c>
      <c r="AD125" s="60">
        <f t="shared" si="126"/>
        <v>-85.628649210176548</v>
      </c>
      <c r="AE125" t="str">
        <f t="shared" si="127"/>
        <v>118.329284003155</v>
      </c>
      <c r="AF125" t="str">
        <f t="shared" si="108"/>
        <v>1+17.1516003567317i</v>
      </c>
      <c r="AG125">
        <f t="shared" si="128"/>
        <v>17.18072742339622</v>
      </c>
      <c r="AH125">
        <f t="shared" si="129"/>
        <v>1.5125586590824411</v>
      </c>
      <c r="AI125" t="str">
        <f t="shared" si="109"/>
        <v>1+0.0403062608383195i</v>
      </c>
      <c r="AJ125">
        <f t="shared" si="130"/>
        <v>1.000811967685622</v>
      </c>
      <c r="AK125">
        <f t="shared" si="131"/>
        <v>4.0284454977709182E-2</v>
      </c>
      <c r="AL125" t="str">
        <f t="shared" si="110"/>
        <v>1-0.00280728895406029i</v>
      </c>
      <c r="AM125">
        <f t="shared" si="132"/>
        <v>1.0000039404278722</v>
      </c>
      <c r="AN125">
        <f t="shared" si="133"/>
        <v>-2.8072815794675382E-3</v>
      </c>
      <c r="AO125" s="58" t="str">
        <f t="shared" si="134"/>
        <v>0.658750338140328-6.86139604072595i</v>
      </c>
      <c r="AP125">
        <f t="shared" si="135"/>
        <v>16.768097805293344</v>
      </c>
      <c r="AQ125" s="60">
        <f t="shared" si="136"/>
        <v>-84.515943567591805</v>
      </c>
      <c r="AR125" t="str">
        <f t="shared" si="111"/>
        <v>-1.94444444444444</v>
      </c>
      <c r="AS125" t="str">
        <f t="shared" si="112"/>
        <v>1+0.0413397547059686i</v>
      </c>
      <c r="AT125">
        <f t="shared" si="137"/>
        <v>1.0008541228966137</v>
      </c>
      <c r="AU125">
        <f t="shared" si="138"/>
        <v>4.1316229283716824E-2</v>
      </c>
      <c r="AV125" t="str">
        <f t="shared" si="113"/>
        <v>1+0.0413397547059686i</v>
      </c>
      <c r="AW125">
        <f t="shared" si="139"/>
        <v>1.0008541228966137</v>
      </c>
      <c r="AX125">
        <f t="shared" si="140"/>
        <v>4.1316229283716824E-2</v>
      </c>
      <c r="AY125" t="str">
        <f t="shared" si="114"/>
        <v>1-0.0514676390704585i</v>
      </c>
      <c r="AZ125">
        <f t="shared" si="141"/>
        <v>1.0013235829997649</v>
      </c>
      <c r="BA125">
        <f t="shared" si="142"/>
        <v>-5.1422266645041889E-2</v>
      </c>
      <c r="BB125" s="58" t="str">
        <f t="shared" si="143"/>
        <v>-1.93699704845612+0.180150947708586i</v>
      </c>
      <c r="BC125">
        <f t="shared" si="144"/>
        <v>5.7799840284962958</v>
      </c>
      <c r="BD125" s="60">
        <f t="shared" si="145"/>
        <v>174.68647558489096</v>
      </c>
      <c r="BE125" s="58" t="str">
        <f t="shared" si="146"/>
        <v>0.148762502665522+9.04577993292017i</v>
      </c>
      <c r="BF125" s="37">
        <f t="shared" si="147"/>
        <v>19.130094771221479</v>
      </c>
      <c r="BG125" s="60">
        <f t="shared" si="148"/>
        <v>89.057826374714423</v>
      </c>
      <c r="BH125" s="58" t="str">
        <f t="shared" si="149"/>
        <v>-0.0399104613065668+13.409178376894i</v>
      </c>
      <c r="BI125" s="37">
        <f t="shared" si="150"/>
        <v>22.548081833789638</v>
      </c>
      <c r="BJ125" s="60">
        <f t="shared" si="151"/>
        <v>90.170532017299152</v>
      </c>
      <c r="BK125">
        <f t="shared" si="152"/>
        <v>19.130094771221479</v>
      </c>
      <c r="BL125" s="60">
        <f t="shared" si="153"/>
        <v>89.057826374714423</v>
      </c>
      <c r="BN125">
        <f t="shared" si="154"/>
        <v>0</v>
      </c>
      <c r="BO125">
        <f t="shared" si="155"/>
        <v>0</v>
      </c>
    </row>
    <row r="126" spans="13:67" ht="14.25" x14ac:dyDescent="0.2">
      <c r="M126" s="66">
        <v>8</v>
      </c>
      <c r="N126" s="36">
        <f t="shared" si="156"/>
        <v>120.22644346174135</v>
      </c>
      <c r="O126" s="91" t="str">
        <f t="shared" si="103"/>
        <v>99.7340425531915</v>
      </c>
      <c r="P126" s="67" t="str">
        <f t="shared" si="104"/>
        <v>1+21.9388905643046i</v>
      </c>
      <c r="Q126" s="67">
        <f t="shared" si="116"/>
        <v>21.961669317074545</v>
      </c>
      <c r="R126" s="67">
        <f t="shared" si="117"/>
        <v>1.5252466983011108</v>
      </c>
      <c r="S126" s="67" t="str">
        <f t="shared" si="105"/>
        <v>1+0.0412451142608926i</v>
      </c>
      <c r="T126" s="67">
        <f t="shared" si="118"/>
        <v>1.0008502182896271</v>
      </c>
      <c r="U126" s="67">
        <f t="shared" si="119"/>
        <v>4.122174993216017E-2</v>
      </c>
      <c r="V126" t="str">
        <f t="shared" si="106"/>
        <v>1-0.00426048433024605i</v>
      </c>
      <c r="W126" s="67">
        <f t="shared" si="120"/>
        <v>1.0000090758221789</v>
      </c>
      <c r="X126" s="67">
        <f t="shared" si="121"/>
        <v>-4.2604585521443692E-3</v>
      </c>
      <c r="Y126" t="str">
        <f t="shared" si="107"/>
        <v>0.999996578840779+0.00658558225260801i</v>
      </c>
      <c r="Z126" s="67">
        <f t="shared" si="122"/>
        <v>1.0000182636266541</v>
      </c>
      <c r="AA126" s="67">
        <f t="shared" si="123"/>
        <v>6.5855095791769111E-3</v>
      </c>
      <c r="AB126" s="92" t="str">
        <f t="shared" si="124"/>
        <v>0.344756910049202-4.53200297869664i</v>
      </c>
      <c r="AC126" s="37">
        <f t="shared" si="125"/>
        <v>13.150863458143355</v>
      </c>
      <c r="AD126" s="60">
        <f t="shared" si="126"/>
        <v>-85.649794432318885</v>
      </c>
      <c r="AE126" t="str">
        <f t="shared" si="127"/>
        <v>118.329284003155</v>
      </c>
      <c r="AF126" t="str">
        <f t="shared" si="108"/>
        <v>1+17.5511124514437i</v>
      </c>
      <c r="AG126">
        <f t="shared" si="128"/>
        <v>17.57957759114883</v>
      </c>
      <c r="AH126">
        <f t="shared" si="129"/>
        <v>1.5138814161023877</v>
      </c>
      <c r="AI126" t="str">
        <f t="shared" si="109"/>
        <v>1+0.0412451142608926i</v>
      </c>
      <c r="AJ126">
        <f t="shared" si="130"/>
        <v>1.0008502182896271</v>
      </c>
      <c r="AK126">
        <f t="shared" si="131"/>
        <v>4.122174993216017E-2</v>
      </c>
      <c r="AL126" t="str">
        <f t="shared" si="110"/>
        <v>1-0.00287267911399706i</v>
      </c>
      <c r="AM126">
        <f t="shared" si="132"/>
        <v>1.0000041261341335</v>
      </c>
      <c r="AN126">
        <f t="shared" si="133"/>
        <v>-2.872671211980319E-3</v>
      </c>
      <c r="AO126" s="58" t="str">
        <f t="shared" si="134"/>
        <v>0.64080569143889-6.70626997357944i</v>
      </c>
      <c r="AP126">
        <f t="shared" si="135"/>
        <v>16.569093627484648</v>
      </c>
      <c r="AQ126" s="60">
        <f t="shared" si="136"/>
        <v>-84.541775467073975</v>
      </c>
      <c r="AR126" t="str">
        <f t="shared" si="111"/>
        <v>-1.94444444444444</v>
      </c>
      <c r="AS126" t="str">
        <f t="shared" si="112"/>
        <v>1+0.0423026812932231i</v>
      </c>
      <c r="AT126">
        <f t="shared" si="137"/>
        <v>1.0008943584837493</v>
      </c>
      <c r="AU126">
        <f t="shared" si="138"/>
        <v>4.2277474565496034E-2</v>
      </c>
      <c r="AV126" t="str">
        <f t="shared" si="113"/>
        <v>1+0.0423026812932231i</v>
      </c>
      <c r="AW126">
        <f t="shared" si="139"/>
        <v>1.0008943584837493</v>
      </c>
      <c r="AX126">
        <f t="shared" si="140"/>
        <v>4.2277474565496034E-2</v>
      </c>
      <c r="AY126" t="str">
        <f t="shared" si="114"/>
        <v>1-0.0502960925743715i</v>
      </c>
      <c r="AZ126">
        <f t="shared" si="141"/>
        <v>1.0012640495534881</v>
      </c>
      <c r="BA126">
        <f t="shared" si="142"/>
        <v>-5.0253745540613647E-2</v>
      </c>
      <c r="BB126" s="58" t="str">
        <f t="shared" si="143"/>
        <v>-1.93684131844054+0.179731538793036i</v>
      </c>
      <c r="BC126">
        <f t="shared" si="144"/>
        <v>5.7791184191161094</v>
      </c>
      <c r="BD126" s="60">
        <f t="shared" si="145"/>
        <v>174.69835161472386</v>
      </c>
      <c r="BE126" s="58" t="str">
        <f t="shared" si="146"/>
        <v>0.146804440974587+8.83973431438793i</v>
      </c>
      <c r="BF126" s="37">
        <f t="shared" si="147"/>
        <v>18.929981877259468</v>
      </c>
      <c r="BG126" s="60">
        <f t="shared" si="148"/>
        <v>89.048557182404977</v>
      </c>
      <c r="BH126" s="58" t="str">
        <f t="shared" si="149"/>
        <v>-0.0358107183577361+13.1041537704355i</v>
      </c>
      <c r="BI126" s="37">
        <f t="shared" si="150"/>
        <v>22.348212046600789</v>
      </c>
      <c r="BJ126" s="60">
        <f t="shared" si="151"/>
        <v>90.156576147649886</v>
      </c>
      <c r="BK126">
        <f t="shared" si="152"/>
        <v>18.929981877259468</v>
      </c>
      <c r="BL126" s="60">
        <f t="shared" si="153"/>
        <v>89.048557182404977</v>
      </c>
      <c r="BN126">
        <f t="shared" si="154"/>
        <v>0</v>
      </c>
      <c r="BO126">
        <f t="shared" si="155"/>
        <v>0</v>
      </c>
    </row>
    <row r="127" spans="13:67" ht="14.25" x14ac:dyDescent="0.2">
      <c r="M127" s="66">
        <v>9</v>
      </c>
      <c r="N127" s="36">
        <f t="shared" si="156"/>
        <v>123.02687708123821</v>
      </c>
      <c r="O127" s="91" t="str">
        <f t="shared" si="103"/>
        <v>99.7340425531915</v>
      </c>
      <c r="P127" s="67" t="str">
        <f t="shared" si="104"/>
        <v>1+22.4499129728672i</v>
      </c>
      <c r="Q127" s="67">
        <f t="shared" si="116"/>
        <v>22.47217373752061</v>
      </c>
      <c r="R127" s="67">
        <f t="shared" si="117"/>
        <v>1.5262821493928895</v>
      </c>
      <c r="S127" s="67" t="str">
        <f t="shared" si="105"/>
        <v>1+0.0422058363889904i</v>
      </c>
      <c r="T127" s="67">
        <f t="shared" si="118"/>
        <v>1.0008902700222908</v>
      </c>
      <c r="U127" s="67">
        <f t="shared" si="119"/>
        <v>4.2180802262233114E-2</v>
      </c>
      <c r="V127" t="str">
        <f t="shared" si="106"/>
        <v>1-0.00435972375886274i</v>
      </c>
      <c r="W127" s="67">
        <f t="shared" si="120"/>
        <v>1.0000095035504681</v>
      </c>
      <c r="X127" s="67">
        <f t="shared" si="121"/>
        <v>-4.3596961371433138E-3</v>
      </c>
      <c r="Y127" t="str">
        <f t="shared" si="107"/>
        <v>0.999996417606513+0.00673898016918228i</v>
      </c>
      <c r="Z127" s="67">
        <f t="shared" si="122"/>
        <v>1.0000191243569196</v>
      </c>
      <c r="AA127" s="67">
        <f t="shared" si="123"/>
        <v>6.7389022982775257E-3</v>
      </c>
      <c r="AB127" s="92" t="str">
        <f t="shared" si="124"/>
        <v>0.335480980633497-4.42933459565118i</v>
      </c>
      <c r="AC127" s="37">
        <f t="shared" si="125"/>
        <v>12.951612562271572</v>
      </c>
      <c r="AD127" s="60">
        <f t="shared" si="126"/>
        <v>-85.668646409126652</v>
      </c>
      <c r="AE127" t="str">
        <f t="shared" si="127"/>
        <v>118.329284003155</v>
      </c>
      <c r="AF127" t="str">
        <f t="shared" si="108"/>
        <v>1+17.9599303782938i</v>
      </c>
      <c r="AG127">
        <f t="shared" si="128"/>
        <v>17.987748586000432</v>
      </c>
      <c r="AH127">
        <f t="shared" si="129"/>
        <v>1.5151742561848243</v>
      </c>
      <c r="AI127" t="str">
        <f t="shared" si="109"/>
        <v>1+0.0422058363889904i</v>
      </c>
      <c r="AJ127">
        <f t="shared" si="130"/>
        <v>1.0008902700222908</v>
      </c>
      <c r="AK127">
        <f t="shared" si="131"/>
        <v>4.2180802262233114E-2</v>
      </c>
      <c r="AL127" t="str">
        <f t="shared" si="110"/>
        <v>1-0.00293959240642448i</v>
      </c>
      <c r="AM127">
        <f t="shared" si="132"/>
        <v>1.0000043205924241</v>
      </c>
      <c r="AN127">
        <f t="shared" si="133"/>
        <v>-2.9395839392629673E-3</v>
      </c>
      <c r="AO127" s="58" t="str">
        <f t="shared" si="134"/>
        <v>0.623663577002977-6.55460788650092i</v>
      </c>
      <c r="AP127">
        <f t="shared" si="135"/>
        <v>16.370075431879606</v>
      </c>
      <c r="AQ127" s="60">
        <f t="shared" si="136"/>
        <v>-84.56473391340657</v>
      </c>
      <c r="AR127" t="str">
        <f t="shared" si="111"/>
        <v>-1.94444444444444</v>
      </c>
      <c r="AS127" t="str">
        <f t="shared" si="112"/>
        <v>1+0.0432880373220413i</v>
      </c>
      <c r="AT127">
        <f t="shared" si="137"/>
        <v>1.000936488582165</v>
      </c>
      <c r="AU127">
        <f t="shared" si="138"/>
        <v>4.326102919129976E-2</v>
      </c>
      <c r="AV127" t="str">
        <f t="shared" si="113"/>
        <v>1+0.0432880373220413i</v>
      </c>
      <c r="AW127">
        <f t="shared" si="139"/>
        <v>1.000936488582165</v>
      </c>
      <c r="AX127">
        <f t="shared" si="140"/>
        <v>4.326102919129976E-2</v>
      </c>
      <c r="AY127" t="str">
        <f t="shared" si="114"/>
        <v>1-0.049151213732315i</v>
      </c>
      <c r="AZ127">
        <f t="shared" si="141"/>
        <v>1.0012071922491168</v>
      </c>
      <c r="BA127">
        <f t="shared" si="142"/>
        <v>-4.9111690486591704E-2</v>
      </c>
      <c r="BB127" s="58" t="str">
        <f t="shared" si="143"/>
        <v>-1.93667827593183+0.179406805968825i</v>
      </c>
      <c r="BC127">
        <f t="shared" si="144"/>
        <v>5.7782595696071128</v>
      </c>
      <c r="BD127" s="60">
        <f t="shared" si="145"/>
        <v>174.70743302031175</v>
      </c>
      <c r="BE127" s="58" t="str">
        <f t="shared" si="146"/>
        <v>0.144934045191795+8.63838365942968i</v>
      </c>
      <c r="BF127" s="37">
        <f t="shared" si="147"/>
        <v>18.729872131878686</v>
      </c>
      <c r="BG127" s="60">
        <f t="shared" si="148"/>
        <v>89.038786611185117</v>
      </c>
      <c r="BH127" s="58" t="str">
        <f t="shared" si="149"/>
        <v>-0.0318944357764031+12.806056191387i</v>
      </c>
      <c r="BI127" s="37">
        <f t="shared" si="150"/>
        <v>22.148335001486736</v>
      </c>
      <c r="BJ127" s="60">
        <f t="shared" si="151"/>
        <v>90.142699106905184</v>
      </c>
      <c r="BK127">
        <f t="shared" si="152"/>
        <v>18.729872131878686</v>
      </c>
      <c r="BL127" s="60">
        <f t="shared" si="153"/>
        <v>89.038786611185117</v>
      </c>
      <c r="BN127">
        <f t="shared" si="154"/>
        <v>0</v>
      </c>
      <c r="BO127">
        <f t="shared" si="155"/>
        <v>0</v>
      </c>
    </row>
    <row r="128" spans="13:67" ht="14.25" x14ac:dyDescent="0.2">
      <c r="M128" s="66">
        <v>10</v>
      </c>
      <c r="N128" s="36">
        <f t="shared" si="156"/>
        <v>125.89254117941677</v>
      </c>
      <c r="O128" s="91" t="str">
        <f t="shared" si="103"/>
        <v>99.7340425531915</v>
      </c>
      <c r="P128" s="67" t="str">
        <f t="shared" si="104"/>
        <v>1+22.9728386224478i</v>
      </c>
      <c r="Q128" s="67">
        <f t="shared" si="116"/>
        <v>22.994593155196927</v>
      </c>
      <c r="R128" s="67">
        <f t="shared" si="117"/>
        <v>1.5272941230440074</v>
      </c>
      <c r="S128" s="67" t="str">
        <f t="shared" si="105"/>
        <v>1+0.0431889366102019i</v>
      </c>
      <c r="T128" s="67">
        <f t="shared" si="118"/>
        <v>1.0009322076172391</v>
      </c>
      <c r="U128" s="67">
        <f t="shared" si="119"/>
        <v>4.3162113409198483E-2</v>
      </c>
      <c r="V128" t="str">
        <f t="shared" si="106"/>
        <v>1-0.00446127477072415i</v>
      </c>
      <c r="W128" s="67">
        <f t="shared" si="120"/>
        <v>1.0000099514367744</v>
      </c>
      <c r="X128" s="67">
        <f t="shared" si="121"/>
        <v>-4.4612451735344481E-3</v>
      </c>
      <c r="Y128" t="str">
        <f t="shared" si="107"/>
        <v>0.999996248773509+0.00689595118224319i</v>
      </c>
      <c r="Z128" s="67">
        <f t="shared" si="122"/>
        <v>1.0000200256513854</v>
      </c>
      <c r="AA128" s="67">
        <f t="shared" si="123"/>
        <v>6.8958677421548037E-3</v>
      </c>
      <c r="AB128" s="92" t="str">
        <f t="shared" si="124"/>
        <v>0.326620873285233-4.32897757406645i</v>
      </c>
      <c r="AC128" s="37">
        <f t="shared" si="125"/>
        <v>12.752359634994971</v>
      </c>
      <c r="AD128" s="60">
        <f t="shared" si="126"/>
        <v>-85.685215029866299</v>
      </c>
      <c r="AE128" t="str">
        <f t="shared" si="127"/>
        <v>118.329284003155</v>
      </c>
      <c r="AF128" t="str">
        <f t="shared" si="108"/>
        <v>1+18.3782708979583i</v>
      </c>
      <c r="AG128">
        <f t="shared" si="128"/>
        <v>18.405456832112069</v>
      </c>
      <c r="AH128">
        <f t="shared" si="129"/>
        <v>1.5164378475136984</v>
      </c>
      <c r="AI128" t="str">
        <f t="shared" si="109"/>
        <v>1+0.0431889366102019i</v>
      </c>
      <c r="AJ128">
        <f t="shared" si="130"/>
        <v>1.0009322076172391</v>
      </c>
      <c r="AK128">
        <f t="shared" si="131"/>
        <v>4.3162113409198483E-2</v>
      </c>
      <c r="AL128" t="str">
        <f t="shared" si="110"/>
        <v>1-0.00300806430965589i</v>
      </c>
      <c r="AM128">
        <f t="shared" si="132"/>
        <v>1.0000045242152111</v>
      </c>
      <c r="AN128">
        <f t="shared" si="133"/>
        <v>-3.0080552369310854E-3</v>
      </c>
      <c r="AO128" s="58" t="str">
        <f t="shared" si="134"/>
        <v>0.607288322506366-6.40633545424284i</v>
      </c>
      <c r="AP128">
        <f t="shared" si="135"/>
        <v>16.171045284459701</v>
      </c>
      <c r="AQ128" s="60">
        <f t="shared" si="136"/>
        <v>-84.584830492844304</v>
      </c>
      <c r="AR128" t="str">
        <f t="shared" si="111"/>
        <v>-1.94444444444444</v>
      </c>
      <c r="AS128" t="str">
        <f t="shared" si="112"/>
        <v>1+0.0442963452412326i</v>
      </c>
      <c r="AT128">
        <f t="shared" si="137"/>
        <v>1.0009806023104195</v>
      </c>
      <c r="AU128">
        <f t="shared" si="138"/>
        <v>4.4267407038707289E-2</v>
      </c>
      <c r="AV128" t="str">
        <f t="shared" si="113"/>
        <v>1+0.0442963452412326i</v>
      </c>
      <c r="AW128">
        <f t="shared" si="139"/>
        <v>1.0009806023104195</v>
      </c>
      <c r="AX128">
        <f t="shared" si="140"/>
        <v>4.4267407038707289E-2</v>
      </c>
      <c r="AY128" t="str">
        <f t="shared" si="114"/>
        <v>1-0.0480323955143726i</v>
      </c>
      <c r="AZ128">
        <f t="shared" si="141"/>
        <v>1.0011528909306755</v>
      </c>
      <c r="BA128">
        <f t="shared" si="142"/>
        <v>-4.799550787360337E-2</v>
      </c>
      <c r="BB128" s="58" t="str">
        <f t="shared" si="143"/>
        <v>-1.93650757888451+0.179176532887812i</v>
      </c>
      <c r="BC128">
        <f t="shared" si="144"/>
        <v>5.7774056702206611</v>
      </c>
      <c r="BD128" s="60">
        <f t="shared" si="145"/>
        <v>174.71372436994994</v>
      </c>
      <c r="BE128" s="58" t="str">
        <f t="shared" si="146"/>
        <v>0.143147396131587+8.4416206766448i</v>
      </c>
      <c r="BF128" s="37">
        <f t="shared" si="147"/>
        <v>18.52976530521563</v>
      </c>
      <c r="BG128" s="60">
        <f t="shared" si="148"/>
        <v>89.028509340083659</v>
      </c>
      <c r="BH128" s="58" t="str">
        <f t="shared" si="149"/>
        <v>-0.0281534638941401+12.5147289761077i</v>
      </c>
      <c r="BI128" s="37">
        <f t="shared" si="150"/>
        <v>21.948450954680329</v>
      </c>
      <c r="BJ128" s="60">
        <f t="shared" si="151"/>
        <v>90.128893877105654</v>
      </c>
      <c r="BK128">
        <f t="shared" si="152"/>
        <v>18.52976530521563</v>
      </c>
      <c r="BL128" s="60">
        <f t="shared" si="153"/>
        <v>89.028509340083659</v>
      </c>
      <c r="BN128">
        <f t="shared" si="154"/>
        <v>0</v>
      </c>
      <c r="BO128">
        <f t="shared" si="155"/>
        <v>0</v>
      </c>
    </row>
    <row r="129" spans="13:67" ht="14.25" x14ac:dyDescent="0.2">
      <c r="M129" s="66">
        <v>11</v>
      </c>
      <c r="N129" s="36">
        <f t="shared" si="156"/>
        <v>128.82495516931343</v>
      </c>
      <c r="O129" s="91" t="str">
        <f t="shared" si="103"/>
        <v>99.7340425531915</v>
      </c>
      <c r="P129" s="67" t="str">
        <f t="shared" si="104"/>
        <v>1+23.5079447751475i</v>
      </c>
      <c r="Q129" s="67">
        <f t="shared" si="116"/>
        <v>23.529204566907584</v>
      </c>
      <c r="R129" s="67">
        <f t="shared" si="117"/>
        <v>1.5282831475207466</v>
      </c>
      <c r="S129" s="67" t="str">
        <f t="shared" si="105"/>
        <v>1+0.0441949361772773i</v>
      </c>
      <c r="T129" s="67">
        <f t="shared" si="118"/>
        <v>1.0009761197869376</v>
      </c>
      <c r="U129" s="67">
        <f t="shared" si="119"/>
        <v>4.4166196113111081E-2</v>
      </c>
      <c r="V129" t="str">
        <f t="shared" si="106"/>
        <v>1-0.00456519120952095i</v>
      </c>
      <c r="W129" s="67">
        <f t="shared" si="120"/>
        <v>1.0000104204310971</v>
      </c>
      <c r="X129" s="67">
        <f t="shared" si="121"/>
        <v>-4.565159495578652E-3</v>
      </c>
      <c r="Y129" t="str">
        <f t="shared" si="107"/>
        <v>0.999996071983651+0.00705657851989964i</v>
      </c>
      <c r="Z129" s="67">
        <f t="shared" si="122"/>
        <v>1.000020969421711</v>
      </c>
      <c r="AA129" s="67">
        <f t="shared" si="123"/>
        <v>7.0564891123343788E-3</v>
      </c>
      <c r="AB129" s="92" t="str">
        <f t="shared" si="124"/>
        <v>0.318158012519929-4.23088117229933i</v>
      </c>
      <c r="AC129" s="37">
        <f t="shared" si="125"/>
        <v>12.553106251978488</v>
      </c>
      <c r="AD129" s="60">
        <f t="shared" si="126"/>
        <v>-85.699509035697304</v>
      </c>
      <c r="AE129" t="str">
        <f t="shared" si="127"/>
        <v>118.329284003155</v>
      </c>
      <c r="AF129" t="str">
        <f t="shared" si="108"/>
        <v>1+18.806355820118i</v>
      </c>
      <c r="AG129">
        <f t="shared" si="128"/>
        <v>18.832923809989943</v>
      </c>
      <c r="AH129">
        <f t="shared" si="129"/>
        <v>1.517672843912478</v>
      </c>
      <c r="AI129" t="str">
        <f t="shared" si="109"/>
        <v>1+0.0441949361772773i</v>
      </c>
      <c r="AJ129">
        <f t="shared" si="130"/>
        <v>1.0009761197869376</v>
      </c>
      <c r="AK129">
        <f t="shared" si="131"/>
        <v>4.4166196113111081E-2</v>
      </c>
      <c r="AL129" t="str">
        <f t="shared" si="110"/>
        <v>1-0.00307813112840071i</v>
      </c>
      <c r="AM129">
        <f t="shared" si="132"/>
        <v>1.0000047374344001</v>
      </c>
      <c r="AN129">
        <f t="shared" si="133"/>
        <v>-3.0781214068034183E-3</v>
      </c>
      <c r="AO129" s="58" t="str">
        <f t="shared" si="134"/>
        <v>0.591645822022177-6.26137974650439i</v>
      </c>
      <c r="AP129">
        <f t="shared" si="135"/>
        <v>15.972005226599759</v>
      </c>
      <c r="AQ129" s="60">
        <f t="shared" si="136"/>
        <v>-84.602075368812294</v>
      </c>
      <c r="AR129" t="str">
        <f t="shared" si="111"/>
        <v>-1.94444444444444</v>
      </c>
      <c r="AS129" t="str">
        <f t="shared" si="112"/>
        <v>1+0.0453281396690022i</v>
      </c>
      <c r="AT129">
        <f t="shared" si="137"/>
        <v>1.0010267929710237</v>
      </c>
      <c r="AU129">
        <f t="shared" si="138"/>
        <v>4.5297133543884371E-2</v>
      </c>
      <c r="AV129" t="str">
        <f t="shared" si="113"/>
        <v>1+0.0453281396690022i</v>
      </c>
      <c r="AW129">
        <f t="shared" si="139"/>
        <v>1.0010267929710237</v>
      </c>
      <c r="AX129">
        <f t="shared" si="140"/>
        <v>4.5297133543884371E-2</v>
      </c>
      <c r="AY129" t="str">
        <f t="shared" si="114"/>
        <v>1-0.0469390447083159i</v>
      </c>
      <c r="AZ129">
        <f t="shared" si="141"/>
        <v>1.0011010308246262</v>
      </c>
      <c r="BA129">
        <f t="shared" si="142"/>
        <v>-4.6904617018065309E-2</v>
      </c>
      <c r="BB129" s="58" t="str">
        <f t="shared" si="143"/>
        <v>-1.93632886938096+0.179040550147035i</v>
      </c>
      <c r="BC129">
        <f t="shared" si="144"/>
        <v>5.7765549214385388</v>
      </c>
      <c r="BD129" s="60">
        <f t="shared" si="145"/>
        <v>174.71722882908233</v>
      </c>
      <c r="BE129" s="58" t="str">
        <f t="shared" si="146"/>
        <v>0.141440748027997+8.24934054243881i</v>
      </c>
      <c r="BF129" s="37">
        <f t="shared" si="147"/>
        <v>18.32966117341703</v>
      </c>
      <c r="BG129" s="60">
        <f t="shared" si="148"/>
        <v>89.017719793385027</v>
      </c>
      <c r="BH129" s="58" t="str">
        <f t="shared" si="149"/>
        <v>-0.0245800111365222+12.2300189587807i</v>
      </c>
      <c r="BI129" s="37">
        <f t="shared" si="150"/>
        <v>21.748560148038276</v>
      </c>
      <c r="BJ129" s="60">
        <f t="shared" si="151"/>
        <v>90.115153460270022</v>
      </c>
      <c r="BK129">
        <f t="shared" si="152"/>
        <v>18.32966117341703</v>
      </c>
      <c r="BL129" s="60">
        <f t="shared" si="153"/>
        <v>89.017719793385027</v>
      </c>
      <c r="BN129">
        <f t="shared" si="154"/>
        <v>0</v>
      </c>
      <c r="BO129">
        <f t="shared" si="155"/>
        <v>0</v>
      </c>
    </row>
    <row r="130" spans="13:67" ht="14.25" x14ac:dyDescent="0.2">
      <c r="M130" s="66">
        <v>12</v>
      </c>
      <c r="N130" s="36">
        <f t="shared" si="156"/>
        <v>131.82567385564084</v>
      </c>
      <c r="O130" s="91" t="str">
        <f t="shared" si="103"/>
        <v>99.7340425531915</v>
      </c>
      <c r="P130" s="67" t="str">
        <f t="shared" si="104"/>
        <v>1+24.0555151513314i</v>
      </c>
      <c r="Q130" s="67">
        <f t="shared" si="116"/>
        <v>24.076291433606102</v>
      </c>
      <c r="R130" s="67">
        <f t="shared" si="117"/>
        <v>1.5292497394730995</v>
      </c>
      <c r="S130" s="67" t="str">
        <f t="shared" si="105"/>
        <v>1+0.0452243684845031i</v>
      </c>
      <c r="T130" s="67">
        <f t="shared" si="118"/>
        <v>1.0010220994088104</v>
      </c>
      <c r="U130" s="67">
        <f t="shared" si="119"/>
        <v>4.5193574648914013E-2</v>
      </c>
      <c r="V130" t="str">
        <f t="shared" si="106"/>
        <v>1-0.0046715281731245i</v>
      </c>
      <c r="W130" s="67">
        <f t="shared" si="120"/>
        <v>1.0000109115282054</v>
      </c>
      <c r="X130" s="67">
        <f t="shared" si="121"/>
        <v>-4.6714941910431084E-3</v>
      </c>
      <c r="Y130" t="str">
        <f t="shared" si="107"/>
        <v>0.999995886861944+0.00722094734889221i</v>
      </c>
      <c r="Z130" s="67">
        <f t="shared" si="122"/>
        <v>1.000021957669641</v>
      </c>
      <c r="AA130" s="67">
        <f t="shared" si="123"/>
        <v>7.2208515470725074E-3</v>
      </c>
      <c r="AB130" s="92" t="str">
        <f t="shared" si="124"/>
        <v>0.310074646354937-4.13499568352626i</v>
      </c>
      <c r="AC130" s="37">
        <f t="shared" si="125"/>
        <v>12.353853987933592</v>
      </c>
      <c r="AD130" s="60">
        <f t="shared" si="126"/>
        <v>-85.711536024101491</v>
      </c>
      <c r="AE130" t="str">
        <f t="shared" si="127"/>
        <v>118.329284003155</v>
      </c>
      <c r="AF130" t="str">
        <f t="shared" si="108"/>
        <v>1+19.2444121210652i</v>
      </c>
      <c r="AG130">
        <f t="shared" si="128"/>
        <v>19.270376173946403</v>
      </c>
      <c r="AH130">
        <f t="shared" si="129"/>
        <v>1.5188798851149679</v>
      </c>
      <c r="AI130" t="str">
        <f t="shared" si="109"/>
        <v>1+0.0452243684845031i</v>
      </c>
      <c r="AJ130">
        <f t="shared" si="130"/>
        <v>1.0010220994088104</v>
      </c>
      <c r="AK130">
        <f t="shared" si="131"/>
        <v>4.5193574648914013E-2</v>
      </c>
      <c r="AL130" t="str">
        <f t="shared" si="110"/>
        <v>1-0.0031498300130137i</v>
      </c>
      <c r="AM130">
        <f t="shared" si="132"/>
        <v>1.0000049607022512</v>
      </c>
      <c r="AN130">
        <f t="shared" si="133"/>
        <v>-3.1498195961373152E-3</v>
      </c>
      <c r="AO130" s="58" t="str">
        <f t="shared" si="134"/>
        <v>0.576703468931734-6.11966921567566i</v>
      </c>
      <c r="AP130">
        <f t="shared" si="135"/>
        <v>15.772957279264324</v>
      </c>
      <c r="AQ130" s="60">
        <f t="shared" si="136"/>
        <v>-84.61647728499706</v>
      </c>
      <c r="AR130" t="str">
        <f t="shared" si="111"/>
        <v>-1.94444444444444</v>
      </c>
      <c r="AS130" t="str">
        <f t="shared" si="112"/>
        <v>1+0.0463839676764133i</v>
      </c>
      <c r="AT130">
        <f t="shared" si="137"/>
        <v>1.0010751582460762</v>
      </c>
      <c r="AU130">
        <f t="shared" si="138"/>
        <v>4.6350745941628191E-2</v>
      </c>
      <c r="AV130" t="str">
        <f t="shared" si="113"/>
        <v>1+0.0463839676764133i</v>
      </c>
      <c r="AW130">
        <f t="shared" si="139"/>
        <v>1.0010751582460762</v>
      </c>
      <c r="AX130">
        <f t="shared" si="140"/>
        <v>4.6350745941628191E-2</v>
      </c>
      <c r="AY130" t="str">
        <f t="shared" si="114"/>
        <v>1-0.0458705816050751i</v>
      </c>
      <c r="AZ130">
        <f t="shared" si="141"/>
        <v>1.0010515022998505</v>
      </c>
      <c r="BA130">
        <f t="shared" si="142"/>
        <v>-4.5838449906765777E-2</v>
      </c>
      <c r="BB130" s="58" t="str">
        <f t="shared" si="143"/>
        <v>-1.93614177290715+0.178998734976902i</v>
      </c>
      <c r="BC130">
        <f t="shared" si="144"/>
        <v>5.7757055302546707</v>
      </c>
      <c r="BD130" s="60">
        <f t="shared" si="145"/>
        <v>174.71794816118205</v>
      </c>
      <c r="BE130" s="58" t="str">
        <f t="shared" si="146"/>
        <v>0.139810520958945+8.06144084311189i</v>
      </c>
      <c r="BF130" s="37">
        <f t="shared" si="147"/>
        <v>18.129559518188266</v>
      </c>
      <c r="BG130" s="60">
        <f t="shared" si="148"/>
        <v>89.006412137080574</v>
      </c>
      <c r="BH130" s="58" t="str">
        <f t="shared" si="149"/>
        <v>-0.0211666286961578+11.9517763962392i</v>
      </c>
      <c r="BI130" s="37">
        <f t="shared" si="150"/>
        <v>21.548662809519033</v>
      </c>
      <c r="BJ130" s="60">
        <f t="shared" si="151"/>
        <v>90.10147087618499</v>
      </c>
      <c r="BK130">
        <f t="shared" si="152"/>
        <v>18.129559518188266</v>
      </c>
      <c r="BL130" s="60">
        <f t="shared" si="153"/>
        <v>89.006412137080574</v>
      </c>
      <c r="BN130">
        <f t="shared" si="154"/>
        <v>0</v>
      </c>
      <c r="BO130">
        <f t="shared" si="155"/>
        <v>0</v>
      </c>
    </row>
    <row r="131" spans="13:67" ht="14.25" x14ac:dyDescent="0.2">
      <c r="M131" s="66">
        <v>13</v>
      </c>
      <c r="N131" s="36">
        <f t="shared" si="156"/>
        <v>134.89628825916537</v>
      </c>
      <c r="O131" s="91" t="str">
        <f t="shared" si="103"/>
        <v>99.7340425531915</v>
      </c>
      <c r="P131" s="67" t="str">
        <f t="shared" si="104"/>
        <v>1+24.6158400800609i</v>
      </c>
      <c r="Q131" s="67">
        <f t="shared" si="116"/>
        <v>24.636143830703954</v>
      </c>
      <c r="R131" s="67">
        <f t="shared" si="117"/>
        <v>1.5301944041721016</v>
      </c>
      <c r="S131" s="67" t="str">
        <f t="shared" si="105"/>
        <v>1+0.0462777793505146i</v>
      </c>
      <c r="T131" s="67">
        <f t="shared" si="118"/>
        <v>1.0010702437199974</v>
      </c>
      <c r="U131" s="67">
        <f t="shared" si="119"/>
        <v>4.6244785066128613E-2</v>
      </c>
      <c r="V131" t="str">
        <f t="shared" si="106"/>
        <v>1-0.0047803420428004i</v>
      </c>
      <c r="W131" s="67">
        <f t="shared" si="120"/>
        <v>1.000011425769749</v>
      </c>
      <c r="X131" s="67">
        <f t="shared" si="121"/>
        <v>-4.7803056303666264E-3</v>
      </c>
      <c r="Y131" t="str">
        <f t="shared" si="107"/>
        <v>0.999995693015719+0.00738914481974968i</v>
      </c>
      <c r="Z131" s="67">
        <f t="shared" si="122"/>
        <v>1.0000229924912505</v>
      </c>
      <c r="AA131" s="67">
        <f t="shared" si="123"/>
        <v>7.3890421663766314E-3</v>
      </c>
      <c r="AB131" s="92" t="str">
        <f t="shared" si="124"/>
        <v>0.302353810327776-4.0412724202111i</v>
      </c>
      <c r="AC131" s="37">
        <f t="shared" si="125"/>
        <v>12.154604419882563</v>
      </c>
      <c r="AD131" s="60">
        <f t="shared" si="126"/>
        <v>-85.721302452998529</v>
      </c>
      <c r="AE131" t="str">
        <f t="shared" si="127"/>
        <v>118.329284003155</v>
      </c>
      <c r="AF131" t="str">
        <f t="shared" si="108"/>
        <v>1+19.6926720640488i</v>
      </c>
      <c r="AG131">
        <f t="shared" si="128"/>
        <v>19.718045872301037</v>
      </c>
      <c r="AH131">
        <f t="shared" si="129"/>
        <v>1.5200595970336352</v>
      </c>
      <c r="AI131" t="str">
        <f t="shared" si="109"/>
        <v>1+0.0462777793505146i</v>
      </c>
      <c r="AJ131">
        <f t="shared" si="130"/>
        <v>1.0010702437199974</v>
      </c>
      <c r="AK131">
        <f t="shared" si="131"/>
        <v>4.6244785066128613E-2</v>
      </c>
      <c r="AL131" t="str">
        <f t="shared" si="110"/>
        <v>1-0.00322319897919251i</v>
      </c>
      <c r="AM131">
        <f t="shared" si="132"/>
        <v>1.0000051944923383</v>
      </c>
      <c r="AN131">
        <f t="shared" si="133"/>
        <v>-3.2231878173114947E-3</v>
      </c>
      <c r="AO131" s="58" t="str">
        <f t="shared" si="134"/>
        <v>0.562430091557516-5.98113368360028i</v>
      </c>
      <c r="AP131">
        <f t="shared" si="135"/>
        <v>15.573903447167295</v>
      </c>
      <c r="AQ131" s="60">
        <f t="shared" si="136"/>
        <v>-84.628043568115075</v>
      </c>
      <c r="AR131" t="str">
        <f t="shared" si="111"/>
        <v>-1.94444444444444</v>
      </c>
      <c r="AS131" t="str">
        <f t="shared" si="112"/>
        <v>1+0.0474643890774507i</v>
      </c>
      <c r="AT131">
        <f t="shared" si="137"/>
        <v>1.0011258004019752</v>
      </c>
      <c r="AU131">
        <f t="shared" si="138"/>
        <v>4.7428793508941115E-2</v>
      </c>
      <c r="AV131" t="str">
        <f t="shared" si="113"/>
        <v>1+0.0474643890774507i</v>
      </c>
      <c r="AW131">
        <f t="shared" si="139"/>
        <v>1.0011258004019752</v>
      </c>
      <c r="AX131">
        <f t="shared" si="140"/>
        <v>4.7428793508941115E-2</v>
      </c>
      <c r="AY131" t="str">
        <f t="shared" si="114"/>
        <v>1-0.0448264396913704i</v>
      </c>
      <c r="AZ131">
        <f t="shared" si="141"/>
        <v>1.0010042006382411</v>
      </c>
      <c r="BA131">
        <f t="shared" si="142"/>
        <v>-4.4796450944707404E-2</v>
      </c>
      <c r="BB131" s="58" t="str">
        <f t="shared" si="143"/>
        <v>-1.93594589759654+0.179051010938526i</v>
      </c>
      <c r="BC131">
        <f t="shared" si="144"/>
        <v>5.7748557064693706</v>
      </c>
      <c r="BD131" s="60">
        <f t="shared" si="145"/>
        <v>174.71588272824363</v>
      </c>
      <c r="BE131" s="58" t="str">
        <f t="shared" si="146"/>
        <v>0.138253293590041+7.87782151837802i</v>
      </c>
      <c r="BF131" s="37">
        <f t="shared" si="147"/>
        <v>17.92946012635193</v>
      </c>
      <c r="BG131" s="60">
        <f t="shared" si="148"/>
        <v>88.994580275245099</v>
      </c>
      <c r="BH131" s="58" t="str">
        <f t="shared" si="149"/>
        <v>-0.0179061958285194+11.6798548942181i</v>
      </c>
      <c r="BI131" s="37">
        <f t="shared" si="150"/>
        <v>21.348759153636689</v>
      </c>
      <c r="BJ131" s="60">
        <f t="shared" si="151"/>
        <v>90.087839160128539</v>
      </c>
      <c r="BK131">
        <f t="shared" si="152"/>
        <v>17.92946012635193</v>
      </c>
      <c r="BL131" s="60">
        <f t="shared" si="153"/>
        <v>88.994580275245099</v>
      </c>
      <c r="BN131">
        <f t="shared" si="154"/>
        <v>0</v>
      </c>
      <c r="BO131">
        <f t="shared" si="155"/>
        <v>0</v>
      </c>
    </row>
    <row r="132" spans="13:67" ht="14.25" x14ac:dyDescent="0.2">
      <c r="M132" s="66">
        <v>14</v>
      </c>
      <c r="N132" s="36">
        <f t="shared" si="156"/>
        <v>138.0384264602886</v>
      </c>
      <c r="O132" s="91" t="str">
        <f t="shared" si="103"/>
        <v>99.7340425531915</v>
      </c>
      <c r="P132" s="67" t="str">
        <f t="shared" si="104"/>
        <v>1+25.1892166530301i</v>
      </c>
      <c r="Q132" s="67">
        <f t="shared" si="116"/>
        <v>25.209058601885332</v>
      </c>
      <c r="R132" s="67">
        <f t="shared" si="117"/>
        <v>1.5311176357435512</v>
      </c>
      <c r="S132" s="67" t="str">
        <f t="shared" si="105"/>
        <v>1+0.0473557273076966i</v>
      </c>
      <c r="T132" s="67">
        <f t="shared" si="118"/>
        <v>1.0011206545211426</v>
      </c>
      <c r="U132" s="67">
        <f t="shared" si="119"/>
        <v>4.7320375432080508E-2</v>
      </c>
      <c r="V132" t="str">
        <f t="shared" si="106"/>
        <v>1-0.00489169051310272i</v>
      </c>
      <c r="W132" s="67">
        <f t="shared" si="120"/>
        <v>1.0000119642464664</v>
      </c>
      <c r="X132" s="67">
        <f t="shared" si="121"/>
        <v>-4.8916514965021921E-3</v>
      </c>
      <c r="Y132" t="str">
        <f t="shared" si="107"/>
        <v>0.999995490033804+0.00756126011299749i</v>
      </c>
      <c r="Z132" s="67">
        <f t="shared" si="122"/>
        <v>1.0000240760813932</v>
      </c>
      <c r="AA132" s="67">
        <f t="shared" si="123"/>
        <v>7.5611501180681577E-3</v>
      </c>
      <c r="AB132" s="92" t="str">
        <f t="shared" si="124"/>
        <v>0.294979293038885-3.949663698403i</v>
      </c>
      <c r="AC132" s="37">
        <f t="shared" si="125"/>
        <v>11.955359130427553</v>
      </c>
      <c r="AD132" s="60">
        <f t="shared" si="126"/>
        <v>-85.728813644550215</v>
      </c>
      <c r="AE132" t="str">
        <f t="shared" si="127"/>
        <v>118.329284003155</v>
      </c>
      <c r="AF132" t="str">
        <f t="shared" si="108"/>
        <v>1+20.1513733224241i</v>
      </c>
      <c r="AG132">
        <f t="shared" si="128"/>
        <v>20.176170270388422</v>
      </c>
      <c r="AH132">
        <f t="shared" si="129"/>
        <v>1.5212125920252695</v>
      </c>
      <c r="AI132" t="str">
        <f t="shared" si="109"/>
        <v>1+0.0473557273076966i</v>
      </c>
      <c r="AJ132">
        <f t="shared" si="130"/>
        <v>1.0011206545211426</v>
      </c>
      <c r="AK132">
        <f t="shared" si="131"/>
        <v>4.7320375432080508E-2</v>
      </c>
      <c r="AL132" t="str">
        <f t="shared" si="110"/>
        <v>1-0.00329827692813418i</v>
      </c>
      <c r="AM132">
        <f t="shared" si="132"/>
        <v>1.0000054393005544</v>
      </c>
      <c r="AN132">
        <f t="shared" si="133"/>
        <v>-3.2982649679667029E-3</v>
      </c>
      <c r="AO132" s="58" t="str">
        <f t="shared" si="134"/>
        <v>0.548795891422869-5.8457043274566i</v>
      </c>
      <c r="AP132">
        <f t="shared" si="135"/>
        <v>15.374845722899394</v>
      </c>
      <c r="AQ132" s="60">
        <f t="shared" si="136"/>
        <v>-84.636780130351866</v>
      </c>
      <c r="AR132" t="str">
        <f t="shared" si="111"/>
        <v>-1.94444444444444</v>
      </c>
      <c r="AS132" t="str">
        <f t="shared" si="112"/>
        <v>1+0.0485699767258425i</v>
      </c>
      <c r="AT132">
        <f t="shared" si="137"/>
        <v>1.0011788265036117</v>
      </c>
      <c r="AU132">
        <f t="shared" si="138"/>
        <v>4.8531837812074027E-2</v>
      </c>
      <c r="AV132" t="str">
        <f t="shared" si="113"/>
        <v>1+0.0485699767258425i</v>
      </c>
      <c r="AW132">
        <f t="shared" si="139"/>
        <v>1.0011788265036117</v>
      </c>
      <c r="AX132">
        <f t="shared" si="140"/>
        <v>4.8531837812074027E-2</v>
      </c>
      <c r="AY132" t="str">
        <f t="shared" si="114"/>
        <v>1-0.043806065349338i</v>
      </c>
      <c r="AZ132">
        <f t="shared" si="141"/>
        <v>1.0009590258154379</v>
      </c>
      <c r="BA132">
        <f t="shared" si="142"/>
        <v>-4.3778076706299955E-2</v>
      </c>
      <c r="BB132" s="58" t="str">
        <f t="shared" si="143"/>
        <v>-1.93574083344077+0.179197347628971i</v>
      </c>
      <c r="BC132">
        <f t="shared" si="144"/>
        <v>5.774003658988681</v>
      </c>
      <c r="BD132" s="60">
        <f t="shared" si="145"/>
        <v>174.71103149088378</v>
      </c>
      <c r="BE132" s="58" t="str">
        <f t="shared" si="146"/>
        <v>0.136765796225389+7.69838480627541i</v>
      </c>
      <c r="BF132" s="37">
        <f t="shared" si="147"/>
        <v>17.729362789416228</v>
      </c>
      <c r="BG132" s="60">
        <f t="shared" si="148"/>
        <v>88.982217846333569</v>
      </c>
      <c r="BH132" s="58" t="str">
        <f t="shared" si="149"/>
        <v>-0.0147919057483543+11.4141113350118i</v>
      </c>
      <c r="BI132" s="37">
        <f t="shared" si="150"/>
        <v>21.148849381888066</v>
      </c>
      <c r="BJ132" s="60">
        <f t="shared" si="151"/>
        <v>90.074251360531917</v>
      </c>
      <c r="BK132">
        <f t="shared" si="152"/>
        <v>17.729362789416228</v>
      </c>
      <c r="BL132" s="60">
        <f t="shared" si="153"/>
        <v>88.982217846333569</v>
      </c>
      <c r="BN132">
        <f t="shared" si="154"/>
        <v>0</v>
      </c>
      <c r="BO132">
        <f t="shared" si="155"/>
        <v>0</v>
      </c>
    </row>
    <row r="133" spans="13:67" ht="14.25" x14ac:dyDescent="0.2">
      <c r="M133" s="66">
        <v>15</v>
      </c>
      <c r="N133" s="36">
        <f t="shared" si="156"/>
        <v>141.25375446227542</v>
      </c>
      <c r="O133" s="91" t="str">
        <f t="shared" si="103"/>
        <v>99.7340425531915</v>
      </c>
      <c r="P133" s="67" t="str">
        <f t="shared" si="104"/>
        <v>1+25.7759488820874i</v>
      </c>
      <c r="Q133" s="67">
        <f t="shared" si="116"/>
        <v>25.79533951650923</v>
      </c>
      <c r="R133" s="67">
        <f t="shared" si="117"/>
        <v>1.5320199173980782</v>
      </c>
      <c r="S133" s="67" t="str">
        <f t="shared" si="105"/>
        <v>1+0.0484587838983242i</v>
      </c>
      <c r="T133" s="67">
        <f t="shared" si="118"/>
        <v>1.0011734383896251</v>
      </c>
      <c r="U133" s="67">
        <f t="shared" si="119"/>
        <v>4.842090607859955E-2</v>
      </c>
      <c r="V133" t="str">
        <f t="shared" si="106"/>
        <v>1-0.00500563262246426i</v>
      </c>
      <c r="W133" s="67">
        <f t="shared" si="120"/>
        <v>1.000012528100499</v>
      </c>
      <c r="X133" s="67">
        <f t="shared" si="121"/>
        <v>-5.0055908154518569E-3</v>
      </c>
      <c r="Y133" t="str">
        <f t="shared" si="107"/>
        <v>0.999995277485645+0.00773738448644231i</v>
      </c>
      <c r="Z133" s="67">
        <f t="shared" si="122"/>
        <v>1.0000252107383509</v>
      </c>
      <c r="AA133" s="67">
        <f t="shared" si="123"/>
        <v>7.7372666249109785E-3</v>
      </c>
      <c r="AB133" s="92" t="str">
        <f t="shared" si="124"/>
        <v>0.287935603158394-3.8601228219018i</v>
      </c>
      <c r="AC133" s="37">
        <f t="shared" si="125"/>
        <v>11.756119711030133</v>
      </c>
      <c r="AD133" s="60">
        <f t="shared" si="126"/>
        <v>-85.734073788657454</v>
      </c>
      <c r="AE133" t="str">
        <f t="shared" si="127"/>
        <v>118.329284003155</v>
      </c>
      <c r="AF133" t="str">
        <f t="shared" si="108"/>
        <v>1+20.6207591056699i</v>
      </c>
      <c r="AG133">
        <f t="shared" si="128"/>
        <v>20.644992276435179</v>
      </c>
      <c r="AH133">
        <f t="shared" si="129"/>
        <v>1.5223394691538048</v>
      </c>
      <c r="AI133" t="str">
        <f t="shared" si="109"/>
        <v>1+0.0484587838983242i</v>
      </c>
      <c r="AJ133">
        <f t="shared" si="130"/>
        <v>1.0011734383896251</v>
      </c>
      <c r="AK133">
        <f t="shared" si="131"/>
        <v>4.842090607859955E-2</v>
      </c>
      <c r="AL133" t="str">
        <f t="shared" si="110"/>
        <v>1-0.003375103667161i</v>
      </c>
      <c r="AM133">
        <f t="shared" si="132"/>
        <v>1.0000056956461618</v>
      </c>
      <c r="AN133">
        <f t="shared" si="133"/>
        <v>-3.3750908516145964E-3</v>
      </c>
      <c r="AO133" s="58" t="str">
        <f t="shared" si="134"/>
        <v>0.535772384043705-5.71331366485497i</v>
      </c>
      <c r="AP133">
        <f t="shared" si="135"/>
        <v>15.175786091034485</v>
      </c>
      <c r="AQ133" s="60">
        <f t="shared" si="136"/>
        <v>-84.642691471466819</v>
      </c>
      <c r="AR133" t="str">
        <f t="shared" si="111"/>
        <v>-1.94444444444444</v>
      </c>
      <c r="AS133" t="str">
        <f t="shared" si="112"/>
        <v>1+0.0497013168187939i</v>
      </c>
      <c r="AT133">
        <f t="shared" si="137"/>
        <v>1.0012343486384805</v>
      </c>
      <c r="AU133">
        <f t="shared" si="138"/>
        <v>4.9660452956962496E-2</v>
      </c>
      <c r="AV133" t="str">
        <f t="shared" si="113"/>
        <v>1+0.0497013168187939i</v>
      </c>
      <c r="AW133">
        <f t="shared" si="139"/>
        <v>1.0012343486384805</v>
      </c>
      <c r="AX133">
        <f t="shared" si="140"/>
        <v>4.9660452956962496E-2</v>
      </c>
      <c r="AY133" t="str">
        <f t="shared" si="114"/>
        <v>1-0.0428089175629957i</v>
      </c>
      <c r="AZ133">
        <f t="shared" si="141"/>
        <v>1.000915882291272</v>
      </c>
      <c r="BA133">
        <f t="shared" si="142"/>
        <v>-4.2782795689986899E-2</v>
      </c>
      <c r="BB133" s="58" t="str">
        <f t="shared" si="143"/>
        <v>-1.93552615146589+0.179437760393114i</v>
      </c>
      <c r="BC133">
        <f t="shared" si="144"/>
        <v>5.7731475921220969</v>
      </c>
      <c r="BD133" s="60">
        <f t="shared" si="145"/>
        <v>174.70339200805137</v>
      </c>
      <c r="BE133" s="58" t="str">
        <f t="shared" si="146"/>
        <v>0.13534490415323+7.52303518942942i</v>
      </c>
      <c r="BF133" s="37">
        <f t="shared" si="147"/>
        <v>17.529267303152224</v>
      </c>
      <c r="BG133" s="60">
        <f t="shared" si="148"/>
        <v>88.969318219393898</v>
      </c>
      <c r="BH133" s="58" t="str">
        <f t="shared" si="149"/>
        <v>-0.0118172521048669+11.1544058065275i</v>
      </c>
      <c r="BI133" s="37">
        <f t="shared" si="150"/>
        <v>20.948933683156579</v>
      </c>
      <c r="BJ133" s="60">
        <f t="shared" si="151"/>
        <v>90.06070053658452</v>
      </c>
      <c r="BK133">
        <f t="shared" si="152"/>
        <v>17.529267303152224</v>
      </c>
      <c r="BL133" s="60">
        <f t="shared" si="153"/>
        <v>88.969318219393898</v>
      </c>
      <c r="BN133">
        <f t="shared" si="154"/>
        <v>0</v>
      </c>
      <c r="BO133">
        <f t="shared" si="155"/>
        <v>0</v>
      </c>
    </row>
    <row r="134" spans="13:67" ht="14.25" x14ac:dyDescent="0.2">
      <c r="M134" s="66">
        <v>16</v>
      </c>
      <c r="N134" s="36">
        <f t="shared" si="156"/>
        <v>144.54397707459285</v>
      </c>
      <c r="O134" s="91" t="str">
        <f t="shared" si="103"/>
        <v>99.7340425531915</v>
      </c>
      <c r="P134" s="67" t="str">
        <f t="shared" si="104"/>
        <v>1+26.376347860427i</v>
      </c>
      <c r="Q134" s="67">
        <f t="shared" si="116"/>
        <v>26.395297430683598</v>
      </c>
      <c r="R134" s="67">
        <f t="shared" si="117"/>
        <v>1.5329017216575391</v>
      </c>
      <c r="S134" s="67" t="str">
        <f t="shared" si="105"/>
        <v>1+0.0495875339776027i</v>
      </c>
      <c r="T134" s="67">
        <f t="shared" si="118"/>
        <v>1.0012287069026637</v>
      </c>
      <c r="U134" s="67">
        <f t="shared" si="119"/>
        <v>4.9546949852123087E-2</v>
      </c>
      <c r="V134" t="str">
        <f t="shared" si="106"/>
        <v>1-0.00512222878449961i</v>
      </c>
      <c r="W134" s="67">
        <f t="shared" si="120"/>
        <v>1.0000131185278125</v>
      </c>
      <c r="X134" s="67">
        <f t="shared" si="121"/>
        <v>-5.1221839875104647E-3</v>
      </c>
      <c r="Y134" t="str">
        <f t="shared" si="107"/>
        <v>0.9999950549204+0.00791761132355824i</v>
      </c>
      <c r="Z134" s="67">
        <f t="shared" si="122"/>
        <v>1.0000263988687121</v>
      </c>
      <c r="AA134" s="67">
        <f t="shared" si="123"/>
        <v>7.9174850328303896E-3</v>
      </c>
      <c r="AB134" s="92" t="str">
        <f t="shared" si="124"/>
        <v>0.281207937838531-3.77260406632596i</v>
      </c>
      <c r="AC134" s="37">
        <f t="shared" si="125"/>
        <v>11.55688776530797</v>
      </c>
      <c r="AD134" s="60">
        <f t="shared" si="126"/>
        <v>-85.737085946154693</v>
      </c>
      <c r="AE134" t="str">
        <f t="shared" si="127"/>
        <v>118.329284003155</v>
      </c>
      <c r="AF134" t="str">
        <f t="shared" si="108"/>
        <v>1+21.1010782883416i</v>
      </c>
      <c r="AG134">
        <f t="shared" si="128"/>
        <v>21.124760470375072</v>
      </c>
      <c r="AH134">
        <f t="shared" si="129"/>
        <v>1.523440814450169</v>
      </c>
      <c r="AI134" t="str">
        <f t="shared" si="109"/>
        <v>1+0.0495875339776027i</v>
      </c>
      <c r="AJ134">
        <f t="shared" si="130"/>
        <v>1.0012287069026637</v>
      </c>
      <c r="AK134">
        <f t="shared" si="131"/>
        <v>4.9546949852123087E-2</v>
      </c>
      <c r="AL134" t="str">
        <f t="shared" si="110"/>
        <v>1-0.00345371993082693i</v>
      </c>
      <c r="AM134">
        <f t="shared" si="132"/>
        <v>1.0000059640728953</v>
      </c>
      <c r="AN134">
        <f t="shared" si="133"/>
        <v>-3.4537061987259744E-3</v>
      </c>
      <c r="AO134" s="58" t="str">
        <f t="shared" si="134"/>
        <v>0.523332342159432-5.58389553823768i</v>
      </c>
      <c r="AP134">
        <f t="shared" si="135"/>
        <v>14.976726532219772</v>
      </c>
      <c r="AQ134" s="60">
        <f t="shared" si="136"/>
        <v>-84.645780680559625</v>
      </c>
      <c r="AR134" t="str">
        <f t="shared" si="111"/>
        <v>-1.94444444444444</v>
      </c>
      <c r="AS134" t="str">
        <f t="shared" si="112"/>
        <v>1+0.0508590092077974i</v>
      </c>
      <c r="AT134">
        <f t="shared" si="137"/>
        <v>1.0012924841511588</v>
      </c>
      <c r="AU134">
        <f t="shared" si="138"/>
        <v>5.081522584297328E-2</v>
      </c>
      <c r="AV134" t="str">
        <f t="shared" si="113"/>
        <v>1+0.0508590092077974i</v>
      </c>
      <c r="AW134">
        <f t="shared" si="139"/>
        <v>1.0012924841511588</v>
      </c>
      <c r="AX134">
        <f t="shared" si="140"/>
        <v>5.081522584297328E-2</v>
      </c>
      <c r="AY134" t="str">
        <f t="shared" si="114"/>
        <v>1-0.0418344676313883i</v>
      </c>
      <c r="AZ134">
        <f t="shared" si="141"/>
        <v>1.0008746788094909</v>
      </c>
      <c r="BA134">
        <f t="shared" si="142"/>
        <v>-4.1810088076369399E-2</v>
      </c>
      <c r="BB134" s="58" t="str">
        <f t="shared" si="143"/>
        <v>-1.93530140287277+0.179772310040713i</v>
      </c>
      <c r="BC134">
        <f t="shared" si="144"/>
        <v>5.77228570187164</v>
      </c>
      <c r="BD134" s="60">
        <f t="shared" si="145"/>
        <v>174.69296043634731</v>
      </c>
      <c r="BE134" s="58" t="str">
        <f t="shared" si="146"/>
        <v>0.133987631274537+7.35167934263117i</v>
      </c>
      <c r="BF134" s="37">
        <f t="shared" si="147"/>
        <v>17.329173467179615</v>
      </c>
      <c r="BG134" s="60">
        <f t="shared" si="148"/>
        <v>88.955874490192627</v>
      </c>
      <c r="BH134" s="58" t="str">
        <f t="shared" si="149"/>
        <v>-0.0089760160148229+10.9006015327154i</v>
      </c>
      <c r="BI134" s="37">
        <f t="shared" si="150"/>
        <v>20.74901223409141</v>
      </c>
      <c r="BJ134" s="60">
        <f t="shared" si="151"/>
        <v>90.047179755787681</v>
      </c>
      <c r="BK134">
        <f t="shared" si="152"/>
        <v>17.329173467179615</v>
      </c>
      <c r="BL134" s="60">
        <f t="shared" si="153"/>
        <v>88.955874490192627</v>
      </c>
      <c r="BN134">
        <f t="shared" si="154"/>
        <v>0</v>
      </c>
      <c r="BO134">
        <f t="shared" si="155"/>
        <v>0</v>
      </c>
    </row>
    <row r="135" spans="13:67" ht="14.25" x14ac:dyDescent="0.2">
      <c r="M135" s="66">
        <v>17</v>
      </c>
      <c r="N135" s="36">
        <f t="shared" si="156"/>
        <v>147.91083881682084</v>
      </c>
      <c r="O135" s="91" t="str">
        <f t="shared" si="103"/>
        <v>99.7340425531915</v>
      </c>
      <c r="P135" s="67" t="str">
        <f t="shared" si="104"/>
        <v>1+26.9907319275344i</v>
      </c>
      <c r="Q135" s="67">
        <f t="shared" si="116"/>
        <v>27.009250452095571</v>
      </c>
      <c r="R135" s="67">
        <f t="shared" si="117"/>
        <v>1.5337635105777159</v>
      </c>
      <c r="S135" s="67" t="str">
        <f t="shared" si="105"/>
        <v>1+0.0507425760237646i</v>
      </c>
      <c r="T135" s="67">
        <f t="shared" si="118"/>
        <v>1.0012865768707417</v>
      </c>
      <c r="U135" s="67">
        <f t="shared" si="119"/>
        <v>5.0699092367115742E-2</v>
      </c>
      <c r="V135" t="str">
        <f t="shared" si="106"/>
        <v>1-0.00524154082003722i</v>
      </c>
      <c r="W135" s="67">
        <f t="shared" si="120"/>
        <v>1.0000137367807345</v>
      </c>
      <c r="X135" s="67">
        <f t="shared" si="121"/>
        <v>-5.2414928192341462E-3</v>
      </c>
      <c r="Y135" t="str">
        <f t="shared" si="107"/>
        <v>0.999994821865979+0.00810203618299989i</v>
      </c>
      <c r="Z135" s="67">
        <f t="shared" si="122"/>
        <v>1.0000276429924733</v>
      </c>
      <c r="AA135" s="67">
        <f t="shared" si="123"/>
        <v>8.1019008602469921E-3</v>
      </c>
      <c r="AB135" s="92" t="str">
        <f t="shared" si="124"/>
        <v>0.274782152475262-3.6870626631149i</v>
      </c>
      <c r="AC135" s="37">
        <f t="shared" si="125"/>
        <v>11.357664912354693</v>
      </c>
      <c r="AD135" s="60">
        <f t="shared" si="126"/>
        <v>-85.737852051708074</v>
      </c>
      <c r="AE135" t="str">
        <f t="shared" si="127"/>
        <v>118.329284003155</v>
      </c>
      <c r="AF135" t="str">
        <f t="shared" si="108"/>
        <v>1+21.5925855420275i</v>
      </c>
      <c r="AG135">
        <f t="shared" si="128"/>
        <v>21.615729235669452</v>
      </c>
      <c r="AH135">
        <f t="shared" si="129"/>
        <v>1.5245172011690256</v>
      </c>
      <c r="AI135" t="str">
        <f t="shared" si="109"/>
        <v>1+0.0507425760237646i</v>
      </c>
      <c r="AJ135">
        <f t="shared" si="130"/>
        <v>1.0012865768707417</v>
      </c>
      <c r="AK135">
        <f t="shared" si="131"/>
        <v>5.0699092367115742E-2</v>
      </c>
      <c r="AL135" t="str">
        <f t="shared" si="110"/>
        <v>1-0.00353416740251557i</v>
      </c>
      <c r="AM135">
        <f t="shared" si="132"/>
        <v>1.0000062451501135</v>
      </c>
      <c r="AN135">
        <f t="shared" si="133"/>
        <v>-3.5341526883092577E-3</v>
      </c>
      <c r="AO135" s="58" t="str">
        <f t="shared" si="134"/>
        <v>0.511449741312854-5.45738509866486i</v>
      </c>
      <c r="AP135">
        <f t="shared" si="135"/>
        <v>14.77766902725943</v>
      </c>
      <c r="AQ135" s="60">
        <f t="shared" si="136"/>
        <v>-84.646049437497126</v>
      </c>
      <c r="AR135" t="str">
        <f t="shared" si="111"/>
        <v>-1.94444444444444</v>
      </c>
      <c r="AS135" t="str">
        <f t="shared" si="112"/>
        <v>1+0.0520436677166815i</v>
      </c>
      <c r="AT135">
        <f t="shared" si="137"/>
        <v>1.0013533558886216</v>
      </c>
      <c r="AU135">
        <f t="shared" si="138"/>
        <v>5.199675641985959E-2</v>
      </c>
      <c r="AV135" t="str">
        <f t="shared" si="113"/>
        <v>1+0.0520436677166815i</v>
      </c>
      <c r="AW135">
        <f t="shared" si="139"/>
        <v>1.0013533558886216</v>
      </c>
      <c r="AX135">
        <f t="shared" si="140"/>
        <v>5.199675641985959E-2</v>
      </c>
      <c r="AY135" t="str">
        <f t="shared" si="114"/>
        <v>1-0.0408821988882637i</v>
      </c>
      <c r="AZ135">
        <f t="shared" si="141"/>
        <v>1.0008353282063636</v>
      </c>
      <c r="BA135">
        <f t="shared" si="142"/>
        <v>-4.0859445489887493E-2</v>
      </c>
      <c r="BB135" s="58" t="str">
        <f t="shared" si="143"/>
        <v>-1.93506611814025+0.180201102567257i</v>
      </c>
      <c r="BC135">
        <f t="shared" si="144"/>
        <v>5.7714161722051163</v>
      </c>
      <c r="BD135" s="60">
        <f t="shared" si="145"/>
        <v>174.67973152895689</v>
      </c>
      <c r="BE135" s="58" t="str">
        <f t="shared" si="146"/>
        <v>0.132691124003344+7.18422608169545i</v>
      </c>
      <c r="BF135" s="37">
        <f t="shared" si="147"/>
        <v>17.129081084559811</v>
      </c>
      <c r="BG135" s="60">
        <f t="shared" si="148"/>
        <v>88.941879477248804</v>
      </c>
      <c r="BH135" s="58" t="str">
        <f t="shared" si="149"/>
        <v>-0.00626225363257316+10.6525648053622i</v>
      </c>
      <c r="BI135" s="37">
        <f t="shared" si="150"/>
        <v>20.549085199464571</v>
      </c>
      <c r="BJ135" s="60">
        <f t="shared" si="151"/>
        <v>90.033682091459738</v>
      </c>
      <c r="BK135">
        <f t="shared" si="152"/>
        <v>17.129081084559811</v>
      </c>
      <c r="BL135" s="60">
        <f t="shared" si="153"/>
        <v>88.941879477248804</v>
      </c>
      <c r="BN135">
        <f t="shared" si="154"/>
        <v>0</v>
      </c>
      <c r="BO135">
        <f t="shared" si="155"/>
        <v>0</v>
      </c>
    </row>
    <row r="136" spans="13:67" ht="14.25" x14ac:dyDescent="0.2">
      <c r="M136" s="66">
        <v>18</v>
      </c>
      <c r="N136" s="36">
        <f t="shared" si="156"/>
        <v>151.3561248436209</v>
      </c>
      <c r="O136" s="91" t="str">
        <f t="shared" si="103"/>
        <v>99.7340425531915</v>
      </c>
      <c r="P136" s="67" t="str">
        <f t="shared" si="104"/>
        <v>1+27.6194268379743i</v>
      </c>
      <c r="Q136" s="67">
        <f t="shared" si="116"/>
        <v>27.637524108686272</v>
      </c>
      <c r="R136" s="67">
        <f t="shared" si="117"/>
        <v>1.5346057359673106</v>
      </c>
      <c r="S136" s="67" t="str">
        <f t="shared" si="105"/>
        <v>1+0.0519245224553917i</v>
      </c>
      <c r="T136" s="67">
        <f t="shared" si="118"/>
        <v>1.001347170581822</v>
      </c>
      <c r="U136" s="67">
        <f t="shared" si="119"/>
        <v>5.1877932262711472E-2</v>
      </c>
      <c r="V136" t="str">
        <f t="shared" si="106"/>
        <v>1-0.0053636319898976i</v>
      </c>
      <c r="W136" s="67">
        <f t="shared" si="120"/>
        <v>1.0000143841706093</v>
      </c>
      <c r="X136" s="67">
        <f t="shared" si="121"/>
        <v>-5.3635805561503963E-3</v>
      </c>
      <c r="Y136" t="str">
        <f t="shared" si="107"/>
        <v>0.999994577828041+0.0082907568492689i</v>
      </c>
      <c r="Z136" s="67">
        <f t="shared" si="122"/>
        <v>1.0000289457483795</v>
      </c>
      <c r="AA136" s="67">
        <f t="shared" si="123"/>
        <v>8.2906118485512152E-3</v>
      </c>
      <c r="AB136" s="92" t="str">
        <f t="shared" si="124"/>
        <v>0.268644731764722-3.60345478349523i</v>
      </c>
      <c r="AC136" s="37">
        <f t="shared" si="125"/>
        <v>11.158452790089573</v>
      </c>
      <c r="AD136" s="60">
        <f t="shared" si="126"/>
        <v>-85.736372916424514</v>
      </c>
      <c r="AE136" t="str">
        <f t="shared" si="127"/>
        <v>118.329284003155</v>
      </c>
      <c r="AF136" t="str">
        <f t="shared" si="108"/>
        <v>1+22.0955414703794i</v>
      </c>
      <c r="AG136">
        <f t="shared" si="128"/>
        <v>22.118158894204004</v>
      </c>
      <c r="AH136">
        <f t="shared" si="129"/>
        <v>1.5255691900423014</v>
      </c>
      <c r="AI136" t="str">
        <f t="shared" si="109"/>
        <v>1+0.0519245224553917i</v>
      </c>
      <c r="AJ136">
        <f t="shared" si="130"/>
        <v>1.001347170581822</v>
      </c>
      <c r="AK136">
        <f t="shared" si="131"/>
        <v>5.1877932262711472E-2</v>
      </c>
      <c r="AL136" t="str">
        <f t="shared" si="110"/>
        <v>1-0.00361648873654125i</v>
      </c>
      <c r="AM136">
        <f t="shared" si="132"/>
        <v>1.0000065394740083</v>
      </c>
      <c r="AN136">
        <f t="shared" si="133"/>
        <v>-3.616472969990694E-3</v>
      </c>
      <c r="AO136" s="58" t="str">
        <f t="shared" si="134"/>
        <v>0.500099707691105-5.33371878906158i</v>
      </c>
      <c r="AP136">
        <f t="shared" si="135"/>
        <v>14.578615561198085</v>
      </c>
      <c r="AQ136" s="60">
        <f t="shared" si="136"/>
        <v>-84.64349801399996</v>
      </c>
      <c r="AR136" t="str">
        <f t="shared" si="111"/>
        <v>-1.94444444444444</v>
      </c>
      <c r="AS136" t="str">
        <f t="shared" si="112"/>
        <v>1+0.0532559204670682i</v>
      </c>
      <c r="AT136">
        <f t="shared" si="137"/>
        <v>1.0014170924568817</v>
      </c>
      <c r="AU136">
        <f t="shared" si="138"/>
        <v>5.3205657947813248E-2</v>
      </c>
      <c r="AV136" t="str">
        <f t="shared" si="113"/>
        <v>1+0.0532559204670682i</v>
      </c>
      <c r="AW136">
        <f t="shared" si="139"/>
        <v>1.0014170924568817</v>
      </c>
      <c r="AX136">
        <f t="shared" si="140"/>
        <v>5.3205657947813248E-2</v>
      </c>
      <c r="AY136" t="str">
        <f t="shared" si="114"/>
        <v>1-0.0399516064281296i</v>
      </c>
      <c r="AZ136">
        <f t="shared" si="141"/>
        <v>1.0007977472277745</v>
      </c>
      <c r="BA136">
        <f t="shared" si="142"/>
        <v>-3.9930370764103953E-2</v>
      </c>
      <c r="BB136" s="58" t="str">
        <f t="shared" si="143"/>
        <v>-1.93481980608954+0.18072428887702i</v>
      </c>
      <c r="BC136">
        <f t="shared" si="144"/>
        <v>5.7705371713062732</v>
      </c>
      <c r="BD136" s="60">
        <f t="shared" si="145"/>
        <v>174.66369863419789</v>
      </c>
      <c r="BE136" s="58" t="str">
        <f t="shared" si="146"/>
        <v>0.131452655427676+7.0205863135634i</v>
      </c>
      <c r="BF136" s="37">
        <f t="shared" si="147"/>
        <v>16.928989961395843</v>
      </c>
      <c r="BG136" s="60">
        <f t="shared" si="148"/>
        <v>88.9273257177734</v>
      </c>
      <c r="BH136" s="58" t="str">
        <f t="shared" si="149"/>
        <v>-0.00367028423718518+10.4101649172283i</v>
      </c>
      <c r="BI136" s="37">
        <f t="shared" si="150"/>
        <v>20.349152732504322</v>
      </c>
      <c r="BJ136" s="60">
        <f t="shared" si="151"/>
        <v>90.020200620197926</v>
      </c>
      <c r="BK136">
        <f t="shared" si="152"/>
        <v>16.928989961395843</v>
      </c>
      <c r="BL136" s="60">
        <f t="shared" si="153"/>
        <v>88.9273257177734</v>
      </c>
      <c r="BN136">
        <f t="shared" si="154"/>
        <v>0</v>
      </c>
      <c r="BO136">
        <f t="shared" si="155"/>
        <v>0</v>
      </c>
    </row>
    <row r="137" spans="13:67" ht="14.25" x14ac:dyDescent="0.2">
      <c r="M137" s="66">
        <v>19</v>
      </c>
      <c r="N137" s="36">
        <f t="shared" si="156"/>
        <v>154.8816618912482</v>
      </c>
      <c r="O137" s="91" t="str">
        <f t="shared" si="103"/>
        <v>99.7340425531915</v>
      </c>
      <c r="P137" s="67" t="str">
        <f t="shared" si="104"/>
        <v>1+28.2627659341101i</v>
      </c>
      <c r="Q137" s="67">
        <f t="shared" si="116"/>
        <v>28.280451521259248</v>
      </c>
      <c r="R137" s="67">
        <f t="shared" si="117"/>
        <v>1.5354288396032267</v>
      </c>
      <c r="S137" s="67" t="str">
        <f t="shared" si="105"/>
        <v>1+0.053133999956127i</v>
      </c>
      <c r="T137" s="67">
        <f t="shared" si="118"/>
        <v>1.001410616056839</v>
      </c>
      <c r="U137" s="67">
        <f t="shared" si="119"/>
        <v>5.3084081462462553E-2</v>
      </c>
      <c r="V137" t="str">
        <f t="shared" si="106"/>
        <v>1-0.00548856702843509i</v>
      </c>
      <c r="W137" s="67">
        <f t="shared" si="120"/>
        <v>1.0000150620705799</v>
      </c>
      <c r="X137" s="67">
        <f t="shared" si="121"/>
        <v>-5.4885119162268528E-3</v>
      </c>
      <c r="Y137" t="str">
        <f t="shared" si="107"/>
        <v>0.999994322288949+0.00848387338456053i</v>
      </c>
      <c r="Z137" s="67">
        <f t="shared" si="122"/>
        <v>1.0000303098995249</v>
      </c>
      <c r="AA137" s="67">
        <f t="shared" si="123"/>
        <v>8.483718013744132E-3</v>
      </c>
      <c r="AB137" s="92" t="str">
        <f t="shared" si="124"/>
        <v>0.262782762001846-3.5217375224376i</v>
      </c>
      <c r="AC137" s="37">
        <f t="shared" si="125"/>
        <v>10.959253058642899</v>
      </c>
      <c r="AD137" s="60">
        <f t="shared" si="126"/>
        <v>-85.732648230180274</v>
      </c>
      <c r="AE137" t="str">
        <f t="shared" si="127"/>
        <v>118.329284003155</v>
      </c>
      <c r="AF137" t="str">
        <f t="shared" si="108"/>
        <v>1+22.6102127472881i</v>
      </c>
      <c r="AG137">
        <f t="shared" si="128"/>
        <v>22.632315844332616</v>
      </c>
      <c r="AH137">
        <f t="shared" si="129"/>
        <v>1.526597329529398</v>
      </c>
      <c r="AI137" t="str">
        <f t="shared" si="109"/>
        <v>1+0.053133999956127i</v>
      </c>
      <c r="AJ137">
        <f t="shared" si="130"/>
        <v>1.001410616056839</v>
      </c>
      <c r="AK137">
        <f t="shared" si="131"/>
        <v>5.3084081462462553E-2</v>
      </c>
      <c r="AL137" t="str">
        <f t="shared" si="110"/>
        <v>1-0.00370072758076494i</v>
      </c>
      <c r="AM137">
        <f t="shared" si="132"/>
        <v>1.0000068476688682</v>
      </c>
      <c r="AN137">
        <f t="shared" si="133"/>
        <v>-3.7007106866078902E-3</v>
      </c>
      <c r="AO137" s="58" t="str">
        <f t="shared" si="134"/>
        <v>0.489258468142163-5.21283432699706i</v>
      </c>
      <c r="AP137">
        <f t="shared" si="135"/>
        <v>14.379568127412416</v>
      </c>
      <c r="AQ137" s="60">
        <f t="shared" si="136"/>
        <v>-84.638125274390504</v>
      </c>
      <c r="AR137" t="str">
        <f t="shared" si="111"/>
        <v>-1.94444444444444</v>
      </c>
      <c r="AS137" t="str">
        <f t="shared" si="112"/>
        <v>1+0.0544964102114121i</v>
      </c>
      <c r="AT137">
        <f t="shared" si="137"/>
        <v>1.0014838284894723</v>
      </c>
      <c r="AU137">
        <f t="shared" si="138"/>
        <v>5.4442557260485275E-2</v>
      </c>
      <c r="AV137" t="str">
        <f t="shared" si="113"/>
        <v>1+0.0544964102114121i</v>
      </c>
      <c r="AW137">
        <f t="shared" si="139"/>
        <v>1.0014838284894723</v>
      </c>
      <c r="AX137">
        <f t="shared" si="140"/>
        <v>5.4442557260485275E-2</v>
      </c>
      <c r="AY137" t="str">
        <f t="shared" si="114"/>
        <v>1-0.0390421968385457i</v>
      </c>
      <c r="AZ137">
        <f t="shared" si="141"/>
        <v>1.0007618563544376</v>
      </c>
      <c r="BA137">
        <f t="shared" si="142"/>
        <v>-3.902237771062804E-2</v>
      </c>
      <c r="BB137" s="58" t="str">
        <f t="shared" si="143"/>
        <v>-1.9345619529085+0.181342064506709i</v>
      </c>
      <c r="BC137">
        <f t="shared" si="144"/>
        <v>5.7696468477952845</v>
      </c>
      <c r="BD137" s="60">
        <f t="shared" si="145"/>
        <v>174.64485369369052</v>
      </c>
      <c r="BE137" s="58" t="str">
        <f t="shared" si="146"/>
        <v>0.130269619720596+6.86067298761622i</v>
      </c>
      <c r="BF137" s="37">
        <f t="shared" si="147"/>
        <v>16.728899906438187</v>
      </c>
      <c r="BG137" s="60">
        <f t="shared" si="148"/>
        <v>88.912205463510233</v>
      </c>
      <c r="BH137" s="58" t="str">
        <f t="shared" si="149"/>
        <v>-0.00119467881703628+10.1732740965142i</v>
      </c>
      <c r="BI137" s="37">
        <f t="shared" si="150"/>
        <v>20.149214975207709</v>
      </c>
      <c r="BJ137" s="60">
        <f t="shared" si="151"/>
        <v>90.006728419300003</v>
      </c>
      <c r="BK137">
        <f t="shared" si="152"/>
        <v>16.728899906438187</v>
      </c>
      <c r="BL137" s="60">
        <f t="shared" si="153"/>
        <v>88.912205463510233</v>
      </c>
      <c r="BN137">
        <f t="shared" si="154"/>
        <v>0</v>
      </c>
      <c r="BO137">
        <f t="shared" si="155"/>
        <v>0</v>
      </c>
    </row>
    <row r="138" spans="13:67" ht="14.25" x14ac:dyDescent="0.2">
      <c r="M138" s="66">
        <v>20</v>
      </c>
      <c r="N138" s="36">
        <f t="shared" si="156"/>
        <v>158.48931924611153</v>
      </c>
      <c r="O138" s="91" t="str">
        <f t="shared" si="103"/>
        <v>99.7340425531915</v>
      </c>
      <c r="P138" s="67" t="str">
        <f t="shared" si="104"/>
        <v>1+28.9210903228461i</v>
      </c>
      <c r="Q138" s="67">
        <f t="shared" si="116"/>
        <v>28.938373580113694</v>
      </c>
      <c r="R138" s="67">
        <f t="shared" si="117"/>
        <v>1.5362332534421401</v>
      </c>
      <c r="S138" s="67" t="str">
        <f t="shared" si="105"/>
        <v>1+0.0543716498069507i</v>
      </c>
      <c r="T138" s="67">
        <f t="shared" si="118"/>
        <v>1.0014770473169765</v>
      </c>
      <c r="U138" s="67">
        <f t="shared" si="119"/>
        <v>5.4318165437070284E-2</v>
      </c>
      <c r="V138" t="str">
        <f t="shared" si="106"/>
        <v>1-0.00561641217786084i</v>
      </c>
      <c r="W138" s="67">
        <f t="shared" si="120"/>
        <v>1.0000157719184992</v>
      </c>
      <c r="X138" s="67">
        <f t="shared" si="121"/>
        <v>-5.6163531241160622E-3</v>
      </c>
      <c r="Y138" t="str">
        <f t="shared" si="107"/>
        <v>0.999994054706671+0.008681488181818i</v>
      </c>
      <c r="Z138" s="67">
        <f t="shared" si="122"/>
        <v>1.0000317383392086</v>
      </c>
      <c r="AA138" s="67">
        <f t="shared" si="123"/>
        <v>8.6813216992713618E-3</v>
      </c>
      <c r="AB138" s="92" t="str">
        <f t="shared" si="124"/>
        <v>0.257183904570577-3.44186888262927i</v>
      </c>
      <c r="AC138" s="37">
        <f t="shared" si="125"/>
        <v>10.760067403784589</v>
      </c>
      <c r="AD138" s="60">
        <f t="shared" si="126"/>
        <v>-85.726676563679021</v>
      </c>
      <c r="AE138" t="str">
        <f t="shared" si="127"/>
        <v>118.329284003155</v>
      </c>
      <c r="AF138" t="str">
        <f t="shared" si="108"/>
        <v>1+23.1368722582769i</v>
      </c>
      <c r="AG138">
        <f t="shared" si="128"/>
        <v>23.158472702141289</v>
      </c>
      <c r="AH138">
        <f t="shared" si="129"/>
        <v>1.527602156064001</v>
      </c>
      <c r="AI138" t="str">
        <f t="shared" si="109"/>
        <v>1+0.0543716498069507i</v>
      </c>
      <c r="AJ138">
        <f t="shared" si="130"/>
        <v>1.0014770473169765</v>
      </c>
      <c r="AK138">
        <f t="shared" si="131"/>
        <v>5.4318165437070284E-2</v>
      </c>
      <c r="AL138" t="str">
        <f t="shared" si="110"/>
        <v>1-0.00378692859973688i</v>
      </c>
      <c r="AM138">
        <f t="shared" si="132"/>
        <v>1.0000071703884026</v>
      </c>
      <c r="AN138">
        <f t="shared" si="133"/>
        <v>-3.7869104973284658E-3</v>
      </c>
      <c r="AO138" s="58" t="str">
        <f t="shared" si="134"/>
        <v>0.47890330228393-5.09467068706143i</v>
      </c>
      <c r="AP138">
        <f t="shared" si="135"/>
        <v>14.180528731718944</v>
      </c>
      <c r="AQ138" s="60">
        <f t="shared" si="136"/>
        <v>-84.629928676005363</v>
      </c>
      <c r="AR138" t="str">
        <f t="shared" si="111"/>
        <v>-1.94444444444444</v>
      </c>
      <c r="AS138" t="str">
        <f t="shared" si="112"/>
        <v>1+0.0557657946737954i</v>
      </c>
      <c r="AT138">
        <f t="shared" si="137"/>
        <v>1.0015537049282979</v>
      </c>
      <c r="AU138">
        <f t="shared" si="138"/>
        <v>5.5708095030827E-2</v>
      </c>
      <c r="AV138" t="str">
        <f t="shared" si="113"/>
        <v>1+0.0557657946737954i</v>
      </c>
      <c r="AW138">
        <f t="shared" si="139"/>
        <v>1.0015537049282979</v>
      </c>
      <c r="AX138">
        <f t="shared" si="140"/>
        <v>5.5708095030827E-2</v>
      </c>
      <c r="AY138" t="str">
        <f t="shared" si="114"/>
        <v>1-0.0381534879385101i</v>
      </c>
      <c r="AZ138">
        <f t="shared" si="141"/>
        <v>1.0007275796348745</v>
      </c>
      <c r="BA138">
        <f t="shared" si="142"/>
        <v>-3.8134990891708964E-2</v>
      </c>
      <c r="BB138" s="58" t="str">
        <f t="shared" si="143"/>
        <v>-1.93429202113418+0.182054669347943i</v>
      </c>
      <c r="BC138">
        <f t="shared" si="144"/>
        <v>5.7687433269120003</v>
      </c>
      <c r="BD138" s="60">
        <f t="shared" si="145"/>
        <v>174.62318724015515</v>
      </c>
      <c r="BE138" s="58" t="str">
        <f t="shared" si="146"/>
        <v>0.129139526791044+6.70440104816802i</v>
      </c>
      <c r="BF138" s="37">
        <f t="shared" si="147"/>
        <v>16.528810730696584</v>
      </c>
      <c r="BG138" s="60">
        <f t="shared" si="148"/>
        <v>88.89651067647614</v>
      </c>
      <c r="BH138" s="58" t="str">
        <f t="shared" si="149"/>
        <v>0.0011697508670101+9.94176744263605i</v>
      </c>
      <c r="BI138" s="37">
        <f t="shared" si="150"/>
        <v>19.949272058630939</v>
      </c>
      <c r="BJ138" s="60">
        <f t="shared" si="151"/>
        <v>89.993258564149798</v>
      </c>
      <c r="BK138">
        <f t="shared" si="152"/>
        <v>16.528810730696584</v>
      </c>
      <c r="BL138" s="60">
        <f t="shared" si="153"/>
        <v>88.89651067647614</v>
      </c>
      <c r="BN138">
        <f t="shared" si="154"/>
        <v>0</v>
      </c>
      <c r="BO138">
        <f t="shared" si="155"/>
        <v>0</v>
      </c>
    </row>
    <row r="139" spans="13:67" ht="14.25" x14ac:dyDescent="0.2">
      <c r="M139" s="66">
        <v>21</v>
      </c>
      <c r="N139" s="36">
        <f t="shared" si="156"/>
        <v>162.18100973589304</v>
      </c>
      <c r="O139" s="91" t="str">
        <f t="shared" si="103"/>
        <v>99.7340425531915</v>
      </c>
      <c r="P139" s="67" t="str">
        <f t="shared" si="104"/>
        <v>1+29.594749056487i</v>
      </c>
      <c r="Q139" s="67">
        <f t="shared" si="116"/>
        <v>29.611639125797108</v>
      </c>
      <c r="R139" s="67">
        <f t="shared" si="117"/>
        <v>1.5370193998283654</v>
      </c>
      <c r="S139" s="67" t="str">
        <f t="shared" si="105"/>
        <v>1+0.0556381282261956i</v>
      </c>
      <c r="T139" s="67">
        <f t="shared" si="118"/>
        <v>1.0015466046632651</v>
      </c>
      <c r="U139" s="67">
        <f t="shared" si="119"/>
        <v>5.5580823469952842E-2</v>
      </c>
      <c r="V139" t="str">
        <f t="shared" si="106"/>
        <v>1-0.00574723522336526i</v>
      </c>
      <c r="W139" s="67">
        <f t="shared" si="120"/>
        <v>1.00001651521998</v>
      </c>
      <c r="X139" s="67">
        <f t="shared" si="121"/>
        <v>-5.7471719461941245E-3</v>
      </c>
      <c r="Y139" t="str">
        <f t="shared" si="107"/>
        <v>0.999993774513629+0.00888370601902251i</v>
      </c>
      <c r="Z139" s="67">
        <f t="shared" si="122"/>
        <v>1.0000332340970708</v>
      </c>
      <c r="AA139" s="67">
        <f t="shared" si="123"/>
        <v>8.8835276300768852E-3</v>
      </c>
      <c r="AB139" s="92" t="str">
        <f t="shared" si="124"/>
        <v>0.251836370576723-3.36380775848432i</v>
      </c>
      <c r="AC139" s="37">
        <f t="shared" si="125"/>
        <v>10.560897540401108</v>
      </c>
      <c r="AD139" s="60">
        <f t="shared" si="126"/>
        <v>-85.718455370250354</v>
      </c>
      <c r="AE139" t="str">
        <f t="shared" si="127"/>
        <v>118.329284003155</v>
      </c>
      <c r="AF139" t="str">
        <f t="shared" si="108"/>
        <v>1+23.6757992451896i</v>
      </c>
      <c r="AG139">
        <f t="shared" si="128"/>
        <v>23.696908446008742</v>
      </c>
      <c r="AH139">
        <f t="shared" si="129"/>
        <v>1.5285841942974205</v>
      </c>
      <c r="AI139" t="str">
        <f t="shared" si="109"/>
        <v>1+0.0556381282261956i</v>
      </c>
      <c r="AJ139">
        <f t="shared" si="130"/>
        <v>1.0015466046632651</v>
      </c>
      <c r="AK139">
        <f t="shared" si="131"/>
        <v>5.5580823469952842E-2</v>
      </c>
      <c r="AL139" t="str">
        <f t="shared" si="110"/>
        <v>1-0.0038751374983783i</v>
      </c>
      <c r="AM139">
        <f t="shared" si="132"/>
        <v>1.0000075083171283</v>
      </c>
      <c r="AN139">
        <f t="shared" si="133"/>
        <v>-3.8751181013060784E-3</v>
      </c>
      <c r="AO139" s="58" t="str">
        <f t="shared" si="134"/>
        <v>0.469012496625235-4.97916808289965i</v>
      </c>
      <c r="AP139">
        <f t="shared" si="135"/>
        <v>13.981499396504475</v>
      </c>
      <c r="AQ139" s="60">
        <f t="shared" si="136"/>
        <v>-84.618904269277223</v>
      </c>
      <c r="AR139" t="str">
        <f t="shared" si="111"/>
        <v>-1.94444444444444</v>
      </c>
      <c r="AS139" t="str">
        <f t="shared" si="112"/>
        <v>1+0.057064746898662i</v>
      </c>
      <c r="AT139">
        <f t="shared" si="137"/>
        <v>1.0016268693174162</v>
      </c>
      <c r="AU139">
        <f t="shared" si="138"/>
        <v>5.7002926039590639E-2</v>
      </c>
      <c r="AV139" t="str">
        <f t="shared" si="113"/>
        <v>1+0.057064746898662i</v>
      </c>
      <c r="AW139">
        <f t="shared" si="139"/>
        <v>1.0016268693174162</v>
      </c>
      <c r="AX139">
        <f t="shared" si="140"/>
        <v>5.7002926039590639E-2</v>
      </c>
      <c r="AY139" t="str">
        <f t="shared" si="114"/>
        <v>1-0.0372850085228008i</v>
      </c>
      <c r="AZ139">
        <f t="shared" si="141"/>
        <v>1.0006948445258153</v>
      </c>
      <c r="BA139">
        <f t="shared" si="142"/>
        <v>-3.7267745396519281E-2</v>
      </c>
      <c r="BB139" s="58" t="str">
        <f t="shared" si="143"/>
        <v>-1.93400944859207+0.182862387366751i</v>
      </c>
      <c r="BC139">
        <f t="shared" si="144"/>
        <v>5.7678247066548574</v>
      </c>
      <c r="BD139" s="60">
        <f t="shared" si="145"/>
        <v>174.59868839484642</v>
      </c>
      <c r="BE139" s="58" t="str">
        <f t="shared" si="146"/>
        <v>0.128059997164726+6.55168738810542i</v>
      </c>
      <c r="BF139" s="37">
        <f t="shared" si="147"/>
        <v>16.328722247055964</v>
      </c>
      <c r="BG139" s="60">
        <f t="shared" si="148"/>
        <v>88.880233024596066</v>
      </c>
      <c r="BH139" s="58" t="str">
        <f t="shared" si="149"/>
        <v>0.00342796275839796+9.71552286329372i</v>
      </c>
      <c r="BI139" s="37">
        <f t="shared" si="150"/>
        <v>19.749324103159335</v>
      </c>
      <c r="BJ139" s="60">
        <f t="shared" si="151"/>
        <v>89.979784125569211</v>
      </c>
      <c r="BK139">
        <f t="shared" si="152"/>
        <v>16.328722247055964</v>
      </c>
      <c r="BL139" s="60">
        <f t="shared" si="153"/>
        <v>88.880233024596066</v>
      </c>
      <c r="BN139">
        <f t="shared" si="154"/>
        <v>0</v>
      </c>
      <c r="BO139">
        <f t="shared" si="155"/>
        <v>0</v>
      </c>
    </row>
    <row r="140" spans="13:67" ht="14.25" x14ac:dyDescent="0.2">
      <c r="M140" s="66">
        <v>22</v>
      </c>
      <c r="N140" s="36">
        <f t="shared" si="156"/>
        <v>165.95869074375622</v>
      </c>
      <c r="O140" s="91" t="str">
        <f t="shared" si="103"/>
        <v>99.7340425531915</v>
      </c>
      <c r="P140" s="67" t="str">
        <f t="shared" si="104"/>
        <v>1+30.2840993178108i</v>
      </c>
      <c r="Q140" s="67">
        <f t="shared" si="116"/>
        <v>30.300605134073287</v>
      </c>
      <c r="R140" s="67">
        <f t="shared" si="117"/>
        <v>1.53778769169803</v>
      </c>
      <c r="S140" s="67" t="str">
        <f t="shared" si="105"/>
        <v>1+0.0569341067174842i</v>
      </c>
      <c r="T140" s="67">
        <f t="shared" si="118"/>
        <v>1.0016194349690495</v>
      </c>
      <c r="U140" s="67">
        <f t="shared" si="119"/>
        <v>5.6872708925490505E-2</v>
      </c>
      <c r="V140" t="str">
        <f t="shared" si="106"/>
        <v>1-0.00588110552905881i</v>
      </c>
      <c r="W140" s="67">
        <f t="shared" si="120"/>
        <v>1.0000172935515885</v>
      </c>
      <c r="X140" s="67">
        <f t="shared" si="121"/>
        <v>-5.8810377264116838E-3</v>
      </c>
      <c r="Y140" t="str">
        <f t="shared" si="107"/>
        <v>0.999993481115495+0.00909063411474812i</v>
      </c>
      <c r="Z140" s="67">
        <f t="shared" si="122"/>
        <v>1.0000348003455151</v>
      </c>
      <c r="AA140" s="67">
        <f t="shared" si="123"/>
        <v>9.0904429679048212E-3</v>
      </c>
      <c r="AB140" s="92" t="str">
        <f t="shared" si="124"/>
        <v>0.246728896576436-3.28751392021238i</v>
      </c>
      <c r="AC140" s="37">
        <f t="shared" si="125"/>
        <v>10.361745216028012</v>
      </c>
      <c r="AD140" s="60">
        <f t="shared" si="126"/>
        <v>-85.707980987401456</v>
      </c>
      <c r="AE140" t="str">
        <f t="shared" si="127"/>
        <v>118.329284003155</v>
      </c>
      <c r="AF140" t="str">
        <f t="shared" si="108"/>
        <v>1+24.2272794542486i</v>
      </c>
      <c r="AG140">
        <f t="shared" si="128"/>
        <v>24.247908564539259</v>
      </c>
      <c r="AH140">
        <f t="shared" si="129"/>
        <v>1.5295439573383969</v>
      </c>
      <c r="AI140" t="str">
        <f t="shared" si="109"/>
        <v>1+0.0569341067174842i</v>
      </c>
      <c r="AJ140">
        <f t="shared" si="130"/>
        <v>1.0016194349690495</v>
      </c>
      <c r="AK140">
        <f t="shared" si="131"/>
        <v>5.6872708925490505E-2</v>
      </c>
      <c r="AL140" t="str">
        <f t="shared" si="110"/>
        <v>1-0.0039654010462149i</v>
      </c>
      <c r="AM140">
        <f t="shared" si="132"/>
        <v>1.0000078621718218</v>
      </c>
      <c r="AN140">
        <f t="shared" si="133"/>
        <v>-3.9653802618863756E-3</v>
      </c>
      <c r="AO140" s="58" t="str">
        <f t="shared" si="134"/>
        <v>0.459565300620725-4.86626794895894i</v>
      </c>
      <c r="AP140">
        <f t="shared" si="135"/>
        <v>13.782482164887828</v>
      </c>
      <c r="AQ140" s="60">
        <f t="shared" si="136"/>
        <v>-84.605046697492156</v>
      </c>
      <c r="AR140" t="str">
        <f t="shared" si="111"/>
        <v>-1.94444444444444</v>
      </c>
      <c r="AS140" t="str">
        <f t="shared" si="112"/>
        <v>1+0.0583939556076759i</v>
      </c>
      <c r="AT140">
        <f t="shared" si="137"/>
        <v>1.0017034761103265</v>
      </c>
      <c r="AU140">
        <f t="shared" si="138"/>
        <v>5.832771944630688E-2</v>
      </c>
      <c r="AV140" t="str">
        <f t="shared" si="113"/>
        <v>1+0.0583939556076759i</v>
      </c>
      <c r="AW140">
        <f t="shared" si="139"/>
        <v>1.0017034761103265</v>
      </c>
      <c r="AX140">
        <f t="shared" si="140"/>
        <v>5.832771944630688E-2</v>
      </c>
      <c r="AY140" t="str">
        <f t="shared" si="114"/>
        <v>1-0.0364362981121354i</v>
      </c>
      <c r="AZ140">
        <f t="shared" si="141"/>
        <v>1.0006635817396956</v>
      </c>
      <c r="BA140">
        <f t="shared" si="142"/>
        <v>-3.6420186621140833E-2</v>
      </c>
      <c r="BB140" s="58" t="str">
        <f t="shared" si="143"/>
        <v>-1.93371364729052+0.183765546318103i</v>
      </c>
      <c r="BC140">
        <f t="shared" si="144"/>
        <v>5.7668890538684696</v>
      </c>
      <c r="BD140" s="60">
        <f t="shared" si="145"/>
        <v>174.57134486463329</v>
      </c>
      <c r="BE140" s="58" t="str">
        <f t="shared" si="146"/>
        <v>0.127028757085411+6.40245080364407i</v>
      </c>
      <c r="BF140" s="37">
        <f t="shared" si="147"/>
        <v>16.128634269896484</v>
      </c>
      <c r="BG140" s="60">
        <f t="shared" si="148"/>
        <v>88.863363877231805</v>
      </c>
      <c r="BH140" s="58" t="str">
        <f t="shared" si="149"/>
        <v>0.0055846945392477+9.49442101281176i</v>
      </c>
      <c r="BI140" s="37">
        <f t="shared" si="150"/>
        <v>19.549371218756299</v>
      </c>
      <c r="BJ140" s="60">
        <f t="shared" si="151"/>
        <v>89.966298167141133</v>
      </c>
      <c r="BK140">
        <f t="shared" si="152"/>
        <v>16.128634269896484</v>
      </c>
      <c r="BL140" s="60">
        <f t="shared" si="153"/>
        <v>88.863363877231805</v>
      </c>
      <c r="BN140">
        <f t="shared" si="154"/>
        <v>0</v>
      </c>
      <c r="BO140">
        <f t="shared" si="155"/>
        <v>0</v>
      </c>
    </row>
    <row r="141" spans="13:67" ht="14.25" x14ac:dyDescent="0.2">
      <c r="M141" s="66">
        <v>23</v>
      </c>
      <c r="N141" s="36">
        <f t="shared" si="156"/>
        <v>169.82436524617444</v>
      </c>
      <c r="O141" s="91" t="str">
        <f t="shared" si="103"/>
        <v>99.7340425531915</v>
      </c>
      <c r="P141" s="67" t="str">
        <f t="shared" si="104"/>
        <v>1+30.98950660945i</v>
      </c>
      <c r="Q141" s="67">
        <f t="shared" si="116"/>
        <v>31.005636905200724</v>
      </c>
      <c r="R141" s="67">
        <f t="shared" si="117"/>
        <v>1.5385385327795666</v>
      </c>
      <c r="S141" s="67" t="str">
        <f t="shared" si="105"/>
        <v>1+0.058260272425766i</v>
      </c>
      <c r="T141" s="67">
        <f t="shared" si="118"/>
        <v>1.0016956919859066</v>
      </c>
      <c r="U141" s="67">
        <f t="shared" si="119"/>
        <v>5.8194489519761347E-2</v>
      </c>
      <c r="V141" t="str">
        <f t="shared" si="106"/>
        <v>1-0.00601809407474945i</v>
      </c>
      <c r="W141" s="67">
        <f t="shared" si="120"/>
        <v>1.0000181085641862</v>
      </c>
      <c r="X141" s="67">
        <f t="shared" si="121"/>
        <v>-6.0180214229751628E-3</v>
      </c>
      <c r="Y141" t="str">
        <f t="shared" si="107"/>
        <v>0.999993173889933+0.00930238218501008i</v>
      </c>
      <c r="Z141" s="67">
        <f t="shared" si="122"/>
        <v>1.0000364404064372</v>
      </c>
      <c r="AA141" s="67">
        <f t="shared" si="123"/>
        <v>9.30217736787654E-3</v>
      </c>
      <c r="AB141" s="92" t="str">
        <f t="shared" si="124"/>
        <v>0.241850721354984-3.21294799796489i</v>
      </c>
      <c r="AC141" s="37">
        <f t="shared" si="125"/>
        <v>10.162612214445623</v>
      </c>
      <c r="AD141" s="60">
        <f t="shared" si="126"/>
        <v>-85.695248638135837</v>
      </c>
      <c r="AE141" t="str">
        <f t="shared" si="127"/>
        <v>118.329284003155</v>
      </c>
      <c r="AF141" t="str">
        <f t="shared" si="108"/>
        <v>1+24.79160528756i</v>
      </c>
      <c r="AG141">
        <f t="shared" si="128"/>
        <v>24.81176520794466</v>
      </c>
      <c r="AH141">
        <f t="shared" si="129"/>
        <v>1.5304819469893192</v>
      </c>
      <c r="AI141" t="str">
        <f t="shared" si="109"/>
        <v>1+0.058260272425766i</v>
      </c>
      <c r="AJ141">
        <f t="shared" si="130"/>
        <v>1.0016956919859066</v>
      </c>
      <c r="AK141">
        <f t="shared" si="131"/>
        <v>5.8194489519761347E-2</v>
      </c>
      <c r="AL141" t="str">
        <f t="shared" si="110"/>
        <v>1-0.00405776710217447i</v>
      </c>
      <c r="AM141">
        <f t="shared" si="132"/>
        <v>1.0000082327030391</v>
      </c>
      <c r="AN141">
        <f t="shared" si="133"/>
        <v>-4.0577448313751114E-3</v>
      </c>
      <c r="AO141" s="58" t="str">
        <f t="shared" si="134"/>
        <v>0.450541884583981-4.75591292200169i</v>
      </c>
      <c r="AP141">
        <f t="shared" si="135"/>
        <v>13.583479104921603</v>
      </c>
      <c r="AQ141" s="60">
        <f t="shared" si="136"/>
        <v>-84.588349196231164</v>
      </c>
      <c r="AR141" t="str">
        <f t="shared" si="111"/>
        <v>-1.94444444444444</v>
      </c>
      <c r="AS141" t="str">
        <f t="shared" si="112"/>
        <v>1+0.059754125564888i</v>
      </c>
      <c r="AT141">
        <f t="shared" si="137"/>
        <v>1.0017836869913705</v>
      </c>
      <c r="AU141">
        <f t="shared" si="138"/>
        <v>5.9683159062530453E-2</v>
      </c>
      <c r="AV141" t="str">
        <f t="shared" si="113"/>
        <v>1+0.059754125564888i</v>
      </c>
      <c r="AW141">
        <f t="shared" si="139"/>
        <v>1.0017836869913705</v>
      </c>
      <c r="AX141">
        <f t="shared" si="140"/>
        <v>5.9683159062530453E-2</v>
      </c>
      <c r="AY141" t="str">
        <f t="shared" si="114"/>
        <v>1-0.0356069067090208i</v>
      </c>
      <c r="AZ141">
        <f t="shared" si="141"/>
        <v>1.0006337250989419</v>
      </c>
      <c r="BA141">
        <f t="shared" si="142"/>
        <v>-3.559187005226417E-2</v>
      </c>
      <c r="BB141" s="58" t="str">
        <f t="shared" si="143"/>
        <v>-1.93340400226859+0.184764517453421i</v>
      </c>
      <c r="BC141">
        <f t="shared" si="144"/>
        <v>5.76593440027212</v>
      </c>
      <c r="BD141" s="60">
        <f t="shared" si="145"/>
        <v>174.54114293873624</v>
      </c>
      <c r="BE141" s="58" t="str">
        <f t="shared" si="146"/>
        <v>0.126043633827646+6.25661195017309i</v>
      </c>
      <c r="BF141" s="37">
        <f t="shared" si="147"/>
        <v>15.928546614717751</v>
      </c>
      <c r="BG141" s="60">
        <f t="shared" si="148"/>
        <v>88.845894300600406</v>
      </c>
      <c r="BH141" s="58" t="str">
        <f t="shared" si="149"/>
        <v>0.00764447323982964+9.27834523173669i</v>
      </c>
      <c r="BI141" s="37">
        <f t="shared" si="150"/>
        <v>19.349413505193731</v>
      </c>
      <c r="BJ141" s="60">
        <f t="shared" si="151"/>
        <v>89.952793742505065</v>
      </c>
      <c r="BK141">
        <f t="shared" si="152"/>
        <v>15.928546614717751</v>
      </c>
      <c r="BL141" s="60">
        <f t="shared" si="153"/>
        <v>88.845894300600406</v>
      </c>
      <c r="BN141">
        <f t="shared" si="154"/>
        <v>0</v>
      </c>
      <c r="BO141">
        <f t="shared" si="155"/>
        <v>0</v>
      </c>
    </row>
    <row r="142" spans="13:67" ht="14.25" x14ac:dyDescent="0.2">
      <c r="M142" s="66">
        <v>24</v>
      </c>
      <c r="N142" s="36">
        <f t="shared" si="156"/>
        <v>173.78008287493768</v>
      </c>
      <c r="O142" s="91" t="str">
        <f t="shared" si="103"/>
        <v>99.7340425531915</v>
      </c>
      <c r="P142" s="67" t="str">
        <f t="shared" si="104"/>
        <v>1+31.7113449476884i</v>
      </c>
      <c r="Q142" s="67">
        <f t="shared" si="116"/>
        <v>31.727108257628565</v>
      </c>
      <c r="R142" s="67">
        <f t="shared" si="117"/>
        <v>1.5392723177905525</v>
      </c>
      <c r="S142" s="67" t="str">
        <f t="shared" si="105"/>
        <v>1+0.0596173285016543i</v>
      </c>
      <c r="T142" s="67">
        <f t="shared" si="118"/>
        <v>1.0017755366636152</v>
      </c>
      <c r="U142" s="67">
        <f t="shared" si="119"/>
        <v>5.9546847593576507E-2</v>
      </c>
      <c r="V142" t="str">
        <f t="shared" si="106"/>
        <v>1-0.00615827349357747i</v>
      </c>
      <c r="W142" s="67">
        <f t="shared" si="120"/>
        <v>1.0000189619864324</v>
      </c>
      <c r="X142" s="67">
        <f t="shared" si="121"/>
        <v>-6.1581956458784844E-3</v>
      </c>
      <c r="Y142" t="str">
        <f t="shared" si="107"/>
        <v>0.999992852185277+0.00951906250143818i</v>
      </c>
      <c r="Z142" s="67">
        <f t="shared" si="122"/>
        <v>1.0000381577582687</v>
      </c>
      <c r="AA142" s="67">
        <f t="shared" si="123"/>
        <v>9.5188430363734346E-3</v>
      </c>
      <c r="AB142" s="92" t="str">
        <f t="shared" si="124"/>
        <v>0.23719156371211-3.14007146607485i</v>
      </c>
      <c r="AC142" s="37">
        <f t="shared" si="125"/>
        <v>9.9635003593418467</v>
      </c>
      <c r="AD142" s="60">
        <f t="shared" si="126"/>
        <v>-85.680252432054374</v>
      </c>
      <c r="AE142" t="str">
        <f t="shared" si="127"/>
        <v>118.329284003155</v>
      </c>
      <c r="AF142" t="str">
        <f t="shared" si="108"/>
        <v>1+25.3690759581507i</v>
      </c>
      <c r="AG142">
        <f t="shared" si="128"/>
        <v>25.388777342960406</v>
      </c>
      <c r="AH142">
        <f t="shared" si="129"/>
        <v>1.5313986539788218</v>
      </c>
      <c r="AI142" t="str">
        <f t="shared" si="109"/>
        <v>1+0.0596173285016543i</v>
      </c>
      <c r="AJ142">
        <f t="shared" si="130"/>
        <v>1.0017755366636152</v>
      </c>
      <c r="AK142">
        <f t="shared" si="131"/>
        <v>5.9546847593576507E-2</v>
      </c>
      <c r="AL142" t="str">
        <f t="shared" si="110"/>
        <v>1-0.00415228463996253i</v>
      </c>
      <c r="AM142">
        <f t="shared" si="132"/>
        <v>1.0000086206967074</v>
      </c>
      <c r="AN142">
        <f t="shared" si="133"/>
        <v>-4.1522607763821847E-3</v>
      </c>
      <c r="AO142" s="58" t="str">
        <f t="shared" si="134"/>
        <v>0.441923299385497-4.64804682242968i</v>
      </c>
      <c r="AP142">
        <f t="shared" si="135"/>
        <v>13.384492313838868</v>
      </c>
      <c r="AQ142" s="60">
        <f t="shared" si="136"/>
        <v>-84.568803592505375</v>
      </c>
      <c r="AR142" t="str">
        <f t="shared" si="111"/>
        <v>-1.94444444444444</v>
      </c>
      <c r="AS142" t="str">
        <f t="shared" si="112"/>
        <v>1+0.0611459779504144i</v>
      </c>
      <c r="AT142">
        <f t="shared" si="137"/>
        <v>1.0018676712118784</v>
      </c>
      <c r="AU142">
        <f t="shared" si="138"/>
        <v>6.1069943627137226E-2</v>
      </c>
      <c r="AV142" t="str">
        <f t="shared" si="113"/>
        <v>1+0.0611459779504144i</v>
      </c>
      <c r="AW142">
        <f t="shared" si="139"/>
        <v>1.0018676712118784</v>
      </c>
      <c r="AX142">
        <f t="shared" si="140"/>
        <v>6.1069943627137226E-2</v>
      </c>
      <c r="AY142" t="str">
        <f t="shared" si="114"/>
        <v>1-0.0347963945591561i</v>
      </c>
      <c r="AZ142">
        <f t="shared" si="141"/>
        <v>1.000605211396741</v>
      </c>
      <c r="BA142">
        <f t="shared" si="142"/>
        <v>-3.4782361054595354E-2</v>
      </c>
      <c r="BB142" s="58" t="str">
        <f t="shared" si="143"/>
        <v>-1.9330798703958+0.185859715218859i</v>
      </c>
      <c r="BC142">
        <f t="shared" si="144"/>
        <v>5.7649587384224654</v>
      </c>
      <c r="BD142" s="60">
        <f t="shared" si="145"/>
        <v>174.50806748513466</v>
      </c>
      <c r="BE142" s="58" t="str">
        <f t="shared" si="146"/>
        <v>0.125102551211954+6.11409329915737i</v>
      </c>
      <c r="BF142" s="37">
        <f t="shared" si="147"/>
        <v>15.728459097764311</v>
      </c>
      <c r="BG142" s="60">
        <f t="shared" si="148"/>
        <v>88.827815053080315</v>
      </c>
      <c r="BH142" s="58" t="str">
        <f t="shared" si="149"/>
        <v>0.00961162443970187+9.06718148766834i</v>
      </c>
      <c r="BI142" s="37">
        <f t="shared" si="150"/>
        <v>19.149451052261327</v>
      </c>
      <c r="BJ142" s="60">
        <f t="shared" si="151"/>
        <v>89.939263892629313</v>
      </c>
      <c r="BK142">
        <f t="shared" si="152"/>
        <v>15.728459097764311</v>
      </c>
      <c r="BL142" s="60">
        <f t="shared" si="153"/>
        <v>88.827815053080315</v>
      </c>
      <c r="BN142">
        <f t="shared" si="154"/>
        <v>0</v>
      </c>
      <c r="BO142">
        <f t="shared" si="155"/>
        <v>0</v>
      </c>
    </row>
    <row r="143" spans="13:67" ht="14.25" x14ac:dyDescent="0.2">
      <c r="M143" s="66">
        <v>25</v>
      </c>
      <c r="N143" s="36">
        <f t="shared" si="156"/>
        <v>177.82794100389242</v>
      </c>
      <c r="O143" s="91" t="str">
        <f t="shared" si="103"/>
        <v>99.7340425531915</v>
      </c>
      <c r="P143" s="67" t="str">
        <f t="shared" si="104"/>
        <v>1+32.4499970607674i</v>
      </c>
      <c r="Q143" s="67">
        <f t="shared" si="116"/>
        <v>32.465401726204057</v>
      </c>
      <c r="R143" s="67">
        <f t="shared" si="117"/>
        <v>1.5399894326309094</v>
      </c>
      <c r="S143" s="67" t="str">
        <f t="shared" si="105"/>
        <v>1+0.0610059944742427i</v>
      </c>
      <c r="T143" s="67">
        <f t="shared" si="118"/>
        <v>1.001859137484802</v>
      </c>
      <c r="U143" s="67">
        <f t="shared" si="119"/>
        <v>6.0930480387578097E-2</v>
      </c>
      <c r="V143" t="str">
        <f t="shared" si="106"/>
        <v>1-0.00630171811052617i</v>
      </c>
      <c r="W143" s="67">
        <f t="shared" si="120"/>
        <v>1.0000198556284492</v>
      </c>
      <c r="X143" s="67">
        <f t="shared" si="121"/>
        <v>-6.3016346953032893E-3</v>
      </c>
      <c r="Y143" t="str">
        <f t="shared" si="107"/>
        <v>0.999992515319148+0.00974078995080423i</v>
      </c>
      <c r="Z143" s="67">
        <f t="shared" si="122"/>
        <v>1.0000399560433484</v>
      </c>
      <c r="AA143" s="67">
        <f t="shared" si="123"/>
        <v>9.7405547902530629E-3</v>
      </c>
      <c r="AB143" s="92" t="str">
        <f t="shared" si="124"/>
        <v>0.232741601212069-3.06884662740679i</v>
      </c>
      <c r="AC143" s="37">
        <f t="shared" si="125"/>
        <v>9.7644115180524373</v>
      </c>
      <c r="AD143" s="60">
        <f t="shared" si="126"/>
        <v>-85.662985366255981</v>
      </c>
      <c r="AE143" t="str">
        <f t="shared" si="127"/>
        <v>118.329284003155</v>
      </c>
      <c r="AF143" t="str">
        <f t="shared" si="108"/>
        <v>1+25.9599976486139i</v>
      </c>
      <c r="AG143">
        <f t="shared" si="128"/>
        <v>25.979250911372311</v>
      </c>
      <c r="AH143">
        <f t="shared" si="129"/>
        <v>1.5322945581907195</v>
      </c>
      <c r="AI143" t="str">
        <f t="shared" si="109"/>
        <v>1+0.0610059944742427i</v>
      </c>
      <c r="AJ143">
        <f t="shared" si="130"/>
        <v>1.001859137484802</v>
      </c>
      <c r="AK143">
        <f t="shared" si="131"/>
        <v>6.0930480387578097E-2</v>
      </c>
      <c r="AL143" t="str">
        <f t="shared" si="110"/>
        <v>1-0.00424900377402869i</v>
      </c>
      <c r="AM143">
        <f t="shared" si="132"/>
        <v>1.0000090269757926</v>
      </c>
      <c r="AN143">
        <f t="shared" si="133"/>
        <v>-4.2489782037541252E-3</v>
      </c>
      <c r="AO143" s="58" t="str">
        <f t="shared" si="134"/>
        <v>0.433691437864839-4.54261463546514i</v>
      </c>
      <c r="AP143">
        <f t="shared" si="135"/>
        <v>13.185523922355795</v>
      </c>
      <c r="AQ143" s="60">
        <f t="shared" si="136"/>
        <v>-84.54640030359667</v>
      </c>
      <c r="AR143" t="str">
        <f t="shared" si="111"/>
        <v>-1.94444444444444</v>
      </c>
      <c r="AS143" t="str">
        <f t="shared" si="112"/>
        <v>1+0.0625702507428128i</v>
      </c>
      <c r="AT143">
        <f t="shared" si="137"/>
        <v>1.0019556059417096</v>
      </c>
      <c r="AU143">
        <f t="shared" si="138"/>
        <v>6.2488787083411219E-2</v>
      </c>
      <c r="AV143" t="str">
        <f t="shared" si="113"/>
        <v>1+0.0625702507428128i</v>
      </c>
      <c r="AW143">
        <f t="shared" si="139"/>
        <v>1.0019556059417096</v>
      </c>
      <c r="AX143">
        <f t="shared" si="140"/>
        <v>6.2488787083411219E-2</v>
      </c>
      <c r="AY143" t="str">
        <f t="shared" si="114"/>
        <v>1-0.0340043319182715i</v>
      </c>
      <c r="AZ143">
        <f t="shared" si="141"/>
        <v>1.0005779802640113</v>
      </c>
      <c r="BA143">
        <f t="shared" si="142"/>
        <v>-3.3991234661974477E-2</v>
      </c>
      <c r="BB143" s="58" t="str">
        <f t="shared" si="143"/>
        <v>-1.93274057912194+0.187051596941997i</v>
      </c>
      <c r="BC143">
        <f t="shared" si="144"/>
        <v>5.7639600176022991</v>
      </c>
      <c r="BD143" s="60">
        <f t="shared" si="145"/>
        <v>174.472101946659</v>
      </c>
      <c r="BE143" s="58" t="str">
        <f t="shared" si="146"/>
        <v>0.12420352531412+5.97481909607217i</v>
      </c>
      <c r="BF143" s="37">
        <f t="shared" si="147"/>
        <v>15.528371535654738</v>
      </c>
      <c r="BG143" s="60">
        <f t="shared" si="148"/>
        <v>88.809116580403014</v>
      </c>
      <c r="BH143" s="58" t="str">
        <f t="shared" si="149"/>
        <v>0.0114902810767262+8.86081831730938i</v>
      </c>
      <c r="BI143" s="37">
        <f t="shared" si="150"/>
        <v>18.949483939958089</v>
      </c>
      <c r="BJ143" s="60">
        <f t="shared" si="151"/>
        <v>89.925701643062325</v>
      </c>
      <c r="BK143">
        <f t="shared" si="152"/>
        <v>15.528371535654738</v>
      </c>
      <c r="BL143" s="60">
        <f t="shared" si="153"/>
        <v>88.809116580403014</v>
      </c>
      <c r="BN143">
        <f t="shared" si="154"/>
        <v>0</v>
      </c>
      <c r="BO143">
        <f t="shared" si="155"/>
        <v>0</v>
      </c>
    </row>
    <row r="144" spans="13:67" ht="14.25" x14ac:dyDescent="0.2">
      <c r="M144" s="66">
        <v>26</v>
      </c>
      <c r="N144" s="36">
        <f t="shared" si="156"/>
        <v>181.9700858609983</v>
      </c>
      <c r="O144" s="91" t="str">
        <f t="shared" si="103"/>
        <v>99.7340425531915</v>
      </c>
      <c r="P144" s="67" t="str">
        <f t="shared" si="104"/>
        <v>1+33.2058545918141i</v>
      </c>
      <c r="Q144" s="67">
        <f t="shared" si="116"/>
        <v>33.220908765003735</v>
      </c>
      <c r="R144" s="67">
        <f t="shared" si="117"/>
        <v>1.5406902545724983</v>
      </c>
      <c r="S144" s="67" t="str">
        <f t="shared" si="105"/>
        <v>1+0.0624270066326105i</v>
      </c>
      <c r="T144" s="67">
        <f t="shared" si="118"/>
        <v>1.0019466708149232</v>
      </c>
      <c r="U144" s="67">
        <f t="shared" si="119"/>
        <v>6.2346100319163697E-2</v>
      </c>
      <c r="V144" t="str">
        <f t="shared" si="106"/>
        <v>1-0.00644850398183009i</v>
      </c>
      <c r="W144" s="67">
        <f t="shared" si="120"/>
        <v>1.0000207913856609</v>
      </c>
      <c r="X144" s="67">
        <f t="shared" si="121"/>
        <v>-6.4484146009087875E-3</v>
      </c>
      <c r="Y144" t="str">
        <f t="shared" si="107"/>
        <v>0.999992162577006+0.00996768209593669i</v>
      </c>
      <c r="Z144" s="67">
        <f t="shared" si="122"/>
        <v>1.0000418390756471</v>
      </c>
      <c r="AA144" s="67">
        <f t="shared" si="123"/>
        <v>9.9674301174301465E-3</v>
      </c>
      <c r="AB144" s="92" t="str">
        <f t="shared" si="124"/>
        <v>0.228491449857893-2.99923659782984i</v>
      </c>
      <c r="AC144" s="37">
        <f t="shared" si="125"/>
        <v>9.565347605382934</v>
      </c>
      <c r="AD144" s="60">
        <f t="shared" si="126"/>
        <v>-85.643439326056168</v>
      </c>
      <c r="AE144" t="str">
        <f t="shared" si="127"/>
        <v>118.329284003155</v>
      </c>
      <c r="AF144" t="str">
        <f t="shared" si="108"/>
        <v>1+26.5646836734513i</v>
      </c>
      <c r="AG144">
        <f t="shared" si="128"/>
        <v>26.583498992241974</v>
      </c>
      <c r="AH144">
        <f t="shared" si="129"/>
        <v>1.5331701288892621</v>
      </c>
      <c r="AI144" t="str">
        <f t="shared" si="109"/>
        <v>1+0.0624270066326105i</v>
      </c>
      <c r="AJ144">
        <f t="shared" si="130"/>
        <v>1.0019466708149232</v>
      </c>
      <c r="AK144">
        <f t="shared" si="131"/>
        <v>6.2346100319163697E-2</v>
      </c>
      <c r="AL144" t="str">
        <f t="shared" si="110"/>
        <v>1-0.004347975786138i</v>
      </c>
      <c r="AM144">
        <f t="shared" si="132"/>
        <v>1.0000094524020444</v>
      </c>
      <c r="AN144">
        <f t="shared" si="133"/>
        <v>-4.3479483871091502E-3</v>
      </c>
      <c r="AO144" s="58" t="str">
        <f t="shared" si="134"/>
        <v>0.4258289978884-4.43956249222787i</v>
      </c>
      <c r="AP144">
        <f t="shared" si="135"/>
        <v>12.986576099036464</v>
      </c>
      <c r="AQ144" s="60">
        <f t="shared" si="136"/>
        <v>-84.521128335617917</v>
      </c>
      <c r="AR144" t="str">
        <f t="shared" si="111"/>
        <v>-1.94444444444444</v>
      </c>
      <c r="AS144" t="str">
        <f t="shared" si="112"/>
        <v>1+0.0640276991103695i</v>
      </c>
      <c r="AT144">
        <f t="shared" si="137"/>
        <v>1.0020476766368793</v>
      </c>
      <c r="AU144">
        <f t="shared" si="138"/>
        <v>6.3940418857655182E-2</v>
      </c>
      <c r="AV144" t="str">
        <f t="shared" si="113"/>
        <v>1+0.0640276991103695i</v>
      </c>
      <c r="AW144">
        <f t="shared" si="139"/>
        <v>1.0020476766368793</v>
      </c>
      <c r="AX144">
        <f t="shared" si="140"/>
        <v>6.3940418857655182E-2</v>
      </c>
      <c r="AY144" t="str">
        <f t="shared" si="114"/>
        <v>1-0.0332302988242709i</v>
      </c>
      <c r="AZ144">
        <f t="shared" si="141"/>
        <v>1.0005519740423034</v>
      </c>
      <c r="BA144">
        <f t="shared" si="142"/>
        <v>-3.3218075372187614E-2</v>
      </c>
      <c r="BB144" s="58" t="str">
        <f t="shared" si="143"/>
        <v>-1.93238542517536+0.188340662504473i</v>
      </c>
      <c r="BC144">
        <f t="shared" si="144"/>
        <v>5.7629361396285974</v>
      </c>
      <c r="BD144" s="60">
        <f t="shared" si="145"/>
        <v>174.43322833678388</v>
      </c>
      <c r="BE144" s="58" t="str">
        <f t="shared" si="146"/>
        <v>0.123344660360355+5.83871531934176i</v>
      </c>
      <c r="BF144" s="37">
        <f t="shared" si="147"/>
        <v>15.328283745011531</v>
      </c>
      <c r="BG144" s="60">
        <f t="shared" si="148"/>
        <v>88.789789010727702</v>
      </c>
      <c r="BH144" s="58" t="str">
        <f t="shared" si="149"/>
        <v>0.0132843918796328+8.65914676971225i</v>
      </c>
      <c r="BI144" s="37">
        <f t="shared" si="150"/>
        <v>18.749512238665059</v>
      </c>
      <c r="BJ144" s="60">
        <f t="shared" si="151"/>
        <v>89.912100001165953</v>
      </c>
      <c r="BK144">
        <f t="shared" si="152"/>
        <v>15.328283745011531</v>
      </c>
      <c r="BL144" s="60">
        <f t="shared" si="153"/>
        <v>88.789789010727702</v>
      </c>
      <c r="BN144">
        <f t="shared" si="154"/>
        <v>0</v>
      </c>
      <c r="BO144">
        <f t="shared" si="155"/>
        <v>0</v>
      </c>
    </row>
    <row r="145" spans="13:67" ht="14.25" x14ac:dyDescent="0.2">
      <c r="M145" s="66">
        <v>27</v>
      </c>
      <c r="N145" s="36">
        <f t="shared" si="156"/>
        <v>186.20871366628685</v>
      </c>
      <c r="O145" s="91" t="str">
        <f t="shared" si="103"/>
        <v>99.7340425531915</v>
      </c>
      <c r="P145" s="67" t="str">
        <f t="shared" si="104"/>
        <v>1+33.979318306497i</v>
      </c>
      <c r="Q145" s="67">
        <f t="shared" si="116"/>
        <v>33.994029954894174</v>
      </c>
      <c r="R145" s="67">
        <f t="shared" si="117"/>
        <v>1.5413751524451373</v>
      </c>
      <c r="S145" s="67" t="str">
        <f t="shared" si="105"/>
        <v>1+0.0638811184162144i</v>
      </c>
      <c r="T145" s="67">
        <f t="shared" si="118"/>
        <v>1.0020383212682569</v>
      </c>
      <c r="U145" s="67">
        <f t="shared" si="119"/>
        <v>6.3794435260959403E-2</v>
      </c>
      <c r="V145" t="str">
        <f t="shared" si="106"/>
        <v>1-0.00659870893530127i</v>
      </c>
      <c r="W145" s="67">
        <f t="shared" si="120"/>
        <v>1.000021771242813</v>
      </c>
      <c r="X145" s="67">
        <f t="shared" si="121"/>
        <v>-6.5986131620311859E-3</v>
      </c>
      <c r="Y145" t="str">
        <f t="shared" si="107"/>
        <v>0.99999179321064+0.0101998592380543i</v>
      </c>
      <c r="Z145" s="67">
        <f t="shared" si="122"/>
        <v>1.0000438108488585</v>
      </c>
      <c r="AA145" s="67">
        <f t="shared" si="123"/>
        <v>1.0199589238852684E-2</v>
      </c>
      <c r="AB145" s="92" t="str">
        <f t="shared" si="124"/>
        <v>0.224432144651027-2.93120529082655i</v>
      </c>
      <c r="AC145" s="37">
        <f t="shared" si="125"/>
        <v>9.3663105875194237</v>
      </c>
      <c r="AD145" s="60">
        <f t="shared" si="126"/>
        <v>-85.621605085543877</v>
      </c>
      <c r="AE145" t="str">
        <f t="shared" si="127"/>
        <v>118.329284003155</v>
      </c>
      <c r="AF145" t="str">
        <f t="shared" si="108"/>
        <v>1+27.1834546451976i</v>
      </c>
      <c r="AG145">
        <f t="shared" si="128"/>
        <v>27.20184196791671</v>
      </c>
      <c r="AH145">
        <f t="shared" si="129"/>
        <v>1.5340258249406913</v>
      </c>
      <c r="AI145" t="str">
        <f t="shared" si="109"/>
        <v>1+0.0638811184162144i</v>
      </c>
      <c r="AJ145">
        <f t="shared" si="130"/>
        <v>1.0020383212682569</v>
      </c>
      <c r="AK145">
        <f t="shared" si="131"/>
        <v>6.3794435260959403E-2</v>
      </c>
      <c r="AL145" t="str">
        <f t="shared" si="110"/>
        <v>1-0.00444925315256142i</v>
      </c>
      <c r="AM145">
        <f t="shared" si="132"/>
        <v>1.0000098978778238</v>
      </c>
      <c r="AN145">
        <f t="shared" si="133"/>
        <v>-4.4492237939887571E-3</v>
      </c>
      <c r="AO145" s="58" t="str">
        <f t="shared" si="134"/>
        <v>0.418319446986633-4.33883765074526i</v>
      </c>
      <c r="AP145">
        <f t="shared" si="135"/>
        <v>12.787651054727503</v>
      </c>
      <c r="AQ145" s="60">
        <f t="shared" si="136"/>
        <v>-84.49297528180729</v>
      </c>
      <c r="AR145" t="str">
        <f t="shared" si="111"/>
        <v>-1.94444444444444</v>
      </c>
      <c r="AS145" t="str">
        <f t="shared" si="112"/>
        <v>1+0.0655190958115018i</v>
      </c>
      <c r="AT145">
        <f t="shared" si="137"/>
        <v>1.0021440774239785</v>
      </c>
      <c r="AU145">
        <f t="shared" si="138"/>
        <v>6.5425584139018791E-2</v>
      </c>
      <c r="AV145" t="str">
        <f t="shared" si="113"/>
        <v>1+0.0655190958115018i</v>
      </c>
      <c r="AW145">
        <f t="shared" si="139"/>
        <v>1.0021440774239785</v>
      </c>
      <c r="AX145">
        <f t="shared" si="140"/>
        <v>6.5425584139018791E-2</v>
      </c>
      <c r="AY145" t="str">
        <f t="shared" si="114"/>
        <v>1-0.0324738848745616i</v>
      </c>
      <c r="AZ145">
        <f t="shared" si="141"/>
        <v>1.0005271376623655</v>
      </c>
      <c r="BA145">
        <f t="shared" si="142"/>
        <v>-3.2462476945461859E-2</v>
      </c>
      <c r="BB145" s="58" t="str">
        <f t="shared" si="143"/>
        <v>-1.93201367320788+0.189727453997908i</v>
      </c>
      <c r="BC145">
        <f t="shared" si="144"/>
        <v>5.7618849545716531</v>
      </c>
      <c r="BD145" s="60">
        <f t="shared" si="145"/>
        <v>174.39142723514047</v>
      </c>
      <c r="BE145" s="58" t="str">
        <f t="shared" si="146"/>
        <v>0.122524144800566+5.7057096402561i</v>
      </c>
      <c r="BF145" s="37">
        <f t="shared" si="147"/>
        <v>15.128195542091067</v>
      </c>
      <c r="BG145" s="60">
        <f t="shared" si="148"/>
        <v>88.769822149596578</v>
      </c>
      <c r="BH145" s="58" t="str">
        <f t="shared" si="149"/>
        <v>0.0149977294392286+8.46206035070359i</v>
      </c>
      <c r="BI145" s="37">
        <f t="shared" si="150"/>
        <v>18.54953600929916</v>
      </c>
      <c r="BJ145" s="60">
        <f t="shared" si="151"/>
        <v>89.898451953333193</v>
      </c>
      <c r="BK145">
        <f t="shared" si="152"/>
        <v>15.128195542091067</v>
      </c>
      <c r="BL145" s="60">
        <f t="shared" si="153"/>
        <v>88.769822149596578</v>
      </c>
      <c r="BN145">
        <f t="shared" si="154"/>
        <v>0</v>
      </c>
      <c r="BO145">
        <f t="shared" si="155"/>
        <v>0</v>
      </c>
    </row>
    <row r="146" spans="13:67" ht="14.25" x14ac:dyDescent="0.2">
      <c r="M146" s="66">
        <v>28</v>
      </c>
      <c r="N146" s="36">
        <f t="shared" si="156"/>
        <v>190.54607179632498</v>
      </c>
      <c r="O146" s="91" t="str">
        <f t="shared" si="103"/>
        <v>99.7340425531915</v>
      </c>
      <c r="P146" s="67" t="str">
        <f t="shared" si="104"/>
        <v>1+34.7707983055158i</v>
      </c>
      <c r="Q146" s="67">
        <f t="shared" si="116"/>
        <v>34.785175215928703</v>
      </c>
      <c r="R146" s="67">
        <f t="shared" si="117"/>
        <v>1.5420444868190708</v>
      </c>
      <c r="S146" s="67" t="str">
        <f t="shared" si="105"/>
        <v>1+0.0653691008143698i</v>
      </c>
      <c r="T146" s="67">
        <f t="shared" si="118"/>
        <v>1.0021342820906185</v>
      </c>
      <c r="U146" s="67">
        <f t="shared" si="119"/>
        <v>6.5276228820536825E-2</v>
      </c>
      <c r="V146" t="str">
        <f t="shared" si="106"/>
        <v>1-0.00675241261159424i</v>
      </c>
      <c r="W146" s="67">
        <f t="shared" si="120"/>
        <v>1.0000227972781806</v>
      </c>
      <c r="X146" s="67">
        <f t="shared" si="121"/>
        <v>-6.752309988812771E-3</v>
      </c>
      <c r="Y146" t="str">
        <f t="shared" si="107"/>
        <v>0.999991406436573+0.0104374444805512i</v>
      </c>
      <c r="Z146" s="67">
        <f t="shared" si="122"/>
        <v>1.0000458755448571</v>
      </c>
      <c r="AA146" s="67">
        <f t="shared" si="123"/>
        <v>1.0437155171904116E-2</v>
      </c>
      <c r="AB146" s="92" t="str">
        <f t="shared" si="124"/>
        <v>0.220555120999069-2.86471740224946i</v>
      </c>
      <c r="AC146" s="37">
        <f t="shared" si="125"/>
        <v>9.1673024860373804</v>
      </c>
      <c r="AD146" s="60">
        <f t="shared" si="126"/>
        <v>-85.597472307998927</v>
      </c>
      <c r="AE146" t="str">
        <f t="shared" si="127"/>
        <v>118.329284003155</v>
      </c>
      <c r="AF146" t="str">
        <f t="shared" si="108"/>
        <v>1+27.8166386444127i</v>
      </c>
      <c r="AG146">
        <f t="shared" si="128"/>
        <v>27.834607693909284</v>
      </c>
      <c r="AH146">
        <f t="shared" si="129"/>
        <v>1.5348620950310858</v>
      </c>
      <c r="AI146" t="str">
        <f t="shared" si="109"/>
        <v>1+0.0653691008143698i</v>
      </c>
      <c r="AJ146">
        <f t="shared" si="130"/>
        <v>1.0021342820906185</v>
      </c>
      <c r="AK146">
        <f t="shared" si="131"/>
        <v>6.5276228820536825E-2</v>
      </c>
      <c r="AL146" t="str">
        <f t="shared" si="110"/>
        <v>1-0.00455288957189919i</v>
      </c>
      <c r="AM146">
        <f t="shared" si="132"/>
        <v>1.0000103643480172</v>
      </c>
      <c r="AN146">
        <f t="shared" si="133"/>
        <v>-4.5528581136394172E-3</v>
      </c>
      <c r="AO146" s="58" t="str">
        <f t="shared" si="134"/>
        <v>0.411146988506937-4.24038847692981i</v>
      </c>
      <c r="AP146">
        <f t="shared" si="135"/>
        <v>12.588751047071895</v>
      </c>
      <c r="AQ146" s="60">
        <f t="shared" si="136"/>
        <v>-84.461927320575157</v>
      </c>
      <c r="AR146" t="str">
        <f t="shared" si="111"/>
        <v>-1.94444444444444</v>
      </c>
      <c r="AS146" t="str">
        <f t="shared" si="112"/>
        <v>1+0.0670452316044816i</v>
      </c>
      <c r="AT146">
        <f t="shared" si="137"/>
        <v>1.0022450115021271</v>
      </c>
      <c r="AU146">
        <f t="shared" si="138"/>
        <v>6.6945044160204567E-2</v>
      </c>
      <c r="AV146" t="str">
        <f t="shared" si="113"/>
        <v>1+0.0670452316044816i</v>
      </c>
      <c r="AW146">
        <f t="shared" si="139"/>
        <v>1.0022450115021271</v>
      </c>
      <c r="AX146">
        <f t="shared" si="140"/>
        <v>6.6945044160204567E-2</v>
      </c>
      <c r="AY146" t="str">
        <f t="shared" si="114"/>
        <v>1-0.0317346890084553i</v>
      </c>
      <c r="AZ146">
        <f t="shared" si="141"/>
        <v>1.0005034185281245</v>
      </c>
      <c r="BA146">
        <f t="shared" si="142"/>
        <v>-3.1724042206627161E-2</v>
      </c>
      <c r="BB146" s="58" t="str">
        <f t="shared" si="143"/>
        <v>-1.93162455438462+0.191212555360284i</v>
      </c>
      <c r="BC146">
        <f t="shared" si="144"/>
        <v>5.7608042563779884</v>
      </c>
      <c r="BD146" s="60">
        <f t="shared" si="145"/>
        <v>174.34667778276872</v>
      </c>
      <c r="BE146" s="58" t="str">
        <f t="shared" si="146"/>
        <v>0.121740247552121+5.57573138384201i</v>
      </c>
      <c r="BF146" s="37">
        <f t="shared" si="147"/>
        <v>14.92810674241537</v>
      </c>
      <c r="BG146" s="60">
        <f t="shared" si="148"/>
        <v>88.749205474769795</v>
      </c>
      <c r="BH146" s="58" t="str">
        <f t="shared" si="149"/>
        <v>0.0166338979327609+8.26945496846832i</v>
      </c>
      <c r="BI146" s="37">
        <f t="shared" si="150"/>
        <v>18.349555303449886</v>
      </c>
      <c r="BJ146" s="60">
        <f t="shared" si="151"/>
        <v>89.884750462193566</v>
      </c>
      <c r="BK146">
        <f t="shared" si="152"/>
        <v>14.92810674241537</v>
      </c>
      <c r="BL146" s="60">
        <f t="shared" si="153"/>
        <v>88.749205474769795</v>
      </c>
      <c r="BN146">
        <f t="shared" si="154"/>
        <v>0</v>
      </c>
      <c r="BO146">
        <f t="shared" si="155"/>
        <v>0</v>
      </c>
    </row>
    <row r="147" spans="13:67" ht="14.25" x14ac:dyDescent="0.2">
      <c r="M147" s="66">
        <v>29</v>
      </c>
      <c r="N147" s="36">
        <f t="shared" si="156"/>
        <v>194.98445997580458</v>
      </c>
      <c r="O147" s="91" t="str">
        <f t="shared" ref="O147:O210" si="157">COMPLEX(adc,0)</f>
        <v>99.7340425531915</v>
      </c>
      <c r="P147" s="67" t="str">
        <f t="shared" ref="P147:P210" si="158">IMSUM(COMPLEX(1,0),IMDIV(COMPLEX(0,2*PI()*N147),COMPLEX(wp_lf,0)))</f>
        <v>1+35.5807142420417i</v>
      </c>
      <c r="Q147" s="67">
        <f t="shared" si="116"/>
        <v>35.594764024696509</v>
      </c>
      <c r="R147" s="67">
        <f t="shared" si="117"/>
        <v>1.5426986101839297</v>
      </c>
      <c r="S147" s="67" t="str">
        <f t="shared" ref="S147:S210" si="159">IMSUM(COMPLEX(1,0),IMDIV(COMPLEX(0,2*PI()*N147),COMPLEX(wz_esr,0)))</f>
        <v>1+0.0668917427750383i</v>
      </c>
      <c r="T147" s="67">
        <f t="shared" si="118"/>
        <v>1.0022347555595355</v>
      </c>
      <c r="U147" s="67">
        <f t="shared" si="119"/>
        <v>6.6792240621048868E-2</v>
      </c>
      <c r="V147" t="str">
        <f t="shared" ref="V147:V210" si="160">IMSUB(COMPLEX(1,0),IMDIV(COMPLEX(0,2*PI()*N147),COMPLEX(wz_rhp,0)))</f>
        <v>1-0.00690969650643253i</v>
      </c>
      <c r="W147" s="67">
        <f t="shared" si="120"/>
        <v>1.0000238716679772</v>
      </c>
      <c r="X147" s="67">
        <f t="shared" si="121"/>
        <v>-6.9095865442827982E-3</v>
      </c>
      <c r="Y147" t="str">
        <f t="shared" ref="Y147:Y210" si="161">IMSUM(COMPLEX(1,0),IMDIV(COMPLEX(0,2*PI()*N147),COMPLEX(Q*(wsl/2),0)),IMDIV(IMPOWER(COMPLEX(0,2*PI()*N147),2),IMPOWER(COMPLEX(wsl/2,0),2)))</f>
        <v>0.999991001434407+0.0106805637942674i</v>
      </c>
      <c r="Z147" s="67">
        <f t="shared" si="122"/>
        <v>1.0000480375425731</v>
      </c>
      <c r="AA147" s="67">
        <f t="shared" si="123"/>
        <v>1.0680253795263321E-2</v>
      </c>
      <c r="AB147" s="92" t="str">
        <f t="shared" si="124"/>
        <v>0.216852196935666-2.79973839523457i</v>
      </c>
      <c r="AC147" s="37">
        <f t="shared" si="125"/>
        <v>8.9683253820131785</v>
      </c>
      <c r="AD147" s="60">
        <f t="shared" si="126"/>
        <v>-85.571029546193586</v>
      </c>
      <c r="AE147" t="str">
        <f t="shared" si="127"/>
        <v>118.329284003155</v>
      </c>
      <c r="AF147" t="str">
        <f t="shared" ref="AF147:AF210" si="162">IMSUM(COMPLEX(1,0),IMDIV(COMPLEX(0,2*PI()*N147),COMPLEX(wp_lf_DCM,0)))</f>
        <v>1+28.4645713936333i</v>
      </c>
      <c r="AG147">
        <f t="shared" si="128"/>
        <v>28.48213167273909</v>
      </c>
      <c r="AH147">
        <f t="shared" si="129"/>
        <v>1.5356793778804967</v>
      </c>
      <c r="AI147" t="str">
        <f t="shared" ref="AI147:AI210" si="163">IMSUM(COMPLEX(1,0),IMDIV(COMPLEX(0,2*PI()*N147),COMPLEX(wz1_dcm,0)))</f>
        <v>1+0.0668917427750383i</v>
      </c>
      <c r="AJ147">
        <f t="shared" si="130"/>
        <v>1.0022347555595355</v>
      </c>
      <c r="AK147">
        <f t="shared" si="131"/>
        <v>6.6792240621048868E-2</v>
      </c>
      <c r="AL147" t="str">
        <f t="shared" ref="AL147:AL210" si="164">IMSUB(COMPLEX(1,0),IMDIV(COMPLEX(0,2*PI()*N147),COMPLEX(wz2_dcm,0)))</f>
        <v>1-0.00465893999355253i</v>
      </c>
      <c r="AM147">
        <f t="shared" si="132"/>
        <v>1.0000108528020402</v>
      </c>
      <c r="AN147">
        <f t="shared" si="133"/>
        <v>-4.6589062854396311E-3</v>
      </c>
      <c r="AO147" s="58" t="str">
        <f t="shared" si="134"/>
        <v>0.404296529220598-4.1441644255551i</v>
      </c>
      <c r="AP147">
        <f t="shared" si="135"/>
        <v>12.389878385110016</v>
      </c>
      <c r="AQ147" s="60">
        <f t="shared" si="136"/>
        <v>-84.427969213322683</v>
      </c>
      <c r="AR147" t="str">
        <f t="shared" ref="AR147:AR210" si="165">COMPLEX(adc_ea,0)</f>
        <v>-1.94444444444444</v>
      </c>
      <c r="AS147" t="str">
        <f t="shared" ref="AS147:AS210" si="166">IMSUM(COMPLEX(1,0), IMDIV(COMPLEX(0,2*PI()*N147), COMPLEX(wp0_ea,0)))</f>
        <v>1+0.0686069156667058i</v>
      </c>
      <c r="AT147">
        <f t="shared" si="137"/>
        <v>1.0023506915632365</v>
      </c>
      <c r="AU147">
        <f t="shared" si="138"/>
        <v>6.849957647869491E-2</v>
      </c>
      <c r="AV147" t="str">
        <f t="shared" ref="AV147:AV210" si="167">IMSUM(COMPLEX(1,0),IMDIV(COMPLEX(0,2*PI()*N147),COMPLEX(wp1_ea,0)))</f>
        <v>1+0.0686069156667058i</v>
      </c>
      <c r="AW147">
        <f t="shared" si="139"/>
        <v>1.0023506915632365</v>
      </c>
      <c r="AX147">
        <f t="shared" si="140"/>
        <v>6.849957647869491E-2</v>
      </c>
      <c r="AY147" t="str">
        <f t="shared" ref="AY147:AY210" si="168">IMSUM(COMPLEX(1,0),IMDIV(COMPLEX(wz_ea,0),COMPLEX(0,2*PI()*N147)))</f>
        <v>1-0.0310123192945199i</v>
      </c>
      <c r="AZ147">
        <f t="shared" si="141"/>
        <v>1.0004807664058442</v>
      </c>
      <c r="BA147">
        <f t="shared" si="142"/>
        <v>-3.1002382850917196E-2</v>
      </c>
      <c r="BB147" s="58" t="str">
        <f t="shared" si="143"/>
        <v>-1.93121726491697+0.192796591989811i</v>
      </c>
      <c r="BC147">
        <f t="shared" si="144"/>
        <v>5.7596917783892128</v>
      </c>
      <c r="BD147" s="60">
        <f t="shared" si="145"/>
        <v>174.29895767713089</v>
      </c>
      <c r="BE147" s="58" t="str">
        <f t="shared" si="146"/>
        <v>0.120991314406915+5.44871149066263i</v>
      </c>
      <c r="BF147" s="37">
        <f t="shared" si="147"/>
        <v>14.72801716040239</v>
      </c>
      <c r="BG147" s="60">
        <f t="shared" si="148"/>
        <v>88.7279281309373</v>
      </c>
      <c r="BH147" s="58" t="str">
        <f t="shared" si="149"/>
        <v>0.0181963405156089+8.08122888027377i</v>
      </c>
      <c r="BI147" s="37">
        <f t="shared" si="150"/>
        <v>18.149570163499234</v>
      </c>
      <c r="BJ147" s="60">
        <f t="shared" si="151"/>
        <v>89.870988463808189</v>
      </c>
      <c r="BK147">
        <f t="shared" si="152"/>
        <v>14.72801716040239</v>
      </c>
      <c r="BL147" s="60">
        <f t="shared" si="153"/>
        <v>88.7279281309373</v>
      </c>
      <c r="BN147">
        <f t="shared" si="154"/>
        <v>0</v>
      </c>
      <c r="BO147">
        <f t="shared" si="155"/>
        <v>0</v>
      </c>
    </row>
    <row r="148" spans="13:67" ht="14.25" x14ac:dyDescent="0.2">
      <c r="M148" s="66">
        <v>30</v>
      </c>
      <c r="N148" s="36">
        <f t="shared" si="156"/>
        <v>199.52623149688802</v>
      </c>
      <c r="O148" s="91" t="str">
        <f t="shared" si="157"/>
        <v>99.7340425531915</v>
      </c>
      <c r="P148" s="67" t="str">
        <f t="shared" si="158"/>
        <v>1+36.4094955442253i</v>
      </c>
      <c r="Q148" s="67">
        <f t="shared" ref="Q148:Q211" si="169">IMABS(P148)</f>
        <v>36.423225636741208</v>
      </c>
      <c r="R148" s="67">
        <f t="shared" ref="R148:R211" si="170">IMARGUMENT(P148)</f>
        <v>1.5433378671242231</v>
      </c>
      <c r="S148" s="67" t="str">
        <f t="shared" si="159"/>
        <v>1+0.0684498516231436i</v>
      </c>
      <c r="T148" s="67">
        <f t="shared" ref="T148:T211" si="171">IMABS(S148)</f>
        <v>1.0023399534026518</v>
      </c>
      <c r="U148" s="67">
        <f t="shared" ref="U148:U211" si="172">IMARGUMENT(S148)</f>
        <v>6.8343246582427852E-2</v>
      </c>
      <c r="V148" t="str">
        <f t="shared" si="160"/>
        <v>1-0.00707064401381923i</v>
      </c>
      <c r="W148" s="67">
        <f t="shared" ref="W148:W211" si="173">IMABS(V148)</f>
        <v>1.0000249966909678</v>
      </c>
      <c r="X148" s="67">
        <f t="shared" ref="X148:X211" si="174">IMARGUMENT(V148)</f>
        <v>-7.0705261874120127E-3</v>
      </c>
      <c r="Y148" t="str">
        <f t="shared" si="161"/>
        <v>0.999990577345076+0.0109293460842814i</v>
      </c>
      <c r="Z148" s="67">
        <f t="shared" ref="Z148:Z211" si="175">IMABS(Y148)</f>
        <v>1.0000503014272675</v>
      </c>
      <c r="AA148" s="67">
        <f t="shared" ref="AA148:AA211" si="176">IMARGUMENT(Y148)</f>
        <v>1.0929013915257553E-2</v>
      </c>
      <c r="AB148" s="92" t="str">
        <f t="shared" ref="AB148:AB211" si="177">(IMDIV(IMPRODUCT(O148,S148,V148),IMPRODUCT(P148,Y148)))</f>
        <v>0.213315556118128-2.73623448528099i</v>
      </c>
      <c r="AC148" s="37">
        <f t="shared" ref="AC148:AC211" si="178">20*LOG(IMABS(AB148))</f>
        <v>8.7693814202464111</v>
      </c>
      <c r="AD148" s="60">
        <f t="shared" ref="AD148:AD211" si="179">(180/PI())*IMARGUMENT(AB148)</f>
        <v>-85.542264242604659</v>
      </c>
      <c r="AE148" t="str">
        <f t="shared" ref="AE148:AE211" si="180">COMPLEX($B$67,0)</f>
        <v>118.329284003155</v>
      </c>
      <c r="AF148" t="str">
        <f t="shared" si="162"/>
        <v>1+29.1275964353803i</v>
      </c>
      <c r="AG148">
        <f t="shared" ref="AG148:AG211" si="181">IMABS(AF148)</f>
        <v>29.144757231831235</v>
      </c>
      <c r="AH148">
        <f t="shared" ref="AH148:AH211" si="182">IMARGUMENT(AF148)</f>
        <v>1.5364781024533738</v>
      </c>
      <c r="AI148" t="str">
        <f t="shared" si="163"/>
        <v>1+0.0684498516231436i</v>
      </c>
      <c r="AJ148">
        <f t="shared" ref="AJ148:AJ211" si="183">IMABS(AI148)</f>
        <v>1.0023399534026518</v>
      </c>
      <c r="AK148">
        <f t="shared" ref="AK148:AK211" si="184">IMARGUMENT(AI148)</f>
        <v>6.8343246582427852E-2</v>
      </c>
      <c r="AL148" t="str">
        <f t="shared" si="164"/>
        <v>1-0.00476746064685885i</v>
      </c>
      <c r="AM148">
        <f t="shared" ref="AM148:AM211" si="185">IMABS(AL148)</f>
        <v>1.0000113642759363</v>
      </c>
      <c r="AN148">
        <f t="shared" ref="AN148:AN211" si="186">IMARGUMENT(AL148)</f>
        <v>-4.7674245279873042E-3</v>
      </c>
      <c r="AO148" s="58" t="str">
        <f t="shared" ref="AO148:AO211" si="187">(IMDIV(IMPRODUCT(AE148,AI148,AL148),IMPRODUCT(AF148)))</f>
        <v>0.397753648324287-4.05011602125726i</v>
      </c>
      <c r="AP148">
        <f t="shared" ref="AP148:AP211" si="188">20*LOG(IMABS(AO148))</f>
        <v>12.191035433973184</v>
      </c>
      <c r="AQ148" s="60">
        <f t="shared" ref="AQ148:AQ211" si="189">(180/PI())*IMARGUMENT(AO148)</f>
        <v>-84.391084302053457</v>
      </c>
      <c r="AR148" t="str">
        <f t="shared" si="165"/>
        <v>-1.94444444444444</v>
      </c>
      <c r="AS148" t="str">
        <f t="shared" si="166"/>
        <v>1+0.0702049760237368i</v>
      </c>
      <c r="AT148">
        <f t="shared" ref="AT148:AT211" si="190">IMABS(AS148)</f>
        <v>1.0024613402313796</v>
      </c>
      <c r="AU148">
        <f t="shared" ref="AU148:AU211" si="191">IMARGUMENT(AS148)</f>
        <v>7.0089975258102497E-2</v>
      </c>
      <c r="AV148" t="str">
        <f t="shared" si="167"/>
        <v>1+0.0702049760237368i</v>
      </c>
      <c r="AW148">
        <f t="shared" ref="AW148:AW211" si="192">IMABS(AV148)</f>
        <v>1.0024613402313796</v>
      </c>
      <c r="AX148">
        <f t="shared" ref="AX148:AX211" si="193">IMARGUMENT(AV148)</f>
        <v>7.0089975258102497E-2</v>
      </c>
      <c r="AY148" t="str">
        <f t="shared" si="168"/>
        <v>1-0.0303063927227709i</v>
      </c>
      <c r="AZ148">
        <f t="shared" ref="AZ148:AZ211" si="194">IMABS(AY148)</f>
        <v>1.0004591333182313</v>
      </c>
      <c r="BA148">
        <f t="shared" ref="BA148:BA211" si="195">IMARGUMENT(AY148)</f>
        <v>-3.029711925338496E-2</v>
      </c>
      <c r="BB148" s="58" t="str">
        <f t="shared" ref="BB148:BB211" si="196">IMDIV(IMPRODUCT(AR148,AY148), AS148)</f>
        <v>-1.93079096453681+0.194480230333098i</v>
      </c>
      <c r="BC148">
        <f t="shared" ref="BC148:BC211" si="197">20*LOG(IMABS(BB148))</f>
        <v>5.7585451887484975</v>
      </c>
      <c r="BD148" s="60">
        <f t="shared" ref="BD148:BD211" si="198">(180/PI())*IMARGUMENT(BB148)</f>
        <v>174.24824316691084</v>
      </c>
      <c r="BE148" s="58" t="str">
        <f t="shared" ref="BE148:BE211" si="199">IMPRODUCT(AB148,BB148)</f>
        <v>0.120275764594786+5.32458247952205i</v>
      </c>
      <c r="BF148" s="37">
        <f t="shared" ref="BF148:BF211" si="200">20*LOG(IMABS(BE148))</f>
        <v>14.527926608994907</v>
      </c>
      <c r="BG148" s="60">
        <f t="shared" ref="BG148:BG211" si="201">(180/PI())*IMARGUMENT(BE148)</f>
        <v>88.705978924306194</v>
      </c>
      <c r="BH148" s="58" t="str">
        <f t="shared" ref="BH148:BH211" si="202">IMPRODUCT(AO148,BB148)</f>
        <v>0.0196883463937971+7.89728264031123i</v>
      </c>
      <c r="BI148" s="37">
        <f t="shared" ref="BI148:BI211" si="203">20*LOG(IMABS(BH148))</f>
        <v>17.94958062272168</v>
      </c>
      <c r="BJ148" s="60">
        <f t="shared" ref="BJ148:BJ211" si="204">(180/PI())*IMARGUMENT(BH148)</f>
        <v>89.857158864857396</v>
      </c>
      <c r="BK148">
        <f t="shared" ref="BK148:BK211" si="205">IF($B$19=0,BF148,BI148)</f>
        <v>14.527926608994907</v>
      </c>
      <c r="BL148" s="60">
        <f t="shared" ref="BL148:BL211" si="206">IF($B$19=0,BG148,BJ148)</f>
        <v>88.705978924306194</v>
      </c>
      <c r="BN148">
        <f t="shared" si="154"/>
        <v>0</v>
      </c>
      <c r="BO148">
        <f t="shared" si="155"/>
        <v>0</v>
      </c>
    </row>
    <row r="149" spans="13:67" ht="14.25" x14ac:dyDescent="0.2">
      <c r="M149" s="66">
        <v>31</v>
      </c>
      <c r="N149" s="36">
        <f t="shared" si="156"/>
        <v>204.17379446695315</v>
      </c>
      <c r="O149" s="91" t="str">
        <f t="shared" si="157"/>
        <v>99.7340425531915</v>
      </c>
      <c r="P149" s="67" t="str">
        <f t="shared" si="158"/>
        <v>1+37.257581642883i</v>
      </c>
      <c r="Q149" s="67">
        <f t="shared" si="169"/>
        <v>37.270999314159688</v>
      </c>
      <c r="R149" s="67">
        <f t="shared" si="170"/>
        <v>1.5439625944913893</v>
      </c>
      <c r="S149" s="67" t="str">
        <f t="shared" si="159"/>
        <v>1+0.07004425348862i</v>
      </c>
      <c r="T149" s="67">
        <f t="shared" si="171"/>
        <v>1.0024500972351582</v>
      </c>
      <c r="U149" s="67">
        <f t="shared" si="172"/>
        <v>6.9930039202733135E-2</v>
      </c>
      <c r="V149" t="str">
        <f t="shared" si="160"/>
        <v>1-0.00723534047025306i</v>
      </c>
      <c r="W149" s="67">
        <f t="shared" si="173"/>
        <v>1.0000261747333019</v>
      </c>
      <c r="X149" s="67">
        <f t="shared" si="174"/>
        <v>-7.2352142171615355E-3</v>
      </c>
      <c r="Y149" t="str">
        <f t="shared" si="161"/>
        <v>0.99999013326903+0.0111839232582562i</v>
      </c>
      <c r="Z149" s="67">
        <f t="shared" si="175"/>
        <v>1.0000526720002596</v>
      </c>
      <c r="AA149" s="67">
        <f t="shared" si="176"/>
        <v>1.1183567333737213E-2</v>
      </c>
      <c r="AB149" s="92" t="str">
        <f t="shared" si="177"/>
        <v>0.209937731569672-2.67417262550502i</v>
      </c>
      <c r="AC149" s="37">
        <f t="shared" si="178"/>
        <v>8.5704728136013131</v>
      </c>
      <c r="AD149" s="60">
        <f t="shared" si="179"/>
        <v>-85.511162729564091</v>
      </c>
      <c r="AE149" t="str">
        <f t="shared" si="180"/>
        <v>118.329284003155</v>
      </c>
      <c r="AF149" t="str">
        <f t="shared" si="162"/>
        <v>1+29.8060653143064i</v>
      </c>
      <c r="AG149">
        <f t="shared" si="181"/>
        <v>29.8228357055579</v>
      </c>
      <c r="AH149">
        <f t="shared" si="182"/>
        <v>1.5372586881652883</v>
      </c>
      <c r="AI149" t="str">
        <f t="shared" si="163"/>
        <v>1+0.07004425348862i</v>
      </c>
      <c r="AJ149">
        <f t="shared" si="183"/>
        <v>1.0024500972351582</v>
      </c>
      <c r="AK149">
        <f t="shared" si="184"/>
        <v>6.9930039202733135E-2</v>
      </c>
      <c r="AL149" t="str">
        <f t="shared" si="164"/>
        <v>1-0.00487850907090492i</v>
      </c>
      <c r="AM149">
        <f t="shared" si="185"/>
        <v>1.0000118998545742</v>
      </c>
      <c r="AN149">
        <f t="shared" si="186"/>
        <v>-4.8784703688616489E-3</v>
      </c>
      <c r="AO149" s="58" t="str">
        <f t="shared" si="187"/>
        <v>0.391504567779037-3.95819483959047i</v>
      </c>
      <c r="AP149">
        <f t="shared" si="188"/>
        <v>11.992224619683327</v>
      </c>
      <c r="AQ149" s="60">
        <f t="shared" si="189"/>
        <v>-84.351254506802931</v>
      </c>
      <c r="AR149" t="str">
        <f t="shared" si="165"/>
        <v>-1.94444444444444</v>
      </c>
      <c r="AS149" t="str">
        <f t="shared" si="166"/>
        <v>1+0.071840259988328i</v>
      </c>
      <c r="AT149">
        <f t="shared" si="190"/>
        <v>1.0025771905221017</v>
      </c>
      <c r="AU149">
        <f t="shared" si="191"/>
        <v>7.171705154919604E-2</v>
      </c>
      <c r="AV149" t="str">
        <f t="shared" si="167"/>
        <v>1+0.071840259988328i</v>
      </c>
      <c r="AW149">
        <f t="shared" si="192"/>
        <v>1.0025771905221017</v>
      </c>
      <c r="AX149">
        <f t="shared" si="193"/>
        <v>7.171705154919604E-2</v>
      </c>
      <c r="AY149" t="str">
        <f t="shared" si="168"/>
        <v>1-0.0296165350015961i</v>
      </c>
      <c r="AZ149">
        <f t="shared" si="194"/>
        <v>1.0004384734432701</v>
      </c>
      <c r="BA149">
        <f t="shared" si="195"/>
        <v>-2.9607880281907771E-2</v>
      </c>
      <c r="BB149" s="58" t="str">
        <f t="shared" si="196"/>
        <v>-1.93034477491045+0.196264177444225i</v>
      </c>
      <c r="BC149">
        <f t="shared" si="197"/>
        <v>5.7573620856878849</v>
      </c>
      <c r="BD149" s="60">
        <f t="shared" si="198"/>
        <v>174.19450904662699</v>
      </c>
      <c r="BE149" s="58" t="str">
        <f t="shared" si="199"/>
        <v>0.119592087496537+5.2032784110532i</v>
      </c>
      <c r="BF149" s="37">
        <f t="shared" si="200"/>
        <v>14.327834899289194</v>
      </c>
      <c r="BG149" s="60">
        <f t="shared" si="201"/>
        <v>88.683346317062899</v>
      </c>
      <c r="BH149" s="58" t="str">
        <f t="shared" si="202"/>
        <v>0.0211130575903613+7.71751904864178i</v>
      </c>
      <c r="BI149" s="37">
        <f t="shared" si="203"/>
        <v>17.749586705371211</v>
      </c>
      <c r="BJ149" s="60">
        <f t="shared" si="204"/>
        <v>89.843254539824045</v>
      </c>
      <c r="BK149">
        <f t="shared" si="205"/>
        <v>14.327834899289194</v>
      </c>
      <c r="BL149" s="60">
        <f t="shared" si="206"/>
        <v>88.683346317062899</v>
      </c>
      <c r="BN149">
        <f t="shared" ref="BN149:BN212" si="207">SUM((BK150&lt;0)*(BK149&gt;0))*N149</f>
        <v>0</v>
      </c>
      <c r="BO149">
        <f t="shared" ref="BO149:BO212" si="208">IF(BN149&gt;0,BL149,0)</f>
        <v>0</v>
      </c>
    </row>
    <row r="150" spans="13:67" ht="14.25" x14ac:dyDescent="0.2">
      <c r="M150" s="66">
        <v>32</v>
      </c>
      <c r="N150" s="36">
        <f t="shared" si="156"/>
        <v>208.92961308540396</v>
      </c>
      <c r="O150" s="91" t="str">
        <f t="shared" si="157"/>
        <v>99.7340425531915</v>
      </c>
      <c r="P150" s="67" t="str">
        <f t="shared" si="158"/>
        <v>1+38.1254222044904i</v>
      </c>
      <c r="Q150" s="67">
        <f t="shared" si="169"/>
        <v>38.138534558509839</v>
      </c>
      <c r="R150" s="67">
        <f t="shared" si="170"/>
        <v>1.5445731215724612</v>
      </c>
      <c r="S150" s="67" t="str">
        <f t="shared" si="159"/>
        <v>1+0.071675793744442i</v>
      </c>
      <c r="T150" s="67">
        <f t="shared" si="171"/>
        <v>1.0025654190170812</v>
      </c>
      <c r="U150" s="67">
        <f t="shared" si="172"/>
        <v>7.1553427839238029E-2</v>
      </c>
      <c r="V150" t="str">
        <f t="shared" si="160"/>
        <v>1-0.00740387319997533i</v>
      </c>
      <c r="W150" s="67">
        <f t="shared" si="173"/>
        <v>1.0000274082935734</v>
      </c>
      <c r="X150" s="67">
        <f t="shared" si="174"/>
        <v>-7.4037379175506662E-3</v>
      </c>
      <c r="Y150" t="str">
        <f t="shared" si="161"/>
        <v>0.999989668264326+0.0114444302963794i</v>
      </c>
      <c r="Z150" s="67">
        <f t="shared" si="175"/>
        <v>1.0000551542891047</v>
      </c>
      <c r="AA150" s="67">
        <f t="shared" si="176"/>
        <v>1.144404891751109E-2</v>
      </c>
      <c r="AB150" s="92" t="str">
        <f t="shared" si="177"/>
        <v>0.206711590134495-2.61352049207514i</v>
      </c>
      <c r="AC150" s="37">
        <f t="shared" si="178"/>
        <v>8.3716018474732827</v>
      </c>
      <c r="AD150" s="60">
        <f t="shared" si="179"/>
        <v>-85.47771022937809</v>
      </c>
      <c r="AE150" t="str">
        <f t="shared" si="180"/>
        <v>118.329284003155</v>
      </c>
      <c r="AF150" t="str">
        <f t="shared" si="162"/>
        <v>1+30.5003377635924i</v>
      </c>
      <c r="AG150">
        <f t="shared" si="181"/>
        <v>30.516726621530371</v>
      </c>
      <c r="AH150">
        <f t="shared" si="182"/>
        <v>1.5380215450859682</v>
      </c>
      <c r="AI150" t="str">
        <f t="shared" si="163"/>
        <v>1+0.071675793744442i</v>
      </c>
      <c r="AJ150">
        <f t="shared" si="183"/>
        <v>1.0025654190170812</v>
      </c>
      <c r="AK150">
        <f t="shared" si="184"/>
        <v>7.1553427839238029E-2</v>
      </c>
      <c r="AL150" t="str">
        <f t="shared" si="164"/>
        <v>1-0.00499214414503513i</v>
      </c>
      <c r="AM150">
        <f t="shared" si="185"/>
        <v>1.0000124606739482</v>
      </c>
      <c r="AN150">
        <f t="shared" si="186"/>
        <v>-4.9921026750765216E-3</v>
      </c>
      <c r="AO150" s="58" t="str">
        <f t="shared" si="187"/>
        <v>0.385536123931358-3.86835348815753i</v>
      </c>
      <c r="AP150">
        <f t="shared" si="188"/>
        <v>11.793448434061842</v>
      </c>
      <c r="AQ150" s="60">
        <f t="shared" si="189"/>
        <v>-84.308460322911458</v>
      </c>
      <c r="AR150" t="str">
        <f t="shared" si="165"/>
        <v>-1.94444444444444</v>
      </c>
      <c r="AS150" t="str">
        <f t="shared" si="166"/>
        <v>1+0.0735136346096839i</v>
      </c>
      <c r="AT150">
        <f t="shared" si="190"/>
        <v>1.0026984863225465</v>
      </c>
      <c r="AU150">
        <f t="shared" si="191"/>
        <v>7.3381633570144017E-2</v>
      </c>
      <c r="AV150" t="str">
        <f t="shared" si="167"/>
        <v>1+0.0735136346096839i</v>
      </c>
      <c r="AW150">
        <f t="shared" si="192"/>
        <v>1.0026984863225465</v>
      </c>
      <c r="AX150">
        <f t="shared" si="193"/>
        <v>7.3381633570144017E-2</v>
      </c>
      <c r="AY150" t="str">
        <f t="shared" si="168"/>
        <v>1-0.0289423803593001i</v>
      </c>
      <c r="AZ150">
        <f t="shared" si="194"/>
        <v>1.0004187430175739</v>
      </c>
      <c r="BA150">
        <f t="shared" si="195"/>
        <v>-2.8934303113743891E-2</v>
      </c>
      <c r="BB150" s="58" t="str">
        <f t="shared" si="196"/>
        <v>-1.92987777799013+0.198149180511154i</v>
      </c>
      <c r="BC150">
        <f t="shared" si="197"/>
        <v>5.7561399926866255</v>
      </c>
      <c r="BD150" s="60">
        <f t="shared" si="198"/>
        <v>174.13772865108544</v>
      </c>
      <c r="BE150" s="58" t="str">
        <f t="shared" si="199"/>
        <v>0.118938839500231+5.08473485216495i</v>
      </c>
      <c r="BF150" s="37">
        <f t="shared" si="200"/>
        <v>14.127741840159908</v>
      </c>
      <c r="BG150" s="60">
        <f t="shared" si="201"/>
        <v>88.660018421707377</v>
      </c>
      <c r="BH150" s="58" t="str">
        <f t="shared" si="202"/>
        <v>0.022473475418302+7.54184310122027i</v>
      </c>
      <c r="BI150" s="37">
        <f t="shared" si="203"/>
        <v>17.549588426748471</v>
      </c>
      <c r="BJ150" s="60">
        <f t="shared" si="204"/>
        <v>89.82926832817401</v>
      </c>
      <c r="BK150">
        <f t="shared" si="205"/>
        <v>14.127741840159908</v>
      </c>
      <c r="BL150" s="60">
        <f t="shared" si="206"/>
        <v>88.660018421707377</v>
      </c>
      <c r="BN150">
        <f t="shared" si="207"/>
        <v>0</v>
      </c>
      <c r="BO150">
        <f t="shared" si="208"/>
        <v>0</v>
      </c>
    </row>
    <row r="151" spans="13:67" ht="14.25" x14ac:dyDescent="0.2">
      <c r="M151" s="66">
        <v>33</v>
      </c>
      <c r="N151" s="36">
        <f t="shared" si="156"/>
        <v>213.79620895022339</v>
      </c>
      <c r="O151" s="91" t="str">
        <f t="shared" si="157"/>
        <v>99.7340425531915</v>
      </c>
      <c r="P151" s="67" t="str">
        <f t="shared" si="158"/>
        <v>1+39.0134773696i</v>
      </c>
      <c r="Q151" s="67">
        <f t="shared" si="169"/>
        <v>39.026291349144252</v>
      </c>
      <c r="R151" s="67">
        <f t="shared" si="170"/>
        <v>1.5451697702553766</v>
      </c>
      <c r="S151" s="67" t="str">
        <f t="shared" si="159"/>
        <v>1+0.0733453374548481i</v>
      </c>
      <c r="T151" s="67">
        <f t="shared" si="171"/>
        <v>1.0026861615312967</v>
      </c>
      <c r="U151" s="67">
        <f t="shared" si="172"/>
        <v>7.3214238988766958E-2</v>
      </c>
      <c r="V151" t="str">
        <f t="shared" si="160"/>
        <v>1-0.00757633156127002i</v>
      </c>
      <c r="W151" s="67">
        <f t="shared" si="173"/>
        <v>1.0000286999881185</v>
      </c>
      <c r="X151" s="67">
        <f t="shared" si="174"/>
        <v>-7.5761866037650193E-3</v>
      </c>
      <c r="Y151" t="str">
        <f t="shared" si="161"/>
        <v>0.999989181344624+0.0117110053229306i</v>
      </c>
      <c r="Z151" s="67">
        <f t="shared" si="175"/>
        <v>1.0000577535582458</v>
      </c>
      <c r="AA151" s="67">
        <f t="shared" si="176"/>
        <v>1.1710596669372863E-2</v>
      </c>
      <c r="AB151" s="92" t="str">
        <f t="shared" si="177"/>
        <v>0.2036303176152-2.55424646983453i</v>
      </c>
      <c r="AC151" s="37">
        <f t="shared" si="178"/>
        <v>8.1727708843896067</v>
      </c>
      <c r="AD151" s="60">
        <f t="shared" si="179"/>
        <v>-85.441890854447919</v>
      </c>
      <c r="AE151" t="str">
        <f t="shared" si="180"/>
        <v>118.329284003155</v>
      </c>
      <c r="AF151" t="str">
        <f t="shared" si="162"/>
        <v>1+31.21078189568i</v>
      </c>
      <c r="AG151">
        <f t="shared" si="181"/>
        <v>31.226797891229683</v>
      </c>
      <c r="AH151">
        <f t="shared" si="182"/>
        <v>1.538767074138659</v>
      </c>
      <c r="AI151" t="str">
        <f t="shared" si="163"/>
        <v>1+0.0733453374548481i</v>
      </c>
      <c r="AJ151">
        <f t="shared" si="183"/>
        <v>1.0026861615312967</v>
      </c>
      <c r="AK151">
        <f t="shared" si="184"/>
        <v>7.3214238988766958E-2</v>
      </c>
      <c r="AL151" t="str">
        <f t="shared" si="164"/>
        <v>1-0.00510842612006983i</v>
      </c>
      <c r="AM151">
        <f t="shared" si="185"/>
        <v>1.000013047923588</v>
      </c>
      <c r="AN151">
        <f t="shared" si="186"/>
        <v>-5.1083816842399073E-3</v>
      </c>
      <c r="AO151" s="58" t="str">
        <f t="shared" si="187"/>
        <v>0.379835740363518-3.78054558783881i</v>
      </c>
      <c r="AP151">
        <f t="shared" si="188"/>
        <v>11.594709439759686</v>
      </c>
      <c r="AQ151" s="60">
        <f t="shared" si="189"/>
        <v>-84.262680818169784</v>
      </c>
      <c r="AR151" t="str">
        <f t="shared" si="165"/>
        <v>-1.94444444444444</v>
      </c>
      <c r="AS151" t="str">
        <f t="shared" si="166"/>
        <v>1+0.0752259871331773i</v>
      </c>
      <c r="AT151">
        <f t="shared" si="190"/>
        <v>1.0028254828932903</v>
      </c>
      <c r="AU151">
        <f t="shared" si="191"/>
        <v>7.5084566985445217E-2</v>
      </c>
      <c r="AV151" t="str">
        <f t="shared" si="167"/>
        <v>1+0.0752259871331773i</v>
      </c>
      <c r="AW151">
        <f t="shared" si="192"/>
        <v>1.0028254828932903</v>
      </c>
      <c r="AX151">
        <f t="shared" si="193"/>
        <v>7.5084566985445217E-2</v>
      </c>
      <c r="AY151" t="str">
        <f t="shared" si="168"/>
        <v>1-0.0282835713501686i</v>
      </c>
      <c r="AZ151">
        <f t="shared" si="194"/>
        <v>1.0003999002440573</v>
      </c>
      <c r="BA151">
        <f t="shared" si="195"/>
        <v>-2.827603305561158E-2</v>
      </c>
      <c r="BB151" s="58" t="str">
        <f t="shared" si="196"/>
        <v>-1.92938901430168+0.200136026345635i</v>
      </c>
      <c r="BC151">
        <f t="shared" si="197"/>
        <v>5.7548763534940619</v>
      </c>
      <c r="BD151" s="60">
        <f t="shared" si="198"/>
        <v>174.07787384970771</v>
      </c>
      <c r="BE151" s="58" t="str">
        <f t="shared" si="199"/>
        <v>0.11831464099452+4.9688888413286i</v>
      </c>
      <c r="BF151" s="37">
        <f t="shared" si="200"/>
        <v>13.927647237883676</v>
      </c>
      <c r="BG151" s="60">
        <f t="shared" si="201"/>
        <v>88.635982995259809</v>
      </c>
      <c r="BH151" s="58" t="str">
        <f t="shared" si="202"/>
        <v>0.0237724666720653+7.37016194098329i</v>
      </c>
      <c r="BI151" s="37">
        <f t="shared" si="203"/>
        <v>17.349585793253745</v>
      </c>
      <c r="BJ151" s="60">
        <f t="shared" si="204"/>
        <v>89.815193031537959</v>
      </c>
      <c r="BK151">
        <f t="shared" si="205"/>
        <v>13.927647237883676</v>
      </c>
      <c r="BL151" s="60">
        <f t="shared" si="206"/>
        <v>88.635982995259809</v>
      </c>
      <c r="BN151">
        <f t="shared" si="207"/>
        <v>0</v>
      </c>
      <c r="BO151">
        <f t="shared" si="208"/>
        <v>0</v>
      </c>
    </row>
    <row r="152" spans="13:67" ht="14.25" x14ac:dyDescent="0.2">
      <c r="M152" s="66">
        <v>34</v>
      </c>
      <c r="N152" s="36">
        <f t="shared" si="156"/>
        <v>218.77616239495524</v>
      </c>
      <c r="O152" s="91" t="str">
        <f t="shared" si="157"/>
        <v>99.7340425531915</v>
      </c>
      <c r="P152" s="67" t="str">
        <f t="shared" si="158"/>
        <v>1+39.9222179968155i</v>
      </c>
      <c r="Q152" s="67">
        <f t="shared" si="169"/>
        <v>39.934740387102302</v>
      </c>
      <c r="R152" s="67">
        <f t="shared" si="170"/>
        <v>1.5457528551909856</v>
      </c>
      <c r="S152" s="67" t="str">
        <f t="shared" si="159"/>
        <v>1+0.0750537698340132i</v>
      </c>
      <c r="T152" s="67">
        <f t="shared" si="171"/>
        <v>1.0028125788831614</v>
      </c>
      <c r="U152" s="67">
        <f t="shared" si="172"/>
        <v>7.4913316566787833E-2</v>
      </c>
      <c r="V152" t="str">
        <f t="shared" si="160"/>
        <v>1-0.00775280699384312i</v>
      </c>
      <c r="W152" s="67">
        <f t="shared" si="173"/>
        <v>1.0000300525565637</v>
      </c>
      <c r="X152" s="67">
        <f t="shared" si="174"/>
        <v>-7.7526516693301713E-3</v>
      </c>
      <c r="Y152" t="str">
        <f t="shared" si="161"/>
        <v>0.999988671477105+0.0119837896795175i</v>
      </c>
      <c r="Z152" s="67">
        <f t="shared" si="175"/>
        <v>1.0000604753201821</v>
      </c>
      <c r="AA152" s="67">
        <f t="shared" si="176"/>
        <v>1.1983351800757486E-2</v>
      </c>
      <c r="AB152" s="92" t="str">
        <f t="shared" si="177"/>
        <v>0.200687404563263-2.4963196381159i</v>
      </c>
      <c r="AC152" s="37">
        <f t="shared" si="178"/>
        <v>7.9739823687504208</v>
      </c>
      <c r="AD152" s="60">
        <f t="shared" si="179"/>
        <v>-85.403687607427344</v>
      </c>
      <c r="AE152" t="str">
        <f t="shared" si="180"/>
        <v>118.329284003155</v>
      </c>
      <c r="AF152" t="str">
        <f t="shared" si="162"/>
        <v>1+31.9377743974524i</v>
      </c>
      <c r="AG152">
        <f t="shared" si="181"/>
        <v>31.953426005086936</v>
      </c>
      <c r="AH152">
        <f t="shared" si="182"/>
        <v>1.5394956672958362</v>
      </c>
      <c r="AI152" t="str">
        <f t="shared" si="163"/>
        <v>1+0.0750537698340132i</v>
      </c>
      <c r="AJ152">
        <f t="shared" si="183"/>
        <v>1.0028125788831614</v>
      </c>
      <c r="AK152">
        <f t="shared" si="184"/>
        <v>7.4913316566787833E-2</v>
      </c>
      <c r="AL152" t="str">
        <f t="shared" si="164"/>
        <v>1-0.00522741665025142i</v>
      </c>
      <c r="AM152">
        <f t="shared" si="185"/>
        <v>1.000013662849081</v>
      </c>
      <c r="AN152">
        <f t="shared" si="186"/>
        <v>-5.2273690364369471E-3</v>
      </c>
      <c r="AO152" s="58" t="str">
        <f t="shared" si="187"/>
        <v>0.374391401921787-3.69472575413802i</v>
      </c>
      <c r="AP152">
        <f t="shared" si="188"/>
        <v>11.39601027541514</v>
      </c>
      <c r="AQ152" s="60">
        <f t="shared" si="189"/>
        <v>-84.213893629868565</v>
      </c>
      <c r="AR152" t="str">
        <f t="shared" si="165"/>
        <v>-1.94444444444444</v>
      </c>
      <c r="AS152" t="str">
        <f t="shared" si="166"/>
        <v>1+0.0769782254707825i</v>
      </c>
      <c r="AT152">
        <f t="shared" si="190"/>
        <v>1.0029584473928272</v>
      </c>
      <c r="AU152">
        <f t="shared" si="191"/>
        <v>7.6826715183001187E-2</v>
      </c>
      <c r="AV152" t="str">
        <f t="shared" si="167"/>
        <v>1+0.0769782254707825i</v>
      </c>
      <c r="AW152">
        <f t="shared" si="192"/>
        <v>1.0029584473928272</v>
      </c>
      <c r="AX152">
        <f t="shared" si="193"/>
        <v>7.6826715183001187E-2</v>
      </c>
      <c r="AY152" t="str">
        <f t="shared" si="168"/>
        <v>1-0.0276397586649441i</v>
      </c>
      <c r="AZ152">
        <f t="shared" si="194"/>
        <v>1.0003819052037359</v>
      </c>
      <c r="BA152">
        <f t="shared" si="195"/>
        <v>-2.7632723367248185E-2</v>
      </c>
      <c r="BB152" s="58" t="str">
        <f t="shared" si="196"/>
        <v>-1.92887748116628+0.202225540832568i</v>
      </c>
      <c r="BC152">
        <f t="shared" si="197"/>
        <v>5.7535685270073067</v>
      </c>
      <c r="BD152" s="60">
        <f t="shared" si="198"/>
        <v>174.01491504076458</v>
      </c>
      <c r="BE152" s="58" t="str">
        <f t="shared" si="199"/>
        <v>0.117718173493163+4.85567885468101i</v>
      </c>
      <c r="BF152" s="37">
        <f t="shared" si="200"/>
        <v>13.727550895757732</v>
      </c>
      <c r="BG152" s="60">
        <f t="shared" si="201"/>
        <v>88.611227433337234</v>
      </c>
      <c r="BH152" s="58" t="str">
        <f t="shared" si="202"/>
        <v>0.0250127695493698+7.20238480997863i</v>
      </c>
      <c r="BI152" s="37">
        <f t="shared" si="203"/>
        <v>17.14957880242245</v>
      </c>
      <c r="BJ152" s="60">
        <f t="shared" si="204"/>
        <v>89.801021410895999</v>
      </c>
      <c r="BK152">
        <f t="shared" si="205"/>
        <v>13.727550895757732</v>
      </c>
      <c r="BL152" s="60">
        <f t="shared" si="206"/>
        <v>88.611227433337234</v>
      </c>
      <c r="BN152">
        <f t="shared" si="207"/>
        <v>0</v>
      </c>
      <c r="BO152">
        <f t="shared" si="208"/>
        <v>0</v>
      </c>
    </row>
    <row r="153" spans="13:67" ht="14.25" x14ac:dyDescent="0.2">
      <c r="M153" s="66">
        <v>35</v>
      </c>
      <c r="N153" s="36">
        <f t="shared" si="156"/>
        <v>223.87211385683412</v>
      </c>
      <c r="O153" s="91" t="str">
        <f t="shared" si="157"/>
        <v>99.7340425531915</v>
      </c>
      <c r="P153" s="67" t="str">
        <f t="shared" si="158"/>
        <v>1+40.852125912446i</v>
      </c>
      <c r="Q153" s="67">
        <f t="shared" si="169"/>
        <v>40.864363344683859</v>
      </c>
      <c r="R153" s="67">
        <f t="shared" si="170"/>
        <v>1.5463226839517954</v>
      </c>
      <c r="S153" s="67" t="str">
        <f t="shared" si="159"/>
        <v>1+0.0768019967153986i</v>
      </c>
      <c r="T153" s="67">
        <f t="shared" si="171"/>
        <v>1.0029449370227022</v>
      </c>
      <c r="U153" s="67">
        <f t="shared" si="172"/>
        <v>7.6651522184690443E-2</v>
      </c>
      <c r="V153" t="str">
        <f t="shared" si="160"/>
        <v>1-0.0079333930673049i</v>
      </c>
      <c r="W153" s="67">
        <f t="shared" si="173"/>
        <v>1.0000314688676353</v>
      </c>
      <c r="X153" s="67">
        <f t="shared" si="174"/>
        <v>-7.9332266343735587E-3</v>
      </c>
      <c r="Y153" t="str">
        <f t="shared" si="161"/>
        <v>0.999988137580269+0.0122629280000167i</v>
      </c>
      <c r="Z153" s="67">
        <f t="shared" si="175"/>
        <v>1.0000633253471445</v>
      </c>
      <c r="AA153" s="67">
        <f t="shared" si="176"/>
        <v>1.2262458806061059E-2</v>
      </c>
      <c r="AB153" s="92" t="str">
        <f t="shared" si="177"/>
        <v>0.197876632694515-2.43970975675377i</v>
      </c>
      <c r="AC153" s="37">
        <f t="shared" si="178"/>
        <v>7.7752388317196193</v>
      </c>
      <c r="AD153" s="60">
        <f t="shared" si="179"/>
        <v>-85.363082381454305</v>
      </c>
      <c r="AE153" t="str">
        <f t="shared" si="180"/>
        <v>118.329284003155</v>
      </c>
      <c r="AF153" t="str">
        <f t="shared" si="162"/>
        <v>1+32.6817007299568i</v>
      </c>
      <c r="AG153">
        <f t="shared" si="181"/>
        <v>32.696996232107608</v>
      </c>
      <c r="AH153">
        <f t="shared" si="182"/>
        <v>1.5402077077712892</v>
      </c>
      <c r="AI153" t="str">
        <f t="shared" si="163"/>
        <v>1+0.0768019967153986i</v>
      </c>
      <c r="AJ153">
        <f t="shared" si="183"/>
        <v>1.0029449370227022</v>
      </c>
      <c r="AK153">
        <f t="shared" si="184"/>
        <v>7.6651522184690443E-2</v>
      </c>
      <c r="AL153" t="str">
        <f t="shared" si="164"/>
        <v>1-0.00534917882593403i</v>
      </c>
      <c r="AM153">
        <f t="shared" si="185"/>
        <v>1.0000143067547143</v>
      </c>
      <c r="AN153">
        <f t="shared" si="186"/>
        <v>-5.3491278068520482E-3</v>
      </c>
      <c r="AO153" s="58" t="str">
        <f t="shared" si="187"/>
        <v>0.369191629873527-3.61084957866342i</v>
      </c>
      <c r="AP153">
        <f t="shared" si="188"/>
        <v>11.197353660949855</v>
      </c>
      <c r="AQ153" s="60">
        <f t="shared" si="189"/>
        <v>-84.16207496178626</v>
      </c>
      <c r="AR153" t="str">
        <f t="shared" si="165"/>
        <v>-1.94444444444444</v>
      </c>
      <c r="AS153" t="str">
        <f t="shared" si="166"/>
        <v>1+0.0787712786824598i</v>
      </c>
      <c r="AT153">
        <f t="shared" si="190"/>
        <v>1.0030976594256762</v>
      </c>
      <c r="AU153">
        <f t="shared" si="191"/>
        <v>7.8608959548709181E-2</v>
      </c>
      <c r="AV153" t="str">
        <f t="shared" si="167"/>
        <v>1+0.0787712786824598i</v>
      </c>
      <c r="AW153">
        <f t="shared" si="192"/>
        <v>1.0030976594256762</v>
      </c>
      <c r="AX153">
        <f t="shared" si="193"/>
        <v>7.8608959548709181E-2</v>
      </c>
      <c r="AY153" t="str">
        <f t="shared" si="168"/>
        <v>1-0.0270106009456192i</v>
      </c>
      <c r="AZ153">
        <f t="shared" si="194"/>
        <v>1.000364719771466</v>
      </c>
      <c r="BA153">
        <f t="shared" si="195"/>
        <v>-2.7004035088417189E-2</v>
      </c>
      <c r="BB153" s="58" t="str">
        <f t="shared" si="196"/>
        <v>-1.92834213085487+0.204418588334512i</v>
      </c>
      <c r="BC153">
        <f t="shared" si="197"/>
        <v>5.7522137819965877</v>
      </c>
      <c r="BD153" s="60">
        <f t="shared" si="198"/>
        <v>173.94882114555486</v>
      </c>
      <c r="BE153" s="58" t="str">
        <f t="shared" si="199"/>
        <v>0.117148176885014+4.74504477292578i</v>
      </c>
      <c r="BF153" s="37">
        <f t="shared" si="200"/>
        <v>13.527452613716207</v>
      </c>
      <c r="BG153" s="60">
        <f t="shared" si="201"/>
        <v>88.585738764100583</v>
      </c>
      <c r="BH153" s="58" t="str">
        <f t="shared" si="202"/>
        <v>0.0261969993145442+7.03842300251989i</v>
      </c>
      <c r="BI153" s="37">
        <f t="shared" si="203"/>
        <v>16.949567442946439</v>
      </c>
      <c r="BJ153" s="60">
        <f t="shared" si="204"/>
        <v>89.786746183768614</v>
      </c>
      <c r="BK153">
        <f t="shared" si="205"/>
        <v>13.527452613716207</v>
      </c>
      <c r="BL153" s="60">
        <f t="shared" si="206"/>
        <v>88.585738764100583</v>
      </c>
      <c r="BN153">
        <f t="shared" si="207"/>
        <v>0</v>
      </c>
      <c r="BO153">
        <f t="shared" si="208"/>
        <v>0</v>
      </c>
    </row>
    <row r="154" spans="13:67" ht="14.25" x14ac:dyDescent="0.2">
      <c r="M154" s="66">
        <v>36</v>
      </c>
      <c r="N154" s="36">
        <f t="shared" si="156"/>
        <v>229.08676527677744</v>
      </c>
      <c r="O154" s="91" t="str">
        <f t="shared" si="157"/>
        <v>99.7340425531915</v>
      </c>
      <c r="P154" s="67" t="str">
        <f t="shared" si="158"/>
        <v>1+41.803694165977i</v>
      </c>
      <c r="Q154" s="67">
        <f t="shared" si="169"/>
        <v>41.815653120841475</v>
      </c>
      <c r="R154" s="67">
        <f t="shared" si="170"/>
        <v>1.5468795571875003</v>
      </c>
      <c r="S154" s="67" t="str">
        <f t="shared" si="159"/>
        <v>1+0.0785909450320368i</v>
      </c>
      <c r="T154" s="67">
        <f t="shared" si="171"/>
        <v>1.0030835142903249</v>
      </c>
      <c r="U154" s="67">
        <f t="shared" si="172"/>
        <v>7.8429735424656588E-2</v>
      </c>
      <c r="V154" t="str">
        <f t="shared" si="160"/>
        <v>1-0.00811818553078182i</v>
      </c>
      <c r="W154" s="67">
        <f t="shared" si="173"/>
        <v>1.0000329519252413</v>
      </c>
      <c r="X154" s="67">
        <f t="shared" si="174"/>
        <v>-8.118007195000233E-3</v>
      </c>
      <c r="Y154" t="str">
        <f t="shared" si="161"/>
        <v>0.999987578521651+0.0125485682872605i</v>
      </c>
      <c r="Z154" s="67">
        <f t="shared" si="175"/>
        <v>1.0000663096833406</v>
      </c>
      <c r="AA154" s="67">
        <f t="shared" si="176"/>
        <v>1.254806553866207E-2</v>
      </c>
      <c r="AB154" s="92" t="str">
        <f t="shared" si="177"/>
        <v>0.195192061902642-2.38438725229764i</v>
      </c>
      <c r="AC154" s="37">
        <f t="shared" si="178"/>
        <v>7.5765428962722297</v>
      </c>
      <c r="AD154" s="60">
        <f t="shared" si="179"/>
        <v>-85.320055960498166</v>
      </c>
      <c r="AE154" t="str">
        <f t="shared" si="180"/>
        <v>118.329284003155</v>
      </c>
      <c r="AF154" t="str">
        <f t="shared" si="162"/>
        <v>1+33.4429553327816i</v>
      </c>
      <c r="AG154">
        <f t="shared" si="181"/>
        <v>33.457902824152406</v>
      </c>
      <c r="AH154">
        <f t="shared" si="182"/>
        <v>1.5409035702086054</v>
      </c>
      <c r="AI154" t="str">
        <f t="shared" si="163"/>
        <v>1+0.0785909450320368i</v>
      </c>
      <c r="AJ154">
        <f t="shared" si="183"/>
        <v>1.0030835142903249</v>
      </c>
      <c r="AK154">
        <f t="shared" si="184"/>
        <v>7.8429735424656588E-2</v>
      </c>
      <c r="AL154" t="str">
        <f t="shared" si="164"/>
        <v>1-0.00547377720703488i</v>
      </c>
      <c r="AM154">
        <f t="shared" si="185"/>
        <v>1.0000149810062409</v>
      </c>
      <c r="AN154">
        <f t="shared" si="186"/>
        <v>-5.4737225391478326E-3</v>
      </c>
      <c r="AO154" s="58" t="str">
        <f t="shared" si="187"/>
        <v>0.364225458145753-3.52887361075934i</v>
      </c>
      <c r="AP154">
        <f t="shared" si="188"/>
        <v>10.998742403009587</v>
      </c>
      <c r="AQ154" s="60">
        <f t="shared" si="189"/>
        <v>-84.107199581151917</v>
      </c>
      <c r="AR154" t="str">
        <f t="shared" si="165"/>
        <v>-1.94444444444444</v>
      </c>
      <c r="AS154" t="str">
        <f t="shared" si="166"/>
        <v>1+0.0806060974687554i</v>
      </c>
      <c r="AT154">
        <f t="shared" si="190"/>
        <v>1.0032434116151188</v>
      </c>
      <c r="AU154">
        <f t="shared" si="191"/>
        <v>8.0432199737927118E-2</v>
      </c>
      <c r="AV154" t="str">
        <f t="shared" si="167"/>
        <v>1+0.0806060974687554i</v>
      </c>
      <c r="AW154">
        <f t="shared" si="192"/>
        <v>1.0032434116151188</v>
      </c>
      <c r="AX154">
        <f t="shared" si="193"/>
        <v>8.0432199737927118E-2</v>
      </c>
      <c r="AY154" t="str">
        <f t="shared" si="168"/>
        <v>1-0.0263957646044433i</v>
      </c>
      <c r="AZ154">
        <f t="shared" si="194"/>
        <v>1.0003483075354569</v>
      </c>
      <c r="BA154">
        <f t="shared" si="195"/>
        <v>-2.6389636869316759E-2</v>
      </c>
      <c r="BB154" s="58" t="str">
        <f t="shared" si="196"/>
        <v>-1.92778186867329+0.206716071046751i</v>
      </c>
      <c r="BC154">
        <f t="shared" si="197"/>
        <v>5.7508092916685793</v>
      </c>
      <c r="BD154" s="60">
        <f t="shared" si="198"/>
        <v>173.87955960256886</v>
      </c>
      <c r="BE154" s="58" t="str">
        <f t="shared" si="199"/>
        <v>0.116603446804059+4.63692784901114i</v>
      </c>
      <c r="BF154" s="37">
        <f t="shared" si="200"/>
        <v>13.3273521879408</v>
      </c>
      <c r="BG154" s="60">
        <f t="shared" si="201"/>
        <v>88.559503642070709</v>
      </c>
      <c r="BH154" s="58" t="str">
        <f t="shared" si="202"/>
        <v>0.0273276537141275+6.87818981934459i</v>
      </c>
      <c r="BI154" s="37">
        <f t="shared" si="203"/>
        <v>16.749551694678161</v>
      </c>
      <c r="BJ154" s="60">
        <f t="shared" si="204"/>
        <v>89.772360021416958</v>
      </c>
      <c r="BK154">
        <f t="shared" si="205"/>
        <v>13.3273521879408</v>
      </c>
      <c r="BL154" s="60">
        <f t="shared" si="206"/>
        <v>88.559503642070709</v>
      </c>
      <c r="BN154">
        <f t="shared" si="207"/>
        <v>0</v>
      </c>
      <c r="BO154">
        <f t="shared" si="208"/>
        <v>0</v>
      </c>
    </row>
    <row r="155" spans="13:67" ht="14.25" x14ac:dyDescent="0.2">
      <c r="M155" s="66">
        <v>37</v>
      </c>
      <c r="N155" s="36">
        <f t="shared" si="156"/>
        <v>234.42288153199232</v>
      </c>
      <c r="O155" s="91" t="str">
        <f t="shared" si="157"/>
        <v>99.7340425531915</v>
      </c>
      <c r="P155" s="67" t="str">
        <f t="shared" si="158"/>
        <v>1+42.7774272914919i</v>
      </c>
      <c r="Q155" s="67">
        <f t="shared" si="169"/>
        <v>42.789114102524671</v>
      </c>
      <c r="R155" s="67">
        <f t="shared" si="170"/>
        <v>1.5474237687773436</v>
      </c>
      <c r="S155" s="67" t="str">
        <f t="shared" si="159"/>
        <v>1+0.0804215633080047i</v>
      </c>
      <c r="T155" s="67">
        <f t="shared" si="171"/>
        <v>1.0032286019870562</v>
      </c>
      <c r="U155" s="67">
        <f t="shared" si="172"/>
        <v>8.0248854111468565E-2</v>
      </c>
      <c r="V155" t="str">
        <f t="shared" si="160"/>
        <v>1-0.008307282363684i</v>
      </c>
      <c r="W155" s="67">
        <f t="shared" si="173"/>
        <v>1.0000345048748418</v>
      </c>
      <c r="X155" s="67">
        <f t="shared" si="174"/>
        <v>-8.307091273807311E-3</v>
      </c>
      <c r="Y155" t="str">
        <f t="shared" si="161"/>
        <v>0.999986993115412+0.0128408619915101i</v>
      </c>
      <c r="Z155" s="67">
        <f t="shared" si="175"/>
        <v>1.0000694346577581</v>
      </c>
      <c r="AA155" s="67">
        <f t="shared" si="176"/>
        <v>1.2840323288681678E-2</v>
      </c>
      <c r="AB155" s="92" t="str">
        <f t="shared" si="177"/>
        <v>0.192628017844921-2.33032320442954i</v>
      </c>
      <c r="AC155" s="37">
        <f t="shared" si="178"/>
        <v>7.3778972824071651</v>
      </c>
      <c r="AD155" s="60">
        <f t="shared" si="179"/>
        <v>-85.274588019865448</v>
      </c>
      <c r="AE155" t="str">
        <f t="shared" si="180"/>
        <v>118.329284003155</v>
      </c>
      <c r="AF155" t="str">
        <f t="shared" si="162"/>
        <v>1+34.2219418331935i</v>
      </c>
      <c r="AG155">
        <f t="shared" si="181"/>
        <v>34.23654922498001</v>
      </c>
      <c r="AH155">
        <f t="shared" si="182"/>
        <v>1.541583620866088</v>
      </c>
      <c r="AI155" t="str">
        <f t="shared" si="163"/>
        <v>1+0.0804215633080047i</v>
      </c>
      <c r="AJ155">
        <f t="shared" si="183"/>
        <v>1.0032286019870562</v>
      </c>
      <c r="AK155">
        <f t="shared" si="184"/>
        <v>8.0248854111468565E-2</v>
      </c>
      <c r="AL155" t="str">
        <f t="shared" si="164"/>
        <v>1-0.00560127785726488i</v>
      </c>
      <c r="AM155">
        <f t="shared" si="185"/>
        <v>1.0000156870337755</v>
      </c>
      <c r="AN155">
        <f t="shared" si="186"/>
        <v>-5.6012192796181604E-3</v>
      </c>
      <c r="AO155" s="58" t="str">
        <f t="shared" si="187"/>
        <v>0.359482410599762-3.44875533930351i</v>
      </c>
      <c r="AP155">
        <f t="shared" si="188"/>
        <v>10.80017940056104</v>
      </c>
      <c r="AQ155" s="60">
        <f t="shared" si="189"/>
        <v>-84.049240815623691</v>
      </c>
      <c r="AR155" t="str">
        <f t="shared" si="165"/>
        <v>-1.94444444444444</v>
      </c>
      <c r="AS155" t="str">
        <f t="shared" si="166"/>
        <v>1+0.0824836546748764i</v>
      </c>
      <c r="AT155">
        <f t="shared" si="190"/>
        <v>1.0033960102016173</v>
      </c>
      <c r="AU155">
        <f t="shared" si="191"/>
        <v>8.2297353943097479E-2</v>
      </c>
      <c r="AV155" t="str">
        <f t="shared" si="167"/>
        <v>1+0.0824836546748764i</v>
      </c>
      <c r="AW155">
        <f t="shared" si="192"/>
        <v>1.0033960102016173</v>
      </c>
      <c r="AX155">
        <f t="shared" si="193"/>
        <v>8.2297353943097479E-2</v>
      </c>
      <c r="AY155" t="str">
        <f t="shared" si="168"/>
        <v>1-0.0257949236470501i</v>
      </c>
      <c r="AZ155">
        <f t="shared" si="194"/>
        <v>1.0003326337203826</v>
      </c>
      <c r="BA155">
        <f t="shared" si="195"/>
        <v>-2.5789204804350881E-2</v>
      </c>
      <c r="BB155" s="58" t="str">
        <f t="shared" si="196"/>
        <v>-1.92719555097672+0.209118928298097i</v>
      </c>
      <c r="BC155">
        <f t="shared" si="197"/>
        <v>5.7493521280599573</v>
      </c>
      <c r="BD155" s="60">
        <f t="shared" si="198"/>
        <v>173.80709636167836</v>
      </c>
      <c r="BE155" s="58" t="str">
        <f t="shared" si="199"/>
        <v>0.116082832114297+4.53127067656634i</v>
      </c>
      <c r="BF155" s="37">
        <f t="shared" si="200"/>
        <v>13.127249410467122</v>
      </c>
      <c r="BG155" s="60">
        <f t="shared" si="201"/>
        <v>88.532508341812928</v>
      </c>
      <c r="BH155" s="58" t="str">
        <f t="shared" si="202"/>
        <v>0.0284071181552421+6.72160052275957i</v>
      </c>
      <c r="BI155" s="37">
        <f t="shared" si="203"/>
        <v>16.549531528620996</v>
      </c>
      <c r="BJ155" s="60">
        <f t="shared" si="204"/>
        <v>89.757855546054699</v>
      </c>
      <c r="BK155">
        <f t="shared" si="205"/>
        <v>13.127249410467122</v>
      </c>
      <c r="BL155" s="60">
        <f t="shared" si="206"/>
        <v>88.532508341812928</v>
      </c>
      <c r="BN155">
        <f t="shared" si="207"/>
        <v>0</v>
      </c>
      <c r="BO155">
        <f t="shared" si="208"/>
        <v>0</v>
      </c>
    </row>
    <row r="156" spans="13:67" ht="14.25" x14ac:dyDescent="0.2">
      <c r="M156" s="66">
        <v>38</v>
      </c>
      <c r="N156" s="36">
        <f t="shared" si="156"/>
        <v>239.88329190194912</v>
      </c>
      <c r="O156" s="91" t="str">
        <f t="shared" si="157"/>
        <v>99.7340425531915</v>
      </c>
      <c r="P156" s="67" t="str">
        <f t="shared" si="158"/>
        <v>1+43.7738415751833i</v>
      </c>
      <c r="Q156" s="67">
        <f t="shared" si="169"/>
        <v>43.785262432115744</v>
      </c>
      <c r="R156" s="67">
        <f t="shared" si="170"/>
        <v>1.5479556059793582</v>
      </c>
      <c r="S156" s="67" t="str">
        <f t="shared" si="159"/>
        <v>1+0.0822948221613446i</v>
      </c>
      <c r="T156" s="67">
        <f t="shared" si="171"/>
        <v>1.0033805049703564</v>
      </c>
      <c r="U156" s="67">
        <f t="shared" si="172"/>
        <v>8.2109794580548984E-2</v>
      </c>
      <c r="V156" t="str">
        <f t="shared" si="160"/>
        <v>1-0.00850078382765537i</v>
      </c>
      <c r="W156" s="67">
        <f t="shared" si="173"/>
        <v>1.0000361310101173</v>
      </c>
      <c r="X156" s="67">
        <f t="shared" si="174"/>
        <v>-8.5005790715630049E-3</v>
      </c>
      <c r="Y156" t="str">
        <f t="shared" si="161"/>
        <v>0.999986380119826+0.0131399640907566i</v>
      </c>
      <c r="Z156" s="67">
        <f t="shared" si="175"/>
        <v>1.0000727068975832</v>
      </c>
      <c r="AA156" s="67">
        <f t="shared" si="176"/>
        <v>1.3139386862520724E-2</v>
      </c>
      <c r="AB156" s="92" t="str">
        <f t="shared" si="177"/>
        <v>0.190179080075384-2.2774893325884i</v>
      </c>
      <c r="AC156" s="37">
        <f t="shared" si="178"/>
        <v>7.1793048125327754</v>
      </c>
      <c r="AD156" s="60">
        <f t="shared" si="179"/>
        <v>-85.226657126911292</v>
      </c>
      <c r="AE156" t="str">
        <f t="shared" si="180"/>
        <v>118.329284003155</v>
      </c>
      <c r="AF156" t="str">
        <f t="shared" si="162"/>
        <v>1+35.0190732601466i</v>
      </c>
      <c r="AG156">
        <f t="shared" si="181"/>
        <v>35.033348284163679</v>
      </c>
      <c r="AH156">
        <f t="shared" si="182"/>
        <v>1.54224821779814</v>
      </c>
      <c r="AI156" t="str">
        <f t="shared" si="163"/>
        <v>1+0.0822948221613446i</v>
      </c>
      <c r="AJ156">
        <f t="shared" si="183"/>
        <v>1.0033805049703564</v>
      </c>
      <c r="AK156">
        <f t="shared" si="184"/>
        <v>8.2109794580548984E-2</v>
      </c>
      <c r="AL156" t="str">
        <f t="shared" si="164"/>
        <v>1-0.00573174837915653i</v>
      </c>
      <c r="AM156">
        <f t="shared" si="185"/>
        <v>1.0000164263348288</v>
      </c>
      <c r="AN156">
        <f t="shared" si="186"/>
        <v>-5.7316856121328984E-3</v>
      </c>
      <c r="AO156" s="58" t="str">
        <f t="shared" si="187"/>
        <v>0.35495247929805-3.37045317468204i</v>
      </c>
      <c r="AP156">
        <f t="shared" si="188"/>
        <v>10.601667650651363</v>
      </c>
      <c r="AQ156" s="60">
        <f t="shared" si="189"/>
        <v>-83.988170550325862</v>
      </c>
      <c r="AR156" t="str">
        <f t="shared" si="165"/>
        <v>-1.94444444444444</v>
      </c>
      <c r="AS156" t="str">
        <f t="shared" si="166"/>
        <v>1+0.084404945806507i</v>
      </c>
      <c r="AT156">
        <f t="shared" si="190"/>
        <v>1.0035557756679991</v>
      </c>
      <c r="AU156">
        <f t="shared" si="191"/>
        <v>8.4205359156760903E-2</v>
      </c>
      <c r="AV156" t="str">
        <f t="shared" si="167"/>
        <v>1+0.084404945806507i</v>
      </c>
      <c r="AW156">
        <f t="shared" si="192"/>
        <v>1.0035557756679991</v>
      </c>
      <c r="AX156">
        <f t="shared" si="193"/>
        <v>8.4205359156760903E-2</v>
      </c>
      <c r="AY156" t="str">
        <f t="shared" si="168"/>
        <v>1-0.0252077594996104i</v>
      </c>
      <c r="AZ156">
        <f t="shared" si="194"/>
        <v>1.0003176651139327</v>
      </c>
      <c r="BA156">
        <f t="shared" si="195"/>
        <v>-2.5202422269218032E-2</v>
      </c>
      <c r="BB156" s="58" t="str">
        <f t="shared" si="196"/>
        <v>-1.92658198311176+0.21162813579225i</v>
      </c>
      <c r="BC156">
        <f t="shared" si="197"/>
        <v>5.7478392562519529</v>
      </c>
      <c r="BD156" s="60">
        <f t="shared" si="198"/>
        <v>173.7313958784016</v>
      </c>
      <c r="BE156" s="58" t="str">
        <f t="shared" si="199"/>
        <v>0.115585232504415+4.42801715907708i</v>
      </c>
      <c r="BF156" s="37">
        <f t="shared" si="200"/>
        <v>12.927144068784738</v>
      </c>
      <c r="BG156" s="60">
        <f t="shared" si="201"/>
        <v>88.504738751490308</v>
      </c>
      <c r="BH156" s="58" t="str">
        <f t="shared" si="202"/>
        <v>0.0294376706565578+6.56857229275294i</v>
      </c>
      <c r="BI156" s="37">
        <f t="shared" si="203"/>
        <v>16.349506906903322</v>
      </c>
      <c r="BJ156" s="60">
        <f t="shared" si="204"/>
        <v>89.743225328075752</v>
      </c>
      <c r="BK156">
        <f t="shared" si="205"/>
        <v>12.927144068784738</v>
      </c>
      <c r="BL156" s="60">
        <f t="shared" si="206"/>
        <v>88.504738751490308</v>
      </c>
      <c r="BN156">
        <f t="shared" si="207"/>
        <v>0</v>
      </c>
      <c r="BO156">
        <f t="shared" si="208"/>
        <v>0</v>
      </c>
    </row>
    <row r="157" spans="13:67" ht="14.25" x14ac:dyDescent="0.2">
      <c r="M157" s="66">
        <v>39</v>
      </c>
      <c r="N157" s="36">
        <f t="shared" si="156"/>
        <v>245.4708915685033</v>
      </c>
      <c r="O157" s="91" t="str">
        <f t="shared" si="157"/>
        <v>99.7340425531915</v>
      </c>
      <c r="P157" s="67" t="str">
        <f t="shared" si="158"/>
        <v>1+44.7934653290929i</v>
      </c>
      <c r="Q157" s="67">
        <f t="shared" si="169"/>
        <v>44.804626281095665</v>
      </c>
      <c r="R157" s="67">
        <f t="shared" si="170"/>
        <v>1.5484753495765338</v>
      </c>
      <c r="S157" s="67" t="str">
        <f t="shared" si="159"/>
        <v>1+0.0842117148186946i</v>
      </c>
      <c r="T157" s="67">
        <f t="shared" si="171"/>
        <v>1.0035395422765887</v>
      </c>
      <c r="U157" s="67">
        <f t="shared" si="172"/>
        <v>8.4013491941464527E-2</v>
      </c>
      <c r="V157" t="str">
        <f t="shared" si="160"/>
        <v>1-0.00869879251973329i</v>
      </c>
      <c r="W157" s="67">
        <f t="shared" si="173"/>
        <v>1.0000378337799531</v>
      </c>
      <c r="X157" s="67">
        <f t="shared" si="174"/>
        <v>-8.6985731200757508E-3</v>
      </c>
      <c r="Y157" t="str">
        <f t="shared" si="161"/>
        <v>0.999985738234649+0.013446033172892i</v>
      </c>
      <c r="Z157" s="67">
        <f t="shared" si="175"/>
        <v>1.0000761333422483</v>
      </c>
      <c r="AA157" s="67">
        <f t="shared" si="176"/>
        <v>1.3445414664212132E-2</v>
      </c>
      <c r="AB157" s="92" t="str">
        <f t="shared" si="177"/>
        <v>0.187840070701696-2.22585798280371i</v>
      </c>
      <c r="AC157" s="37">
        <f t="shared" si="178"/>
        <v>6.9807684170347581</v>
      </c>
      <c r="AD157" s="60">
        <f t="shared" si="179"/>
        <v>-85.17624074200684</v>
      </c>
      <c r="AE157" t="str">
        <f t="shared" si="180"/>
        <v>118.329284003155</v>
      </c>
      <c r="AF157" t="str">
        <f t="shared" si="162"/>
        <v>1+35.8347722632743i</v>
      </c>
      <c r="AG157">
        <f t="shared" si="181"/>
        <v>35.848722475992552</v>
      </c>
      <c r="AH157">
        <f t="shared" si="182"/>
        <v>1.5428977110331459</v>
      </c>
      <c r="AI157" t="str">
        <f t="shared" si="163"/>
        <v>1+0.0842117148186946i</v>
      </c>
      <c r="AJ157">
        <f t="shared" si="183"/>
        <v>1.0035395422765887</v>
      </c>
      <c r="AK157">
        <f t="shared" si="184"/>
        <v>8.4013491941464527E-2</v>
      </c>
      <c r="AL157" t="str">
        <f t="shared" si="164"/>
        <v>1-0.00586525794990743i</v>
      </c>
      <c r="AM157">
        <f t="shared" si="185"/>
        <v>1.0000172004774812</v>
      </c>
      <c r="AN157">
        <f t="shared" si="186"/>
        <v>-5.8651906938923552E-3</v>
      </c>
      <c r="AO157" s="58" t="str">
        <f t="shared" si="187"/>
        <v>0.350626103721585-3.29392643095453i</v>
      </c>
      <c r="AP157">
        <f t="shared" si="188"/>
        <v>10.403210254341705</v>
      </c>
      <c r="AQ157" s="60">
        <f t="shared" si="189"/>
        <v>-83.923959224991677</v>
      </c>
      <c r="AR157" t="str">
        <f t="shared" si="165"/>
        <v>-1.94444444444444</v>
      </c>
      <c r="AS157" t="str">
        <f t="shared" si="166"/>
        <v>1+0.0863709895576352i</v>
      </c>
      <c r="AT157">
        <f t="shared" si="190"/>
        <v>1.0037230433925313</v>
      </c>
      <c r="AU157">
        <f t="shared" si="191"/>
        <v>8.6157171429125975E-2</v>
      </c>
      <c r="AV157" t="str">
        <f t="shared" si="167"/>
        <v>1+0.0863709895576352i</v>
      </c>
      <c r="AW157">
        <f t="shared" si="192"/>
        <v>1.0037230433925313</v>
      </c>
      <c r="AX157">
        <f t="shared" si="193"/>
        <v>8.6157171429125975E-2</v>
      </c>
      <c r="AY157" t="str">
        <f t="shared" si="168"/>
        <v>1-0.0246339608399218i</v>
      </c>
      <c r="AZ157">
        <f t="shared" si="194"/>
        <v>1.0003033699966539</v>
      </c>
      <c r="BA157">
        <f t="shared" si="195"/>
        <v>-2.4628979761275815E-2</v>
      </c>
      <c r="BB157" s="58" t="str">
        <f t="shared" si="196"/>
        <v>-1.92593991728474+0.214244704784281i</v>
      </c>
      <c r="BC157">
        <f t="shared" si="197"/>
        <v>5.7462675283973379</v>
      </c>
      <c r="BD157" s="60">
        <f t="shared" si="198"/>
        <v>173.65242110829172</v>
      </c>
      <c r="BE157" s="58" t="str">
        <f t="shared" si="199"/>
        <v>0.115109596187532+4.3271124797827i</v>
      </c>
      <c r="BF157" s="37">
        <f t="shared" si="200"/>
        <v>12.727035945432096</v>
      </c>
      <c r="BG157" s="60">
        <f t="shared" si="201"/>
        <v>88.476180366284908</v>
      </c>
      <c r="BH157" s="58" t="str">
        <f t="shared" si="202"/>
        <v>0.0304214865815737+6.41902418405608i</v>
      </c>
      <c r="BI157" s="37">
        <f t="shared" si="203"/>
        <v>16.149477782739041</v>
      </c>
      <c r="BJ157" s="60">
        <f t="shared" si="204"/>
        <v>89.728461883300056</v>
      </c>
      <c r="BK157">
        <f t="shared" si="205"/>
        <v>12.727035945432096</v>
      </c>
      <c r="BL157" s="60">
        <f t="shared" si="206"/>
        <v>88.476180366284908</v>
      </c>
      <c r="BN157">
        <f t="shared" si="207"/>
        <v>0</v>
      </c>
      <c r="BO157">
        <f t="shared" si="208"/>
        <v>0</v>
      </c>
    </row>
    <row r="158" spans="13:67" ht="14.25" x14ac:dyDescent="0.2">
      <c r="M158" s="66">
        <v>40</v>
      </c>
      <c r="N158" s="36">
        <f t="shared" si="156"/>
        <v>251.18864315095806</v>
      </c>
      <c r="O158" s="91" t="str">
        <f t="shared" si="157"/>
        <v>99.7340425531915</v>
      </c>
      <c r="P158" s="67" t="str">
        <f t="shared" si="158"/>
        <v>1+45.8368391712319i</v>
      </c>
      <c r="Q158" s="67">
        <f t="shared" si="169"/>
        <v>45.847746130092141</v>
      </c>
      <c r="R158" s="67">
        <f t="shared" si="170"/>
        <v>1.5489832740199607</v>
      </c>
      <c r="S158" s="67" t="str">
        <f t="shared" si="159"/>
        <v>1+0.0861732576419159i</v>
      </c>
      <c r="T158" s="67">
        <f t="shared" si="171"/>
        <v>1.0037060477712685</v>
      </c>
      <c r="U158" s="67">
        <f t="shared" si="172"/>
        <v>8.5960900336084889E-2</v>
      </c>
      <c r="V158" t="str">
        <f t="shared" si="160"/>
        <v>1-0.00890141342674735i</v>
      </c>
      <c r="W158" s="67">
        <f t="shared" si="173"/>
        <v>1.0000396167957517</v>
      </c>
      <c r="X158" s="67">
        <f t="shared" si="174"/>
        <v>-8.9011783362817273E-3</v>
      </c>
      <c r="Y158" t="str">
        <f t="shared" si="161"/>
        <v>0.999985066098355+0.013759231519795i</v>
      </c>
      <c r="Z158" s="67">
        <f t="shared" si="175"/>
        <v>1.0000797212581338</v>
      </c>
      <c r="AA158" s="67">
        <f t="shared" si="176"/>
        <v>1.3758568778629741E-2</v>
      </c>
      <c r="AB158" s="92" t="str">
        <f t="shared" si="177"/>
        <v>0.185606043542974-2.17540211473971i</v>
      </c>
      <c r="AC158" s="37">
        <f t="shared" si="178"/>
        <v>6.7822911400334771</v>
      </c>
      <c r="AD158" s="60">
        <f t="shared" si="179"/>
        <v>-85.123315219815851</v>
      </c>
      <c r="AE158" t="str">
        <f t="shared" si="180"/>
        <v>118.329284003155</v>
      </c>
      <c r="AF158" t="str">
        <f t="shared" si="162"/>
        <v>1+36.6694713369855i</v>
      </c>
      <c r="AG158">
        <f t="shared" si="181"/>
        <v>36.683104123478991</v>
      </c>
      <c r="AH158">
        <f t="shared" si="182"/>
        <v>1.543532442747896</v>
      </c>
      <c r="AI158" t="str">
        <f t="shared" si="163"/>
        <v>1+0.0861732576419159i</v>
      </c>
      <c r="AJ158">
        <f t="shared" si="183"/>
        <v>1.0037060477712685</v>
      </c>
      <c r="AK158">
        <f t="shared" si="184"/>
        <v>8.5960900336084889E-2</v>
      </c>
      <c r="AL158" t="str">
        <f t="shared" si="164"/>
        <v>1-0.00600187735805928i</v>
      </c>
      <c r="AM158">
        <f t="shared" si="185"/>
        <v>1.0000180111037107</v>
      </c>
      <c r="AN158">
        <f t="shared" si="186"/>
        <v>-6.0018052920108355E-3</v>
      </c>
      <c r="AO158" s="58" t="str">
        <f t="shared" si="187"/>
        <v>0.346494150897038-3.21913530821866i</v>
      </c>
      <c r="AP158">
        <f t="shared" si="188"/>
        <v>10.204810422821796</v>
      </c>
      <c r="AQ158" s="60">
        <f t="shared" si="189"/>
        <v>-83.856575831261964</v>
      </c>
      <c r="AR158" t="str">
        <f t="shared" si="165"/>
        <v>-1.94444444444444</v>
      </c>
      <c r="AS158" t="str">
        <f t="shared" si="166"/>
        <v>1+0.0883828283506827i</v>
      </c>
      <c r="AT158">
        <f t="shared" si="190"/>
        <v>1.0038981643310572</v>
      </c>
      <c r="AU158">
        <f t="shared" si="191"/>
        <v>8.8153766119314289E-2</v>
      </c>
      <c r="AV158" t="str">
        <f t="shared" si="167"/>
        <v>1+0.0883828283506827i</v>
      </c>
      <c r="AW158">
        <f t="shared" si="192"/>
        <v>1.0038981643310572</v>
      </c>
      <c r="AX158">
        <f t="shared" si="193"/>
        <v>8.8153766119314289E-2</v>
      </c>
      <c r="AY158" t="str">
        <f t="shared" si="168"/>
        <v>1-0.0240732234323394i</v>
      </c>
      <c r="AZ158">
        <f t="shared" si="194"/>
        <v>1.0002897180749302</v>
      </c>
      <c r="BA158">
        <f t="shared" si="195"/>
        <v>-2.4068574743129643E-2</v>
      </c>
      <c r="BB158" s="58" t="str">
        <f t="shared" si="196"/>
        <v>-1.92526805035484+0.216969681186447i</v>
      </c>
      <c r="BC158">
        <f t="shared" si="197"/>
        <v>5.7446336775505724</v>
      </c>
      <c r="BD158" s="60">
        <f t="shared" si="198"/>
        <v>173.57013350150345</v>
      </c>
      <c r="BE158" s="58" t="str">
        <f t="shared" si="199"/>
        <v>0.11465491770134+4.22850307227651i</v>
      </c>
      <c r="BF158" s="37">
        <f t="shared" si="200"/>
        <v>12.526924817584044</v>
      </c>
      <c r="BG158" s="60">
        <f t="shared" si="201"/>
        <v>88.446818281687612</v>
      </c>
      <c r="BH158" s="58" t="str">
        <f t="shared" si="202"/>
        <v>0.0313606431633413+6.27287708413566i</v>
      </c>
      <c r="BI158" s="37">
        <f t="shared" si="203"/>
        <v>15.949444100372361</v>
      </c>
      <c r="BJ158" s="60">
        <f t="shared" si="204"/>
        <v>89.713557670241499</v>
      </c>
      <c r="BK158">
        <f t="shared" si="205"/>
        <v>12.526924817584044</v>
      </c>
      <c r="BL158" s="60">
        <f t="shared" si="206"/>
        <v>88.446818281687612</v>
      </c>
      <c r="BN158">
        <f t="shared" si="207"/>
        <v>0</v>
      </c>
      <c r="BO158">
        <f t="shared" si="208"/>
        <v>0</v>
      </c>
    </row>
    <row r="159" spans="13:67" ht="14.25" x14ac:dyDescent="0.2">
      <c r="M159" s="66">
        <v>41</v>
      </c>
      <c r="N159" s="36">
        <f t="shared" si="156"/>
        <v>257.03957827688663</v>
      </c>
      <c r="O159" s="91" t="str">
        <f t="shared" si="157"/>
        <v>99.7340425531915</v>
      </c>
      <c r="P159" s="67" t="str">
        <f t="shared" si="158"/>
        <v>1+46.9045163122214i</v>
      </c>
      <c r="Q159" s="67">
        <f t="shared" si="169"/>
        <v>46.915175055449211</v>
      </c>
      <c r="R159" s="67">
        <f t="shared" si="170"/>
        <v>1.5494796475689967</v>
      </c>
      <c r="S159" s="67" t="str">
        <f t="shared" si="159"/>
        <v>1+0.0881804906669762i</v>
      </c>
      <c r="T159" s="67">
        <f t="shared" si="171"/>
        <v>1.003880370828252</v>
      </c>
      <c r="U159" s="67">
        <f t="shared" si="172"/>
        <v>8.7952993190490519E-2</v>
      </c>
      <c r="V159" t="str">
        <f t="shared" si="160"/>
        <v>1-0.00910875398098436i</v>
      </c>
      <c r="W159" s="67">
        <f t="shared" si="173"/>
        <v>1.0000414838390885</v>
      </c>
      <c r="X159" s="67">
        <f t="shared" si="174"/>
        <v>-9.1085020775763317E-3</v>
      </c>
      <c r="Y159" t="str">
        <f t="shared" si="161"/>
        <v>0.999984362285254+0.0140797251933746i</v>
      </c>
      <c r="Z159" s="67">
        <f t="shared" si="175"/>
        <v>1.000083478253974</v>
      </c>
      <c r="AA159" s="67">
        <f t="shared" si="176"/>
        <v>1.4079015056592068E-2</v>
      </c>
      <c r="AB159" s="92" t="str">
        <f t="shared" si="177"/>
        <v>0.183472273766732-2.12609528895158i</v>
      </c>
      <c r="AC159" s="37">
        <f t="shared" si="178"/>
        <v>6.5838761453402785</v>
      </c>
      <c r="AD159" s="60">
        <f t="shared" si="179"/>
        <v>-85.067855810938894</v>
      </c>
      <c r="AE159" t="str">
        <f t="shared" si="180"/>
        <v>118.329284003155</v>
      </c>
      <c r="AF159" t="str">
        <f t="shared" si="162"/>
        <v>1+37.5236130497771i</v>
      </c>
      <c r="AG159">
        <f t="shared" si="181"/>
        <v>37.536935627584221</v>
      </c>
      <c r="AH159">
        <f t="shared" si="182"/>
        <v>1.5441527474385879</v>
      </c>
      <c r="AI159" t="str">
        <f t="shared" si="163"/>
        <v>1+0.0881804906669762i</v>
      </c>
      <c r="AJ159">
        <f t="shared" si="183"/>
        <v>1.003880370828252</v>
      </c>
      <c r="AK159">
        <f t="shared" si="184"/>
        <v>8.7952993190490519E-2</v>
      </c>
      <c r="AL159" t="str">
        <f t="shared" si="164"/>
        <v>1-0.00614167904103058i</v>
      </c>
      <c r="AM159">
        <f t="shared" si="185"/>
        <v>1.000018859932873</v>
      </c>
      <c r="AN159">
        <f t="shared" si="186"/>
        <v>-6.1416018209470742E-3</v>
      </c>
      <c r="AO159" s="58" t="str">
        <f t="shared" si="187"/>
        <v>0.342547896395283-3.1460408751839i</v>
      </c>
      <c r="AP159">
        <f t="shared" si="188"/>
        <v>10.006471483716252</v>
      </c>
      <c r="AQ159" s="60">
        <f t="shared" si="189"/>
        <v>-83.785987910193796</v>
      </c>
      <c r="AR159" t="str">
        <f t="shared" si="165"/>
        <v>-1.94444444444444</v>
      </c>
      <c r="AS159" t="str">
        <f t="shared" si="166"/>
        <v>1+0.0904415288892061i</v>
      </c>
      <c r="AT159">
        <f t="shared" si="190"/>
        <v>1.004081505729399</v>
      </c>
      <c r="AU159">
        <f t="shared" si="191"/>
        <v>9.01961381393004E-2</v>
      </c>
      <c r="AV159" t="str">
        <f t="shared" si="167"/>
        <v>1+0.0904415288892061i</v>
      </c>
      <c r="AW159">
        <f t="shared" si="192"/>
        <v>1.004081505729399</v>
      </c>
      <c r="AX159">
        <f t="shared" si="193"/>
        <v>9.01961381393004E-2</v>
      </c>
      <c r="AY159" t="str">
        <f t="shared" si="168"/>
        <v>1-0.0235252499664677i</v>
      </c>
      <c r="AZ159">
        <f t="shared" si="194"/>
        <v>1.0002766804169658</v>
      </c>
      <c r="BA159">
        <f t="shared" si="195"/>
        <v>-2.3520911489406486E-2</v>
      </c>
      <c r="BB159" s="58" t="str">
        <f t="shared" si="196"/>
        <v>-1.92456502155088+0.219804144597215i</v>
      </c>
      <c r="BC159">
        <f t="shared" si="197"/>
        <v>5.7429343112926778</v>
      </c>
      <c r="BD159" s="60">
        <f t="shared" si="198"/>
        <v>173.48449299759534</v>
      </c>
      <c r="BE159" s="58" t="str">
        <f t="shared" si="199"/>
        <v>0.114220235804311+4.13213659179292i</v>
      </c>
      <c r="BF159" s="37">
        <f t="shared" si="200"/>
        <v>12.326810456632948</v>
      </c>
      <c r="BG159" s="60">
        <f t="shared" si="201"/>
        <v>88.416637186656459</v>
      </c>
      <c r="BH159" s="58" t="str">
        <f t="shared" si="202"/>
        <v>0.0322571238294744+6.13005367209899i</v>
      </c>
      <c r="BI159" s="37">
        <f t="shared" si="203"/>
        <v>15.749405795008924</v>
      </c>
      <c r="BJ159" s="60">
        <f t="shared" si="204"/>
        <v>89.698505087401557</v>
      </c>
      <c r="BK159">
        <f t="shared" si="205"/>
        <v>12.326810456632948</v>
      </c>
      <c r="BL159" s="60">
        <f t="shared" si="206"/>
        <v>88.416637186656459</v>
      </c>
      <c r="BN159">
        <f t="shared" si="207"/>
        <v>0</v>
      </c>
      <c r="BO159">
        <f t="shared" si="208"/>
        <v>0</v>
      </c>
    </row>
    <row r="160" spans="13:67" ht="14.25" x14ac:dyDescent="0.2">
      <c r="M160" s="66">
        <v>42</v>
      </c>
      <c r="N160" s="36">
        <f t="shared" si="156"/>
        <v>263.02679918953817</v>
      </c>
      <c r="O160" s="91" t="str">
        <f t="shared" si="157"/>
        <v>99.7340425531915</v>
      </c>
      <c r="P160" s="67" t="str">
        <f t="shared" si="158"/>
        <v>1+47.9970628486144i</v>
      </c>
      <c r="Q160" s="67">
        <f t="shared" si="169"/>
        <v>48.007479022479821</v>
      </c>
      <c r="R160" s="67">
        <f t="shared" si="170"/>
        <v>1.5499647324285082</v>
      </c>
      <c r="S160" s="67" t="str">
        <f t="shared" si="159"/>
        <v>1+0.0902344781553951i</v>
      </c>
      <c r="T160" s="67">
        <f t="shared" si="171"/>
        <v>1.0040628770390709</v>
      </c>
      <c r="U160" s="67">
        <f t="shared" si="172"/>
        <v>8.9990763459693202E-2</v>
      </c>
      <c r="V160" t="str">
        <f t="shared" si="160"/>
        <v>1-0.0093209241171507i</v>
      </c>
      <c r="W160" s="67">
        <f t="shared" si="173"/>
        <v>1.0000434388697312</v>
      </c>
      <c r="X160" s="67">
        <f t="shared" si="174"/>
        <v>-9.3206541984191642E-3</v>
      </c>
      <c r="Y160" t="str">
        <f t="shared" si="161"/>
        <v>0.999983625302463+0.014407684123619i</v>
      </c>
      <c r="Z160" s="67">
        <f t="shared" si="175"/>
        <v>1.0000874122969763</v>
      </c>
      <c r="AA160" s="67">
        <f t="shared" si="176"/>
        <v>1.4406923201904391E-2</v>
      </c>
      <c r="AB160" s="92" t="str">
        <f t="shared" si="177"/>
        <v>0.181434247984071-2.07791165435409i</v>
      </c>
      <c r="AC160" s="37">
        <f t="shared" si="178"/>
        <v>6.3855267226202859</v>
      </c>
      <c r="AD160" s="60">
        <f t="shared" si="179"/>
        <v>-85.009836663985439</v>
      </c>
      <c r="AE160" t="str">
        <f t="shared" si="180"/>
        <v>118.329284003155</v>
      </c>
      <c r="AF160" t="str">
        <f t="shared" si="162"/>
        <v>1+38.3976502788915i</v>
      </c>
      <c r="AG160">
        <f t="shared" si="181"/>
        <v>38.410669701790624</v>
      </c>
      <c r="AH160">
        <f t="shared" si="182"/>
        <v>1.5447589520884497</v>
      </c>
      <c r="AI160" t="str">
        <f t="shared" si="163"/>
        <v>1+0.0902344781553951i</v>
      </c>
      <c r="AJ160">
        <f t="shared" si="183"/>
        <v>1.0040628770390709</v>
      </c>
      <c r="AK160">
        <f t="shared" si="184"/>
        <v>8.9990763459693202E-2</v>
      </c>
      <c r="AL160" t="str">
        <f t="shared" si="164"/>
        <v>1-0.00628473712352416i</v>
      </c>
      <c r="AM160">
        <f t="shared" si="185"/>
        <v>1.000019748765349</v>
      </c>
      <c r="AN160">
        <f t="shared" si="186"/>
        <v>-6.2846543808021838E-3</v>
      </c>
      <c r="AO160" s="58" t="str">
        <f t="shared" si="187"/>
        <v>0.338779006163947-3.07460505196211i</v>
      </c>
      <c r="AP160">
        <f t="shared" si="188"/>
        <v>9.8081968875913965</v>
      </c>
      <c r="AQ160" s="60">
        <f t="shared" si="189"/>
        <v>-83.712161550037791</v>
      </c>
      <c r="AR160" t="str">
        <f t="shared" si="165"/>
        <v>-1.94444444444444</v>
      </c>
      <c r="AS160" t="str">
        <f t="shared" si="166"/>
        <v>1+0.0925481827234819i</v>
      </c>
      <c r="AT160">
        <f t="shared" si="190"/>
        <v>1.0042734518672785</v>
      </c>
      <c r="AU160">
        <f t="shared" si="191"/>
        <v>9.2285302189530821E-2</v>
      </c>
      <c r="AV160" t="str">
        <f t="shared" si="167"/>
        <v>1+0.0925481827234819i</v>
      </c>
      <c r="AW160">
        <f t="shared" si="192"/>
        <v>1.0042734518672785</v>
      </c>
      <c r="AX160">
        <f t="shared" si="193"/>
        <v>9.2285302189530821E-2</v>
      </c>
      <c r="AY160" t="str">
        <f t="shared" si="168"/>
        <v>1-0.0229897498995217i</v>
      </c>
      <c r="AZ160">
        <f t="shared" si="194"/>
        <v>1.0002642293916355</v>
      </c>
      <c r="BA160">
        <f t="shared" si="195"/>
        <v>-2.2985700936660129E-2</v>
      </c>
      <c r="BB160" s="58" t="str">
        <f t="shared" si="196"/>
        <v>-1.92382941011063+0.222749207247019i</v>
      </c>
      <c r="BC160">
        <f t="shared" si="197"/>
        <v>5.7411659051413588</v>
      </c>
      <c r="BD160" s="60">
        <f t="shared" si="198"/>
        <v>173.39545802062995</v>
      </c>
      <c r="BE160" s="58" t="str">
        <f t="shared" si="199"/>
        <v>0.113804631463654+4.03796188716394i</v>
      </c>
      <c r="BF160" s="37">
        <f t="shared" si="200"/>
        <v>12.126692627761637</v>
      </c>
      <c r="BG160" s="60">
        <f t="shared" si="201"/>
        <v>88.385621356644506</v>
      </c>
      <c r="BH160" s="58" t="str">
        <f t="shared" si="202"/>
        <v>0.033112822335988+5.99047837849438i</v>
      </c>
      <c r="BI160" s="37">
        <f t="shared" si="203"/>
        <v>15.549362792732753</v>
      </c>
      <c r="BJ160" s="60">
        <f t="shared" si="204"/>
        <v>89.683296470592154</v>
      </c>
      <c r="BK160">
        <f t="shared" si="205"/>
        <v>12.126692627761637</v>
      </c>
      <c r="BL160" s="60">
        <f t="shared" si="206"/>
        <v>88.385621356644506</v>
      </c>
      <c r="BN160">
        <f t="shared" si="207"/>
        <v>0</v>
      </c>
      <c r="BO160">
        <f t="shared" si="208"/>
        <v>0</v>
      </c>
    </row>
    <row r="161" spans="13:67" ht="14.25" x14ac:dyDescent="0.2">
      <c r="M161" s="66">
        <v>43</v>
      </c>
      <c r="N161" s="36">
        <f t="shared" si="156"/>
        <v>269.15348039269179</v>
      </c>
      <c r="O161" s="91" t="str">
        <f t="shared" si="157"/>
        <v>99.7340425531915</v>
      </c>
      <c r="P161" s="67" t="str">
        <f t="shared" si="158"/>
        <v>1+49.1150580630462i</v>
      </c>
      <c r="Q161" s="67">
        <f t="shared" si="169"/>
        <v>49.125237185548521</v>
      </c>
      <c r="R161" s="67">
        <f t="shared" si="170"/>
        <v>1.5504387848832331</v>
      </c>
      <c r="S161" s="67" t="str">
        <f t="shared" si="159"/>
        <v>1+0.0923363091585268i</v>
      </c>
      <c r="T161" s="67">
        <f t="shared" si="171"/>
        <v>1.0042539489536593</v>
      </c>
      <c r="U161" s="67">
        <f t="shared" si="172"/>
        <v>9.2075223864125352E-2</v>
      </c>
      <c r="V161" t="str">
        <f t="shared" si="160"/>
        <v>1-0.00953803633066101i</v>
      </c>
      <c r="W161" s="67">
        <f t="shared" si="173"/>
        <v>1.0000454860340329</v>
      </c>
      <c r="X161" s="67">
        <f t="shared" si="174"/>
        <v>-9.5377471082398069E-3</v>
      </c>
      <c r="Y161" t="str">
        <f t="shared" si="161"/>
        <v>0.999982853586744+0.0147432821986941i</v>
      </c>
      <c r="Z161" s="67">
        <f t="shared" si="175"/>
        <v>1.0000915317297101</v>
      </c>
      <c r="AA161" s="67">
        <f t="shared" si="176"/>
        <v>1.4742466860378349E-2</v>
      </c>
      <c r="AB161" s="92" t="str">
        <f t="shared" si="177"/>
        <v>0.179487654783079-2.03082593590345i</v>
      </c>
      <c r="AC161" s="37">
        <f t="shared" si="178"/>
        <v>6.1872462937718087</v>
      </c>
      <c r="AD161" s="60">
        <f t="shared" si="179"/>
        <v>-84.949230828140799</v>
      </c>
      <c r="AE161" t="str">
        <f t="shared" si="180"/>
        <v>118.329284003155</v>
      </c>
      <c r="AF161" t="str">
        <f t="shared" si="162"/>
        <v>1+39.2920464504369i</v>
      </c>
      <c r="AG161">
        <f t="shared" si="181"/>
        <v>39.304769612138557</v>
      </c>
      <c r="AH161">
        <f t="shared" si="182"/>
        <v>1.5453513763320261</v>
      </c>
      <c r="AI161" t="str">
        <f t="shared" si="163"/>
        <v>1+0.0923363091585268i</v>
      </c>
      <c r="AJ161">
        <f t="shared" si="183"/>
        <v>1.0042539489536593</v>
      </c>
      <c r="AK161">
        <f t="shared" si="184"/>
        <v>9.2075223864125352E-2</v>
      </c>
      <c r="AL161" t="str">
        <f t="shared" si="164"/>
        <v>1-0.00643112745682899i</v>
      </c>
      <c r="AM161">
        <f t="shared" si="185"/>
        <v>1.0000206794863624</v>
      </c>
      <c r="AN161">
        <f t="shared" si="186"/>
        <v>-6.431038796504045E-3</v>
      </c>
      <c r="AO161" s="58" t="str">
        <f t="shared" si="187"/>
        <v>0.335179519158344-3.00479059308197i</v>
      </c>
      <c r="AP161">
        <f t="shared" si="188"/>
        <v>9.6099902146719849</v>
      </c>
      <c r="AQ161" s="60">
        <f t="shared" si="189"/>
        <v>-83.635061384346059</v>
      </c>
      <c r="AR161" t="str">
        <f t="shared" si="165"/>
        <v>-1.94444444444444</v>
      </c>
      <c r="AS161" t="str">
        <f t="shared" si="166"/>
        <v>1+0.0947039068292579i</v>
      </c>
      <c r="AT161">
        <f t="shared" si="190"/>
        <v>1.0044744048350485</v>
      </c>
      <c r="AU161">
        <f t="shared" si="191"/>
        <v>9.4422292985092665E-2</v>
      </c>
      <c r="AV161" t="str">
        <f t="shared" si="167"/>
        <v>1+0.0947039068292579i</v>
      </c>
      <c r="AW161">
        <f t="shared" si="192"/>
        <v>1.0044744048350485</v>
      </c>
      <c r="AX161">
        <f t="shared" si="193"/>
        <v>9.4422292985092665E-2</v>
      </c>
      <c r="AY161" t="str">
        <f t="shared" si="168"/>
        <v>1-0.0224664393022777i</v>
      </c>
      <c r="AZ161">
        <f t="shared" si="194"/>
        <v>1.0002523386100743</v>
      </c>
      <c r="BA161">
        <f t="shared" si="195"/>
        <v>-2.2462660536363931E-2</v>
      </c>
      <c r="BB161" s="58" t="str">
        <f t="shared" si="196"/>
        <v>-1.92305973284164+0.225806012853894i</v>
      </c>
      <c r="BC161">
        <f t="shared" si="197"/>
        <v>5.7393247957370424</v>
      </c>
      <c r="BD161" s="60">
        <f t="shared" si="198"/>
        <v>173.30298547463778</v>
      </c>
      <c r="BE161" s="58" t="str">
        <f t="shared" si="199"/>
        <v>0.113407225931115+3.94592897342942i</v>
      </c>
      <c r="BF161" s="37">
        <f t="shared" si="200"/>
        <v>11.92657108950884</v>
      </c>
      <c r="BG161" s="60">
        <f t="shared" si="201"/>
        <v>88.353754646496967</v>
      </c>
      <c r="BH161" s="58" t="str">
        <f t="shared" si="202"/>
        <v>0.0339295467180929+5.85407734598872i</v>
      </c>
      <c r="BI161" s="37">
        <f t="shared" si="203"/>
        <v>15.349315010409031</v>
      </c>
      <c r="BJ161" s="60">
        <f t="shared" si="204"/>
        <v>89.66792409029172</v>
      </c>
      <c r="BK161">
        <f t="shared" si="205"/>
        <v>11.92657108950884</v>
      </c>
      <c r="BL161" s="60">
        <f t="shared" si="206"/>
        <v>88.353754646496967</v>
      </c>
      <c r="BN161">
        <f t="shared" si="207"/>
        <v>0</v>
      </c>
      <c r="BO161">
        <f t="shared" si="208"/>
        <v>0</v>
      </c>
    </row>
    <row r="162" spans="13:67" ht="14.25" x14ac:dyDescent="0.2">
      <c r="M162" s="66">
        <v>44</v>
      </c>
      <c r="N162" s="36">
        <f t="shared" si="156"/>
        <v>275.42287033381683</v>
      </c>
      <c r="O162" s="91" t="str">
        <f t="shared" si="157"/>
        <v>99.7340425531915</v>
      </c>
      <c r="P162" s="67" t="str">
        <f t="shared" si="158"/>
        <v>1+50.2590947313776i</v>
      </c>
      <c r="Q162" s="67">
        <f t="shared" si="169"/>
        <v>50.269042195148181</v>
      </c>
      <c r="R162" s="67">
        <f t="shared" si="170"/>
        <v>1.5509020554293147</v>
      </c>
      <c r="S162" s="67" t="str">
        <f t="shared" si="159"/>
        <v>1+0.0944870980949899i</v>
      </c>
      <c r="T162" s="67">
        <f t="shared" si="171"/>
        <v>1.0044539868537594</v>
      </c>
      <c r="U162" s="67">
        <f t="shared" si="172"/>
        <v>9.4207407116804212E-2</v>
      </c>
      <c r="V162" t="str">
        <f t="shared" si="160"/>
        <v>1-0.00976020573728466i</v>
      </c>
      <c r="W162" s="67">
        <f t="shared" si="173"/>
        <v>1.0000476296737242</v>
      </c>
      <c r="X162" s="67">
        <f t="shared" si="174"/>
        <v>-9.7598958306740029E-3</v>
      </c>
      <c r="Y162" t="str">
        <f t="shared" si="161"/>
        <v>0.999982045501183+0.0150866973571412i</v>
      </c>
      <c r="Z162" s="67">
        <f t="shared" si="175"/>
        <v>1.0000958452877784</v>
      </c>
      <c r="AA162" s="67">
        <f t="shared" si="176"/>
        <v>1.5085823710873759E-2</v>
      </c>
      <c r="AB162" s="92" t="str">
        <f t="shared" si="177"/>
        <v>0.177628375681283-1.98481342249206i</v>
      </c>
      <c r="AC162" s="37">
        <f t="shared" si="178"/>
        <v>5.9890384195298392</v>
      </c>
      <c r="AD162" s="60">
        <f t="shared" si="179"/>
        <v>-84.886010256296998</v>
      </c>
      <c r="AE162" t="str">
        <f t="shared" si="180"/>
        <v>118.329284003155</v>
      </c>
      <c r="AF162" t="str">
        <f t="shared" si="162"/>
        <v>1+40.2072757851021i</v>
      </c>
      <c r="AG162">
        <f t="shared" si="181"/>
        <v>40.219709422859552</v>
      </c>
      <c r="AH162">
        <f t="shared" si="182"/>
        <v>1.5459303326161715</v>
      </c>
      <c r="AI162" t="str">
        <f t="shared" si="163"/>
        <v>1+0.0944870980949899i</v>
      </c>
      <c r="AJ162">
        <f t="shared" si="183"/>
        <v>1.0044539868537594</v>
      </c>
      <c r="AK162">
        <f t="shared" si="184"/>
        <v>9.4207407116804212E-2</v>
      </c>
      <c r="AL162" t="str">
        <f t="shared" si="164"/>
        <v>1-0.00658092765903747i</v>
      </c>
      <c r="AM162">
        <f t="shared" si="185"/>
        <v>1.0000216540699773</v>
      </c>
      <c r="AN162">
        <f t="shared" si="186"/>
        <v>-6.5808326578987849E-3</v>
      </c>
      <c r="AO162" s="58" t="str">
        <f t="shared" si="187"/>
        <v>0.331741830736546-2.93656107073335i</v>
      </c>
      <c r="AP162">
        <f t="shared" si="188"/>
        <v>9.4118551817774581</v>
      </c>
      <c r="AQ162" s="60">
        <f t="shared" si="189"/>
        <v>-83.554650590478019</v>
      </c>
      <c r="AR162" t="str">
        <f t="shared" si="165"/>
        <v>-1.94444444444444</v>
      </c>
      <c r="AS162" t="str">
        <f t="shared" si="166"/>
        <v>1+0.0969098441999893i</v>
      </c>
      <c r="AT162">
        <f t="shared" si="190"/>
        <v>1.0046847853445708</v>
      </c>
      <c r="AU162">
        <f t="shared" si="191"/>
        <v>9.6608165471249591E-2</v>
      </c>
      <c r="AV162" t="str">
        <f t="shared" si="167"/>
        <v>1+0.0969098441999893i</v>
      </c>
      <c r="AW162">
        <f t="shared" si="192"/>
        <v>1.0046847853445708</v>
      </c>
      <c r="AX162">
        <f t="shared" si="193"/>
        <v>9.6608165471249591E-2</v>
      </c>
      <c r="AY162" t="str">
        <f t="shared" si="168"/>
        <v>1-0.0219550407085302i</v>
      </c>
      <c r="AZ162">
        <f t="shared" si="194"/>
        <v>1.0002409828698848</v>
      </c>
      <c r="BA162">
        <f t="shared" si="195"/>
        <v>-2.1951514110941032E-2</v>
      </c>
      <c r="BB162" s="58" t="str">
        <f t="shared" si="196"/>
        <v>-1.92225444160302+0.228975735381739i</v>
      </c>
      <c r="BC162">
        <f t="shared" si="197"/>
        <v>5.7374071737963206</v>
      </c>
      <c r="BD162" s="60">
        <f t="shared" si="198"/>
        <v>173.20703073951714</v>
      </c>
      <c r="BE162" s="58" t="str">
        <f t="shared" si="199"/>
        <v>0.11302717890259+3.85598900508494i</v>
      </c>
      <c r="BF162" s="37">
        <f t="shared" si="200"/>
        <v>11.726445593326162</v>
      </c>
      <c r="BG162" s="60">
        <f t="shared" si="201"/>
        <v>88.321020483220124</v>
      </c>
      <c r="BH162" s="58" t="str">
        <f t="shared" si="202"/>
        <v>0.0347090230657129+5.72077839090549i</v>
      </c>
      <c r="BI162" s="37">
        <f t="shared" si="203"/>
        <v>15.149262355573786</v>
      </c>
      <c r="BJ162" s="60">
        <f t="shared" si="204"/>
        <v>89.652380149039118</v>
      </c>
      <c r="BK162">
        <f t="shared" si="205"/>
        <v>11.726445593326162</v>
      </c>
      <c r="BL162" s="60">
        <f t="shared" si="206"/>
        <v>88.321020483220124</v>
      </c>
      <c r="BN162">
        <f t="shared" si="207"/>
        <v>0</v>
      </c>
      <c r="BO162">
        <f t="shared" si="208"/>
        <v>0</v>
      </c>
    </row>
    <row r="163" spans="13:67" ht="14.25" x14ac:dyDescent="0.2">
      <c r="M163" s="66">
        <v>45</v>
      </c>
      <c r="N163" s="36">
        <f t="shared" si="156"/>
        <v>281.83829312644554</v>
      </c>
      <c r="O163" s="91" t="str">
        <f t="shared" si="157"/>
        <v>99.7340425531915</v>
      </c>
      <c r="P163" s="67" t="str">
        <f t="shared" si="158"/>
        <v>1+51.4297794369933i</v>
      </c>
      <c r="Q163" s="67">
        <f t="shared" si="169"/>
        <v>51.439500512133463</v>
      </c>
      <c r="R163" s="67">
        <f t="shared" si="170"/>
        <v>1.5513547889030568</v>
      </c>
      <c r="S163" s="67" t="str">
        <f t="shared" si="159"/>
        <v>1+0.0966879853415473i</v>
      </c>
      <c r="T163" s="67">
        <f t="shared" si="171"/>
        <v>1.0046634095603399</v>
      </c>
      <c r="U163" s="67">
        <f t="shared" si="172"/>
        <v>9.6388366139981835E-2</v>
      </c>
      <c r="V163" t="str">
        <f t="shared" si="160"/>
        <v>1-0.00998755013418181i</v>
      </c>
      <c r="W163" s="67">
        <f t="shared" si="173"/>
        <v>1.0000498743351167</v>
      </c>
      <c r="X163" s="67">
        <f t="shared" si="174"/>
        <v>-9.9872180641601051E-3</v>
      </c>
      <c r="Y163" t="str">
        <f t="shared" si="161"/>
        <v>0.999981199331722+0.0154381116822232i</v>
      </c>
      <c r="Z163" s="67">
        <f t="shared" si="175"/>
        <v>1.0001003621183335</v>
      </c>
      <c r="AA163" s="67">
        <f t="shared" si="176"/>
        <v>1.5437175558406246E-2</v>
      </c>
      <c r="AB163" s="92" t="str">
        <f t="shared" si="177"/>
        <v>0.175852476478751-1.93984995505598i</v>
      </c>
      <c r="AC163" s="37">
        <f t="shared" si="178"/>
        <v>5.7909068063028712</v>
      </c>
      <c r="AD163" s="60">
        <f t="shared" si="179"/>
        <v>-84.820145808823654</v>
      </c>
      <c r="AE163" t="str">
        <f t="shared" si="180"/>
        <v>118.329284003155</v>
      </c>
      <c r="AF163" t="str">
        <f t="shared" si="162"/>
        <v>1+41.1438235495946i</v>
      </c>
      <c r="AG163">
        <f t="shared" si="181"/>
        <v>41.15597424773437</v>
      </c>
      <c r="AH163">
        <f t="shared" si="182"/>
        <v>1.546496126357797</v>
      </c>
      <c r="AI163" t="str">
        <f t="shared" si="163"/>
        <v>1+0.0966879853415473i</v>
      </c>
      <c r="AJ163">
        <f t="shared" si="183"/>
        <v>1.0046634095603399</v>
      </c>
      <c r="AK163">
        <f t="shared" si="184"/>
        <v>9.6388366139981835E-2</v>
      </c>
      <c r="AL163" t="str">
        <f t="shared" si="164"/>
        <v>1-0.00673421715619963i</v>
      </c>
      <c r="AM163">
        <f t="shared" si="185"/>
        <v>1.0000226745832852</v>
      </c>
      <c r="AN163">
        <f t="shared" si="186"/>
        <v>-6.7341153607701687E-3</v>
      </c>
      <c r="AO163" s="58" t="str">
        <f t="shared" si="187"/>
        <v>0.328458676785711-2.8698808582466i</v>
      </c>
      <c r="AP163">
        <f t="shared" si="188"/>
        <v>9.2137956494867552</v>
      </c>
      <c r="AQ163" s="60">
        <f t="shared" si="189"/>
        <v>-83.470890888575923</v>
      </c>
      <c r="AR163" t="str">
        <f t="shared" si="165"/>
        <v>-1.94444444444444</v>
      </c>
      <c r="AS163" t="str">
        <f t="shared" si="166"/>
        <v>1+0.0991671644528687i</v>
      </c>
      <c r="AT163">
        <f t="shared" si="190"/>
        <v>1.0049050335756222</v>
      </c>
      <c r="AU163">
        <f t="shared" si="191"/>
        <v>9.8843995027059428E-2</v>
      </c>
      <c r="AV163" t="str">
        <f t="shared" si="167"/>
        <v>1+0.0991671644528687i</v>
      </c>
      <c r="AW163">
        <f t="shared" si="192"/>
        <v>1.0049050335756222</v>
      </c>
      <c r="AX163">
        <f t="shared" si="193"/>
        <v>9.8843995027059428E-2</v>
      </c>
      <c r="AY163" t="str">
        <f t="shared" si="168"/>
        <v>1-0.0214552829679757i</v>
      </c>
      <c r="AZ163">
        <f t="shared" si="194"/>
        <v>1.000230138101845</v>
      </c>
      <c r="BA163">
        <f t="shared" si="195"/>
        <v>-2.1451991712783856E-2</v>
      </c>
      <c r="BB163" s="58" t="str">
        <f t="shared" si="196"/>
        <v>-1.92141192070755+0.232259577693572i</v>
      </c>
      <c r="BC163">
        <f t="shared" si="197"/>
        <v>5.7354090768231192</v>
      </c>
      <c r="BD163" s="60">
        <f t="shared" si="198"/>
        <v>173.10754766744526</v>
      </c>
      <c r="BE163" s="58" t="str">
        <f t="shared" si="199"/>
        <v>0.11266368675798+3.76809424995189i</v>
      </c>
      <c r="BF163" s="37">
        <f t="shared" si="200"/>
        <v>11.526315883125992</v>
      </c>
      <c r="BG163" s="60">
        <f t="shared" si="201"/>
        <v>88.287401858621607</v>
      </c>
      <c r="BH163" s="58" t="str">
        <f t="shared" si="202"/>
        <v>0.035452899131328+5.59051096560547i</v>
      </c>
      <c r="BI163" s="37">
        <f t="shared" si="203"/>
        <v>14.949204726309876</v>
      </c>
      <c r="BJ163" s="60">
        <f t="shared" si="204"/>
        <v>89.636656778869352</v>
      </c>
      <c r="BK163">
        <f t="shared" si="205"/>
        <v>11.526315883125992</v>
      </c>
      <c r="BL163" s="60">
        <f t="shared" si="206"/>
        <v>88.287401858621607</v>
      </c>
      <c r="BN163">
        <f t="shared" si="207"/>
        <v>0</v>
      </c>
      <c r="BO163">
        <f t="shared" si="208"/>
        <v>0</v>
      </c>
    </row>
    <row r="164" spans="13:67" ht="14.25" x14ac:dyDescent="0.2">
      <c r="M164" s="66">
        <v>46</v>
      </c>
      <c r="N164" s="36">
        <f t="shared" si="156"/>
        <v>288.40315031266073</v>
      </c>
      <c r="O164" s="91" t="str">
        <f t="shared" si="157"/>
        <v>99.7340425531915</v>
      </c>
      <c r="P164" s="67" t="str">
        <f t="shared" si="158"/>
        <v>1+52.62773289242i</v>
      </c>
      <c r="Q164" s="67">
        <f t="shared" si="169"/>
        <v>52.637232729275439</v>
      </c>
      <c r="R164" s="67">
        <f t="shared" si="170"/>
        <v>1.5517972246069489</v>
      </c>
      <c r="S164" s="67" t="str">
        <f t="shared" si="159"/>
        <v>1+0.0989401378377497i</v>
      </c>
      <c r="T164" s="67">
        <f t="shared" si="171"/>
        <v>1.0048826552764023</v>
      </c>
      <c r="U164" s="67">
        <f t="shared" si="172"/>
        <v>9.8619174270009935E-2</v>
      </c>
      <c r="V164" t="str">
        <f t="shared" si="160"/>
        <v>1-0.010220190062361i</v>
      </c>
      <c r="W164" s="67">
        <f t="shared" si="173"/>
        <v>1.0000522247787416</v>
      </c>
      <c r="X164" s="67">
        <f t="shared" si="174"/>
        <v>-1.0219834243925618E-2</v>
      </c>
      <c r="Y164" t="str">
        <f t="shared" si="161"/>
        <v>0.999980313283524+0.0157977114984667i</v>
      </c>
      <c r="Z164" s="67">
        <f t="shared" si="175"/>
        <v>1.0001050917994587</v>
      </c>
      <c r="AA164" s="67">
        <f t="shared" si="176"/>
        <v>1.5796708429362295E-2</v>
      </c>
      <c r="AB164" s="92" t="str">
        <f t="shared" si="177"/>
        <v>0.1741561989943-1.89591191489454i</v>
      </c>
      <c r="AC164" s="37">
        <f t="shared" si="178"/>
        <v>5.5928553132518779</v>
      </c>
      <c r="AD164" s="60">
        <f t="shared" si="179"/>
        <v>-84.751607258057504</v>
      </c>
      <c r="AE164" t="str">
        <f t="shared" si="180"/>
        <v>118.329284003155</v>
      </c>
      <c r="AF164" t="str">
        <f t="shared" si="162"/>
        <v>1+42.102186313936i</v>
      </c>
      <c r="AG164">
        <f t="shared" si="181"/>
        <v>42.114060507310143</v>
      </c>
      <c r="AH164">
        <f t="shared" si="182"/>
        <v>1.5470490560984169</v>
      </c>
      <c r="AI164" t="str">
        <f t="shared" si="163"/>
        <v>1+0.0989401378377497i</v>
      </c>
      <c r="AJ164">
        <f t="shared" si="183"/>
        <v>1.0048826552764023</v>
      </c>
      <c r="AK164">
        <f t="shared" si="184"/>
        <v>9.8619174270009935E-2</v>
      </c>
      <c r="AL164" t="str">
        <f t="shared" si="164"/>
        <v>1-0.00689107722443591i</v>
      </c>
      <c r="AM164">
        <f t="shared" si="185"/>
        <v>1.000023743190787</v>
      </c>
      <c r="AN164">
        <f t="shared" si="186"/>
        <v>-6.8909681488079251E-3</v>
      </c>
      <c r="AO164" s="58" t="str">
        <f t="shared" si="187"/>
        <v>0.325323118548214-2.80471511381121i</v>
      </c>
      <c r="AP164">
        <f t="shared" si="188"/>
        <v>9.015815629541299</v>
      </c>
      <c r="AQ164" s="60">
        <f t="shared" si="189"/>
        <v>-83.383742541086093</v>
      </c>
      <c r="AR164" t="str">
        <f t="shared" si="165"/>
        <v>-1.94444444444444</v>
      </c>
      <c r="AS164" t="str">
        <f t="shared" si="166"/>
        <v>1+0.101477064448974i</v>
      </c>
      <c r="AT164">
        <f t="shared" si="190"/>
        <v>1.0051356100592503</v>
      </c>
      <c r="AU164">
        <f t="shared" si="191"/>
        <v>0.10113087765570473</v>
      </c>
      <c r="AV164" t="str">
        <f t="shared" si="167"/>
        <v>1+0.101477064448974i</v>
      </c>
      <c r="AW164">
        <f t="shared" si="192"/>
        <v>1.0051356100592503</v>
      </c>
      <c r="AX164">
        <f t="shared" si="193"/>
        <v>0.10113087765570473</v>
      </c>
      <c r="AY164" t="str">
        <f t="shared" si="168"/>
        <v>1-0.0209669011024451i</v>
      </c>
      <c r="AZ164">
        <f t="shared" si="194"/>
        <v>1.0002197813190057</v>
      </c>
      <c r="BA164">
        <f t="shared" si="195"/>
        <v>-2.0963829486213698E-2</v>
      </c>
      <c r="BB164" s="58" t="str">
        <f t="shared" si="196"/>
        <v>-1.92053048424388+0.235658770091701i</v>
      </c>
      <c r="BC164">
        <f t="shared" si="197"/>
        <v>5.7333263815685287</v>
      </c>
      <c r="BD164" s="60">
        <f t="shared" si="198"/>
        <v>173.00448857988229</v>
      </c>
      <c r="BE164" s="58" t="str">
        <f t="shared" si="199"/>
        <v>0.112315980877653+3.68219806365499i</v>
      </c>
      <c r="BF164" s="37">
        <f t="shared" si="200"/>
        <v>11.326181694820397</v>
      </c>
      <c r="BG164" s="60">
        <f t="shared" si="201"/>
        <v>88.252881321824773</v>
      </c>
      <c r="BH164" s="58" t="str">
        <f t="shared" si="202"/>
        <v>0.0361627477772244+5.46320612169344i</v>
      </c>
      <c r="BI164" s="37">
        <f t="shared" si="203"/>
        <v>14.749142011109825</v>
      </c>
      <c r="BJ164" s="60">
        <f t="shared" si="204"/>
        <v>89.620746038796199</v>
      </c>
      <c r="BK164">
        <f t="shared" si="205"/>
        <v>11.326181694820397</v>
      </c>
      <c r="BL164" s="60">
        <f t="shared" si="206"/>
        <v>88.252881321824773</v>
      </c>
      <c r="BN164">
        <f t="shared" si="207"/>
        <v>0</v>
      </c>
      <c r="BO164">
        <f t="shared" si="208"/>
        <v>0</v>
      </c>
    </row>
    <row r="165" spans="13:67" ht="14.25" x14ac:dyDescent="0.2">
      <c r="M165" s="66">
        <v>47</v>
      </c>
      <c r="N165" s="36">
        <f t="shared" si="156"/>
        <v>295.12092266663871</v>
      </c>
      <c r="O165" s="91" t="str">
        <f t="shared" si="157"/>
        <v>99.7340425531915</v>
      </c>
      <c r="P165" s="67" t="str">
        <f t="shared" si="158"/>
        <v>1+53.8535902684367i</v>
      </c>
      <c r="Q165" s="67">
        <f t="shared" si="169"/>
        <v>53.862873900309658</v>
      </c>
      <c r="R165" s="67">
        <f t="shared" si="170"/>
        <v>1.5522295964330077</v>
      </c>
      <c r="S165" s="67" t="str">
        <f t="shared" si="159"/>
        <v>1+0.101244749704661i</v>
      </c>
      <c r="T165" s="67">
        <f t="shared" si="171"/>
        <v>1.0051121824665938</v>
      </c>
      <c r="U165" s="67">
        <f t="shared" si="172"/>
        <v>0.10090092544905459</v>
      </c>
      <c r="V165" t="str">
        <f t="shared" si="160"/>
        <v>1-0.0104582488705914i</v>
      </c>
      <c r="W165" s="67">
        <f t="shared" si="173"/>
        <v>1.0000546859894408</v>
      </c>
      <c r="X165" s="67">
        <f t="shared" si="174"/>
        <v>-1.0457867605394739E-2</v>
      </c>
      <c r="Y165" t="str">
        <f t="shared" si="161"/>
        <v>0.999979385477161+0.016165687470454i</v>
      </c>
      <c r="Z165" s="67">
        <f t="shared" si="175"/>
        <v>1.0001100443604558</v>
      </c>
      <c r="AA165" s="67">
        <f t="shared" si="176"/>
        <v>1.6164612668869493E-2</v>
      </c>
      <c r="AB165" s="92" t="str">
        <f t="shared" si="177"/>
        <v>0.172535953167925-1.85297621220124i</v>
      </c>
      <c r="AC165" s="37">
        <f t="shared" si="178"/>
        <v>5.3948879596203438</v>
      </c>
      <c r="AD165" s="60">
        <f t="shared" si="179"/>
        <v>-84.680363293597011</v>
      </c>
      <c r="AE165" t="str">
        <f t="shared" si="180"/>
        <v>118.329284003155</v>
      </c>
      <c r="AF165" t="str">
        <f t="shared" si="162"/>
        <v>1+43.0828722147494i</v>
      </c>
      <c r="AG165">
        <f t="shared" si="181"/>
        <v>43.094476192111046</v>
      </c>
      <c r="AH165">
        <f t="shared" si="182"/>
        <v>1.5475894136555404</v>
      </c>
      <c r="AI165" t="str">
        <f t="shared" si="163"/>
        <v>1+0.101244749704661i</v>
      </c>
      <c r="AJ165">
        <f t="shared" si="183"/>
        <v>1.0051121824665938</v>
      </c>
      <c r="AK165">
        <f t="shared" si="184"/>
        <v>0.10090092544905459</v>
      </c>
      <c r="AL165" t="str">
        <f t="shared" si="164"/>
        <v>1-0.00705159103303077i</v>
      </c>
      <c r="AM165">
        <f t="shared" si="185"/>
        <v>1.0000248621589851</v>
      </c>
      <c r="AN165">
        <f t="shared" si="186"/>
        <v>-7.0514741565465893E-3</v>
      </c>
      <c r="AO165" s="58" t="str">
        <f t="shared" si="187"/>
        <v>0.32232852811733-2.7410297644376i</v>
      </c>
      <c r="AP165">
        <f t="shared" si="188"/>
        <v>8.8179192924961196</v>
      </c>
      <c r="AQ165" s="60">
        <f t="shared" si="189"/>
        <v>-83.293164352908875</v>
      </c>
      <c r="AR165" t="str">
        <f t="shared" si="165"/>
        <v>-1.94444444444444</v>
      </c>
      <c r="AS165" t="str">
        <f t="shared" si="166"/>
        <v>1+0.103840768927857i</v>
      </c>
      <c r="AT165">
        <f t="shared" si="190"/>
        <v>1.0053769965995485</v>
      </c>
      <c r="AU165">
        <f t="shared" si="191"/>
        <v>0.10346993016006167</v>
      </c>
      <c r="AV165" t="str">
        <f t="shared" si="167"/>
        <v>1+0.103840768927857i</v>
      </c>
      <c r="AW165">
        <f t="shared" si="192"/>
        <v>1.0053769965995485</v>
      </c>
      <c r="AX165">
        <f t="shared" si="193"/>
        <v>0.10346993016006167</v>
      </c>
      <c r="AY165" t="str">
        <f t="shared" si="168"/>
        <v>1-0.0204896361654088i</v>
      </c>
      <c r="AZ165">
        <f t="shared" si="194"/>
        <v>1.0002098905680701</v>
      </c>
      <c r="BA165">
        <f t="shared" si="195"/>
        <v>-2.0486769532331667E-2</v>
      </c>
      <c r="BB165" s="58" t="str">
        <f t="shared" si="196"/>
        <v>-1.91960837331887+0.239174568736302i</v>
      </c>
      <c r="BC165">
        <f t="shared" si="197"/>
        <v>5.7311547962301752</v>
      </c>
      <c r="BD165" s="60">
        <f t="shared" si="198"/>
        <v>172.89780426525525</v>
      </c>
      <c r="BE165" s="58" t="str">
        <f t="shared" si="199"/>
        <v>0.111983326032157+3.59825486469263i</v>
      </c>
      <c r="BF165" s="37">
        <f t="shared" si="200"/>
        <v>11.126042755850523</v>
      </c>
      <c r="BG165" s="60">
        <f t="shared" si="201"/>
        <v>88.217440971658235</v>
      </c>
      <c r="BH165" s="58" t="str">
        <f t="shared" si="202"/>
        <v>0.0368400702691569+5.33879647403454i</v>
      </c>
      <c r="BI165" s="37">
        <f t="shared" si="203"/>
        <v>14.549074088726302</v>
      </c>
      <c r="BJ165" s="60">
        <f t="shared" si="204"/>
        <v>89.604639912346371</v>
      </c>
      <c r="BK165">
        <f t="shared" si="205"/>
        <v>11.126042755850523</v>
      </c>
      <c r="BL165" s="60">
        <f t="shared" si="206"/>
        <v>88.217440971658235</v>
      </c>
      <c r="BN165">
        <f t="shared" si="207"/>
        <v>0</v>
      </c>
      <c r="BO165">
        <f t="shared" si="208"/>
        <v>0</v>
      </c>
    </row>
    <row r="166" spans="13:67" ht="14.25" x14ac:dyDescent="0.2">
      <c r="M166" s="66">
        <v>48</v>
      </c>
      <c r="N166" s="36">
        <f t="shared" si="156"/>
        <v>301.99517204020168</v>
      </c>
      <c r="O166" s="91" t="str">
        <f t="shared" si="157"/>
        <v>99.7340425531915</v>
      </c>
      <c r="P166" s="67" t="str">
        <f t="shared" si="158"/>
        <v>1+55.1080015308503i</v>
      </c>
      <c r="Q166" s="67">
        <f t="shared" si="169"/>
        <v>55.117073876650956</v>
      </c>
      <c r="R166" s="67">
        <f t="shared" si="170"/>
        <v>1.5526521329834886</v>
      </c>
      <c r="S166" s="67" t="str">
        <f t="shared" si="159"/>
        <v>1+0.103603042877999i</v>
      </c>
      <c r="T166" s="67">
        <f t="shared" si="171"/>
        <v>1.0053524707750912</v>
      </c>
      <c r="U166" s="67">
        <f t="shared" si="172"/>
        <v>0.1032347344022075</v>
      </c>
      <c r="V166" t="str">
        <f t="shared" si="160"/>
        <v>1-0.0107018527808042i</v>
      </c>
      <c r="W166" s="67">
        <f t="shared" si="173"/>
        <v>1.0000572631869347</v>
      </c>
      <c r="X166" s="67">
        <f t="shared" si="174"/>
        <v>-1.0701444249048959E-2</v>
      </c>
      <c r="Y166" t="str">
        <f t="shared" si="161"/>
        <v>0.999978413944631+0.0165422347039164i</v>
      </c>
      <c r="Z166" s="67">
        <f t="shared" si="175"/>
        <v>1.0001152303030982</v>
      </c>
      <c r="AA166" s="67">
        <f t="shared" si="176"/>
        <v>1.6541083040366365E-2</v>
      </c>
      <c r="AB166" s="92" t="str">
        <f t="shared" si="177"/>
        <v>0.170988309513355-1.8110202748048i</v>
      </c>
      <c r="AC166" s="37">
        <f t="shared" si="178"/>
        <v>5.1970089323238575</v>
      </c>
      <c r="AD166" s="60">
        <f t="shared" si="179"/>
        <v>-84.606381528491937</v>
      </c>
      <c r="AE166" t="str">
        <f t="shared" si="180"/>
        <v>118.329284003155</v>
      </c>
      <c r="AF166" t="str">
        <f t="shared" si="162"/>
        <v>1+44.0864012246802i</v>
      </c>
      <c r="AG166">
        <f t="shared" si="181"/>
        <v>44.097741131984115</v>
      </c>
      <c r="AH166">
        <f t="shared" si="182"/>
        <v>1.5481174842709571</v>
      </c>
      <c r="AI166" t="str">
        <f t="shared" si="163"/>
        <v>1+0.103603042877999i</v>
      </c>
      <c r="AJ166">
        <f t="shared" si="183"/>
        <v>1.0053524707750912</v>
      </c>
      <c r="AK166">
        <f t="shared" si="184"/>
        <v>0.1032347344022075</v>
      </c>
      <c r="AL166" t="str">
        <f t="shared" si="164"/>
        <v>1-0.00721584368853019i</v>
      </c>
      <c r="AM166">
        <f t="shared" si="185"/>
        <v>1.0000260338611877</v>
      </c>
      <c r="AN166">
        <f t="shared" si="186"/>
        <v>-7.2157184532971449E-3</v>
      </c>
      <c r="AO166" s="58" t="str">
        <f t="shared" si="187"/>
        <v>0.319468574573503-2.67879149016483i</v>
      </c>
      <c r="AP166">
        <f t="shared" si="188"/>
        <v>8.6201109756280587</v>
      </c>
      <c r="AQ166" s="60">
        <f t="shared" si="189"/>
        <v>-83.199113672264559</v>
      </c>
      <c r="AR166" t="str">
        <f t="shared" si="165"/>
        <v>-1.94444444444444</v>
      </c>
      <c r="AS166" t="str">
        <f t="shared" si="166"/>
        <v>1+0.106259531156921i</v>
      </c>
      <c r="AT166">
        <f t="shared" si="190"/>
        <v>1.0056296972353636</v>
      </c>
      <c r="AU166">
        <f t="shared" si="191"/>
        <v>0.10586229030194884</v>
      </c>
      <c r="AV166" t="str">
        <f t="shared" si="167"/>
        <v>1+0.106259531156921i</v>
      </c>
      <c r="AW166">
        <f t="shared" si="192"/>
        <v>1.0056296972353636</v>
      </c>
      <c r="AX166">
        <f t="shared" si="193"/>
        <v>0.10586229030194884</v>
      </c>
      <c r="AY166" t="str">
        <f t="shared" si="168"/>
        <v>1-0.0200232351046798i</v>
      </c>
      <c r="AZ166">
        <f t="shared" si="194"/>
        <v>1.0002004448829531</v>
      </c>
      <c r="BA166">
        <f t="shared" si="195"/>
        <v>-2.002055977671165E-2</v>
      </c>
      <c r="BB166" s="58" t="str">
        <f t="shared" si="196"/>
        <v>-1.91864375322044+0.242808253933459i</v>
      </c>
      <c r="BC166">
        <f t="shared" si="197"/>
        <v>5.7288898523821512</v>
      </c>
      <c r="BD166" s="60">
        <f t="shared" si="198"/>
        <v>172.78744397741465</v>
      </c>
      <c r="BE166" s="58" t="str">
        <f t="shared" si="199"/>
        <v>0.111665018841925+3.51622011008577i</v>
      </c>
      <c r="BF166" s="37">
        <f t="shared" si="200"/>
        <v>10.925898784706018</v>
      </c>
      <c r="BG166" s="60">
        <f t="shared" si="201"/>
        <v>88.181062448922731</v>
      </c>
      <c r="BH166" s="58" t="str">
        <f t="shared" si="202"/>
        <v>0.0374862994230414+5.21721616556363i</v>
      </c>
      <c r="BI166" s="37">
        <f t="shared" si="203"/>
        <v>14.349000828010212</v>
      </c>
      <c r="BJ166" s="60">
        <f t="shared" si="204"/>
        <v>89.588330305150095</v>
      </c>
      <c r="BK166">
        <f t="shared" si="205"/>
        <v>10.925898784706018</v>
      </c>
      <c r="BL166" s="60">
        <f t="shared" si="206"/>
        <v>88.181062448922731</v>
      </c>
      <c r="BN166">
        <f t="shared" si="207"/>
        <v>0</v>
      </c>
      <c r="BO166">
        <f t="shared" si="208"/>
        <v>0</v>
      </c>
    </row>
    <row r="167" spans="13:67" ht="14.25" x14ac:dyDescent="0.2">
      <c r="M167" s="66">
        <v>49</v>
      </c>
      <c r="N167" s="36">
        <f t="shared" si="156"/>
        <v>309.02954325135937</v>
      </c>
      <c r="O167" s="91" t="str">
        <f t="shared" si="157"/>
        <v>99.7340425531915</v>
      </c>
      <c r="P167" s="67" t="str">
        <f t="shared" si="158"/>
        <v>1+56.3916317851161i</v>
      </c>
      <c r="Q167" s="67">
        <f t="shared" si="169"/>
        <v>56.400497651954417</v>
      </c>
      <c r="R167" s="67">
        <f t="shared" si="170"/>
        <v>1.5530650576890095</v>
      </c>
      <c r="S167" s="67" t="str">
        <f t="shared" si="159"/>
        <v>1+0.106016267756018i</v>
      </c>
      <c r="T167" s="67">
        <f t="shared" si="171"/>
        <v>1.0056040219832634</v>
      </c>
      <c r="U167" s="67">
        <f t="shared" si="172"/>
        <v>0.10562173679842513</v>
      </c>
      <c r="V167" t="str">
        <f t="shared" si="160"/>
        <v>1-0.0109511309550173i</v>
      </c>
      <c r="W167" s="67">
        <f t="shared" si="173"/>
        <v>1.0000599618368859</v>
      </c>
      <c r="X167" s="67">
        <f t="shared" si="174"/>
        <v>-1.0950693206772298E-2</v>
      </c>
      <c r="Y167" t="str">
        <f t="shared" si="161"/>
        <v>0.999977396625183+0.0169275528491811i</v>
      </c>
      <c r="Z167" s="67">
        <f t="shared" si="175"/>
        <v>1.0001206606238771</v>
      </c>
      <c r="AA167" s="67">
        <f t="shared" si="176"/>
        <v>1.692631882741702E-2</v>
      </c>
      <c r="AB167" s="92" t="str">
        <f t="shared" si="177"/>
        <v>0.169509991905274-1.77002203711904i</v>
      </c>
      <c r="AC167" s="37">
        <f t="shared" si="178"/>
        <v>4.9992225938080477</v>
      </c>
      <c r="AD167" s="60">
        <f t="shared" si="179"/>
        <v>-84.529628506425027</v>
      </c>
      <c r="AE167" t="str">
        <f t="shared" si="180"/>
        <v>118.329284003155</v>
      </c>
      <c r="AF167" t="str">
        <f t="shared" si="162"/>
        <v>1+45.1133054280929i</v>
      </c>
      <c r="AG167">
        <f t="shared" si="181"/>
        <v>45.124387271722554</v>
      </c>
      <c r="AH167">
        <f t="shared" si="182"/>
        <v>1.548633546755966</v>
      </c>
      <c r="AI167" t="str">
        <f t="shared" si="163"/>
        <v>1+0.106016267756018i</v>
      </c>
      <c r="AJ167">
        <f t="shared" si="183"/>
        <v>1.0056040219832634</v>
      </c>
      <c r="AK167">
        <f t="shared" si="184"/>
        <v>0.10562173679842513</v>
      </c>
      <c r="AL167" t="str">
        <f t="shared" si="164"/>
        <v>1-0.00738392227986625i</v>
      </c>
      <c r="AM167">
        <f t="shared" si="185"/>
        <v>1.0000272607825424</v>
      </c>
      <c r="AN167">
        <f t="shared" si="186"/>
        <v>-7.3837880880939146E-3</v>
      </c>
      <c r="AO167" s="58" t="str">
        <f t="shared" si="187"/>
        <v>0.316737210733472-2.61796770851646i</v>
      </c>
      <c r="AP167">
        <f t="shared" si="188"/>
        <v>8.4223951911100823</v>
      </c>
      <c r="AQ167" s="60">
        <f t="shared" si="189"/>
        <v>-83.101546392367865</v>
      </c>
      <c r="AR167" t="str">
        <f t="shared" si="165"/>
        <v>-1.94444444444444</v>
      </c>
      <c r="AS167" t="str">
        <f t="shared" si="166"/>
        <v>1+0.108734633595916i</v>
      </c>
      <c r="AT167">
        <f t="shared" si="190"/>
        <v>1.0058942392434893</v>
      </c>
      <c r="AU167">
        <f t="shared" si="191"/>
        <v>0.10830911694336266</v>
      </c>
      <c r="AV167" t="str">
        <f t="shared" si="167"/>
        <v>1+0.108734633595916i</v>
      </c>
      <c r="AW167">
        <f t="shared" si="192"/>
        <v>1.0058942392434893</v>
      </c>
      <c r="AX167">
        <f t="shared" si="193"/>
        <v>0.10830911694336266</v>
      </c>
      <c r="AY167" t="str">
        <f t="shared" si="168"/>
        <v>1-0.0195674506282421i</v>
      </c>
      <c r="AZ167">
        <f t="shared" si="194"/>
        <v>1.0001914242404244</v>
      </c>
      <c r="BA167">
        <f t="shared" si="195"/>
        <v>-1.9564953839886247E-2</v>
      </c>
      <c r="BB167" s="58" t="str">
        <f t="shared" si="196"/>
        <v>-1.91763471050157+0.246561128283225i</v>
      </c>
      <c r="BC167">
        <f t="shared" si="197"/>
        <v>5.72652689662611</v>
      </c>
      <c r="BD167" s="60">
        <f t="shared" si="198"/>
        <v>172.6733554349627</v>
      </c>
      <c r="BE167" s="58" t="str">
        <f t="shared" si="199"/>
        <v>0.111360386303849+3.43605027159161i</v>
      </c>
      <c r="BF167" s="37">
        <f t="shared" si="200"/>
        <v>10.725749490434147</v>
      </c>
      <c r="BG167" s="60">
        <f t="shared" si="201"/>
        <v>88.14372692853766</v>
      </c>
      <c r="BH167" s="58" t="str">
        <f t="shared" si="202"/>
        <v>0.0381028026109111+5.09840083287115i</v>
      </c>
      <c r="BI167" s="37">
        <f t="shared" si="203"/>
        <v>14.148922087736198</v>
      </c>
      <c r="BJ167" s="60">
        <f t="shared" si="204"/>
        <v>89.571809042594822</v>
      </c>
      <c r="BK167">
        <f t="shared" si="205"/>
        <v>10.725749490434147</v>
      </c>
      <c r="BL167" s="60">
        <f t="shared" si="206"/>
        <v>88.14372692853766</v>
      </c>
      <c r="BN167">
        <f t="shared" si="207"/>
        <v>0</v>
      </c>
      <c r="BO167">
        <f t="shared" si="208"/>
        <v>0</v>
      </c>
    </row>
    <row r="168" spans="13:67" ht="14.25" x14ac:dyDescent="0.2">
      <c r="M168" s="66">
        <v>50</v>
      </c>
      <c r="N168" s="36">
        <f t="shared" si="156"/>
        <v>316.22776601683825</v>
      </c>
      <c r="O168" s="91" t="str">
        <f t="shared" si="157"/>
        <v>99.7340425531915</v>
      </c>
      <c r="P168" s="67" t="str">
        <f t="shared" si="158"/>
        <v>1+57.7051616289859i</v>
      </c>
      <c r="Q168" s="67">
        <f t="shared" si="169"/>
        <v>57.713825714705372</v>
      </c>
      <c r="R168" s="67">
        <f t="shared" si="170"/>
        <v>1.5534685889241402</v>
      </c>
      <c r="S168" s="67" t="str">
        <f t="shared" si="159"/>
        <v>1+0.108485703862493i</v>
      </c>
      <c r="T168" s="67">
        <f t="shared" si="171"/>
        <v>1.0058673610086672</v>
      </c>
      <c r="U168" s="67">
        <f t="shared" si="172"/>
        <v>0.10806308939364483</v>
      </c>
      <c r="V168" t="str">
        <f t="shared" si="160"/>
        <v>1-0.011206215563818i</v>
      </c>
      <c r="W168" s="67">
        <f t="shared" si="173"/>
        <v>1.0000627876624861</v>
      </c>
      <c r="X168" s="67">
        <f t="shared" si="174"/>
        <v>-1.1205746509713144E-2</v>
      </c>
      <c r="Y168" t="str">
        <f t="shared" si="161"/>
        <v>0.999976331360947+0.0173218462070291i</v>
      </c>
      <c r="Z168" s="67">
        <f t="shared" si="175"/>
        <v>1.0001263468372974</v>
      </c>
      <c r="AA168" s="67">
        <f t="shared" si="176"/>
        <v>1.7320523937820208E-2</v>
      </c>
      <c r="AB168" s="92" t="str">
        <f t="shared" si="177"/>
        <v>0.168097870686451-1.72995992930016i</v>
      </c>
      <c r="AC168" s="37">
        <f t="shared" si="178"/>
        <v>4.8015334901838234</v>
      </c>
      <c r="AD168" s="60">
        <f t="shared" si="179"/>
        <v>-84.450069709988298</v>
      </c>
      <c r="AE168" t="str">
        <f t="shared" si="180"/>
        <v>118.329284003155</v>
      </c>
      <c r="AF168" t="str">
        <f t="shared" si="162"/>
        <v>1+46.1641293031887i</v>
      </c>
      <c r="AG168">
        <f t="shared" si="181"/>
        <v>46.174958953111435</v>
      </c>
      <c r="AH168">
        <f t="shared" si="182"/>
        <v>1.5491378736335932</v>
      </c>
      <c r="AI168" t="str">
        <f t="shared" si="163"/>
        <v>1+0.108485703862493i</v>
      </c>
      <c r="AJ168">
        <f t="shared" si="183"/>
        <v>1.0058673610086672</v>
      </c>
      <c r="AK168">
        <f t="shared" si="184"/>
        <v>0.10806308939364483</v>
      </c>
      <c r="AL168" t="str">
        <f t="shared" si="164"/>
        <v>1-0.00755591592453285i</v>
      </c>
      <c r="AM168">
        <f t="shared" si="185"/>
        <v>1.0000285455253057</v>
      </c>
      <c r="AN168">
        <f t="shared" si="186"/>
        <v>-7.5557721356798628E-3</v>
      </c>
      <c r="AO168" s="58" t="str">
        <f t="shared" si="187"/>
        <v>0.314128660485622-2.55852655920661i</v>
      </c>
      <c r="AP168">
        <f t="shared" si="188"/>
        <v>8.2247766344619624</v>
      </c>
      <c r="AQ168" s="60">
        <f t="shared" si="189"/>
        <v>-83.000416954011754</v>
      </c>
      <c r="AR168" t="str">
        <f t="shared" si="165"/>
        <v>-1.94444444444444</v>
      </c>
      <c r="AS168" t="str">
        <f t="shared" si="166"/>
        <v>1+0.111267388576916i</v>
      </c>
      <c r="AT168">
        <f t="shared" si="190"/>
        <v>1.0061711741849526</v>
      </c>
      <c r="AU168">
        <f t="shared" si="191"/>
        <v>0.11081159016792112</v>
      </c>
      <c r="AV168" t="str">
        <f t="shared" si="167"/>
        <v>1+0.111267388576916i</v>
      </c>
      <c r="AW168">
        <f t="shared" si="192"/>
        <v>1.0061711741849526</v>
      </c>
      <c r="AX168">
        <f t="shared" si="193"/>
        <v>0.11081159016792112</v>
      </c>
      <c r="AY168" t="str">
        <f t="shared" si="168"/>
        <v>1-0.0191220410731334i</v>
      </c>
      <c r="AZ168">
        <f t="shared" si="194"/>
        <v>1.0001828095177414</v>
      </c>
      <c r="BA168">
        <f t="shared" si="195"/>
        <v>-1.9119710910576761E-2</v>
      </c>
      <c r="BB168" s="58" t="str">
        <f t="shared" si="196"/>
        <v>-1.91657924998671+0.250434514677818i</v>
      </c>
      <c r="BC168">
        <f t="shared" si="197"/>
        <v>5.7240610819552842</v>
      </c>
      <c r="BD168" s="60">
        <f t="shared" si="198"/>
        <v>172.55548482155848</v>
      </c>
      <c r="BE168" s="58" t="str">
        <f t="shared" si="199"/>
        <v>0.111068784381757+3.3577028124689i</v>
      </c>
      <c r="BF168" s="37">
        <f t="shared" si="200"/>
        <v>10.525594572139113</v>
      </c>
      <c r="BG168" s="60">
        <f t="shared" si="201"/>
        <v>88.105415111570181</v>
      </c>
      <c r="BH168" s="58" t="str">
        <f t="shared" si="202"/>
        <v>0.0386908846323517+4.98228757255039i</v>
      </c>
      <c r="BI168" s="37">
        <f t="shared" si="203"/>
        <v>13.948837716417245</v>
      </c>
      <c r="BJ168" s="60">
        <f t="shared" si="204"/>
        <v>89.555067867546725</v>
      </c>
      <c r="BK168">
        <f t="shared" si="205"/>
        <v>10.525594572139113</v>
      </c>
      <c r="BL168" s="60">
        <f t="shared" si="206"/>
        <v>88.105415111570181</v>
      </c>
      <c r="BN168">
        <f t="shared" si="207"/>
        <v>0</v>
      </c>
      <c r="BO168">
        <f t="shared" si="208"/>
        <v>0</v>
      </c>
    </row>
    <row r="169" spans="13:67" ht="14.25" x14ac:dyDescent="0.2">
      <c r="M169" s="66">
        <v>51</v>
      </c>
      <c r="N169" s="36">
        <f t="shared" si="156"/>
        <v>323.59365692962825</v>
      </c>
      <c r="O169" s="91" t="str">
        <f t="shared" si="157"/>
        <v>99.7340425531915</v>
      </c>
      <c r="P169" s="67" t="str">
        <f t="shared" si="158"/>
        <v>1+59.0492875133695i</v>
      </c>
      <c r="Q169" s="67">
        <f t="shared" si="169"/>
        <v>59.057754409023843</v>
      </c>
      <c r="R169" s="67">
        <f t="shared" si="170"/>
        <v>1.5538629401205013</v>
      </c>
      <c r="S169" s="67" t="str">
        <f t="shared" si="159"/>
        <v>1+0.111012660525135i</v>
      </c>
      <c r="T169" s="67">
        <f t="shared" si="171"/>
        <v>1.0061430369469686</v>
      </c>
      <c r="U169" s="67">
        <f t="shared" si="172"/>
        <v>0.11055997015427732</v>
      </c>
      <c r="V169" t="str">
        <f t="shared" si="160"/>
        <v>1-0.0114672418564425i</v>
      </c>
      <c r="W169" s="67">
        <f t="shared" si="173"/>
        <v>1.0000657466565857</v>
      </c>
      <c r="X169" s="67">
        <f t="shared" si="174"/>
        <v>-1.1466739257698498E-2</v>
      </c>
      <c r="Y169" t="str">
        <f t="shared" si="161"/>
        <v>0.999975215892354+0.0177253238370178i</v>
      </c>
      <c r="Z169" s="67">
        <f t="shared" si="175"/>
        <v>1.0001323010002663</v>
      </c>
      <c r="AA169" s="67">
        <f t="shared" si="176"/>
        <v>1.7723907010058153E-2</v>
      </c>
      <c r="AB169" s="92" t="str">
        <f t="shared" si="177"/>
        <v>0.166748956080609-1.69081286660957i</v>
      </c>
      <c r="AC169" s="37">
        <f t="shared" si="178"/>
        <v>4.6039463596477086</v>
      </c>
      <c r="AD169" s="60">
        <f t="shared" si="179"/>
        <v>-84.367669570163429</v>
      </c>
      <c r="AE169" t="str">
        <f t="shared" si="180"/>
        <v>118.329284003155</v>
      </c>
      <c r="AF169" t="str">
        <f t="shared" si="162"/>
        <v>1+47.2394300106956i</v>
      </c>
      <c r="AG169">
        <f t="shared" si="181"/>
        <v>47.250013203547446</v>
      </c>
      <c r="AH169">
        <f t="shared" si="182"/>
        <v>1.5496307312778501</v>
      </c>
      <c r="AI169" t="str">
        <f t="shared" si="163"/>
        <v>1+0.111012660525135i</v>
      </c>
      <c r="AJ169">
        <f t="shared" si="183"/>
        <v>1.0061430369469686</v>
      </c>
      <c r="AK169">
        <f t="shared" si="184"/>
        <v>0.11055997015427732</v>
      </c>
      <c r="AL169" t="str">
        <f t="shared" si="164"/>
        <v>1-0.00773191581583701i</v>
      </c>
      <c r="AM169">
        <f t="shared" si="185"/>
        <v>1.0000298908143612</v>
      </c>
      <c r="AN169">
        <f t="shared" si="186"/>
        <v>-7.7317617435538766E-3</v>
      </c>
      <c r="AO169" s="58" t="str">
        <f t="shared" si="187"/>
        <v>0.311637406686066-2.50043688909721i</v>
      </c>
      <c r="AP169">
        <f t="shared" si="188"/>
        <v>8.0272601932856968</v>
      </c>
      <c r="AQ169" s="60">
        <f t="shared" si="189"/>
        <v>-82.895678349166133</v>
      </c>
      <c r="AR169" t="str">
        <f t="shared" si="165"/>
        <v>-1.94444444444444</v>
      </c>
      <c r="AS169" t="str">
        <f t="shared" si="166"/>
        <v>1+0.113859139000138i</v>
      </c>
      <c r="AT169">
        <f t="shared" si="190"/>
        <v>1.0064610789960298</v>
      </c>
      <c r="AU169">
        <f t="shared" si="191"/>
        <v>0.11337091138060529</v>
      </c>
      <c r="AV169" t="str">
        <f t="shared" si="167"/>
        <v>1+0.113859139000138i</v>
      </c>
      <c r="AW169">
        <f t="shared" si="192"/>
        <v>1.0064610789960298</v>
      </c>
      <c r="AX169">
        <f t="shared" si="193"/>
        <v>0.11337091138060529</v>
      </c>
      <c r="AY169" t="str">
        <f t="shared" si="168"/>
        <v>1-0.0186867702773118i</v>
      </c>
      <c r="AZ169">
        <f t="shared" si="194"/>
        <v>1.0001745824521822</v>
      </c>
      <c r="BA169">
        <f t="shared" si="195"/>
        <v>-1.8684595621617645E-2</v>
      </c>
      <c r="BB169" s="58" t="str">
        <f t="shared" si="196"/>
        <v>-1.91547529170209+0.254429754139567i</v>
      </c>
      <c r="BC169">
        <f t="shared" si="197"/>
        <v>5.7214873588222828</v>
      </c>
      <c r="BD169" s="60">
        <f t="shared" si="198"/>
        <v>172.43377678731233</v>
      </c>
      <c r="BE169" s="58" t="str">
        <f t="shared" si="199"/>
        <v>0.110789596657966+3.28113616478123i</v>
      </c>
      <c r="BF169" s="37">
        <f t="shared" si="200"/>
        <v>10.325433718469988</v>
      </c>
      <c r="BG169" s="60">
        <f t="shared" si="201"/>
        <v>88.066107217148897</v>
      </c>
      <c r="BH169" s="58" t="str">
        <f t="shared" si="202"/>
        <v>0.0392517904572318+4.86881490828997i</v>
      </c>
      <c r="BI169" s="37">
        <f t="shared" si="203"/>
        <v>13.748747552107973</v>
      </c>
      <c r="BJ169" s="60">
        <f t="shared" si="204"/>
        <v>89.538098438146207</v>
      </c>
      <c r="BK169">
        <f t="shared" si="205"/>
        <v>10.325433718469988</v>
      </c>
      <c r="BL169" s="60">
        <f t="shared" si="206"/>
        <v>88.066107217148897</v>
      </c>
      <c r="BN169">
        <f t="shared" si="207"/>
        <v>0</v>
      </c>
      <c r="BO169">
        <f t="shared" si="208"/>
        <v>0</v>
      </c>
    </row>
    <row r="170" spans="13:67" ht="14.25" x14ac:dyDescent="0.2">
      <c r="M170" s="66">
        <v>52</v>
      </c>
      <c r="N170" s="36">
        <f t="shared" si="156"/>
        <v>331.13112148259137</v>
      </c>
      <c r="O170" s="91" t="str">
        <f t="shared" si="157"/>
        <v>99.7340425531915</v>
      </c>
      <c r="P170" s="67" t="str">
        <f t="shared" si="158"/>
        <v>1+60.4247221116026i</v>
      </c>
      <c r="Q170" s="67">
        <f t="shared" si="169"/>
        <v>60.432996303876877</v>
      </c>
      <c r="R170" s="67">
        <f t="shared" si="170"/>
        <v>1.554248319877422</v>
      </c>
      <c r="S170" s="67" t="str">
        <f t="shared" si="159"/>
        <v>1+0.113598477569813i</v>
      </c>
      <c r="T170" s="67">
        <f t="shared" si="171"/>
        <v>1.0064316241584319</v>
      </c>
      <c r="U170" s="67">
        <f t="shared" si="172"/>
        <v>0.11311357835919369</v>
      </c>
      <c r="V170" t="str">
        <f t="shared" si="160"/>
        <v>1-0.0117343482324862i</v>
      </c>
      <c r="W170" s="67">
        <f t="shared" si="173"/>
        <v>1.0000688450943971</v>
      </c>
      <c r="X170" s="67">
        <f t="shared" si="174"/>
        <v>-1.1733809690231497E-2</v>
      </c>
      <c r="Y170" t="str">
        <f t="shared" si="161"/>
        <v>0.999974047853346+0.0181381996683274i</v>
      </c>
      <c r="Z170" s="67">
        <f t="shared" si="175"/>
        <v>1.0001385357376318</v>
      </c>
      <c r="AA170" s="67">
        <f t="shared" si="176"/>
        <v>1.8136681522135323E-2</v>
      </c>
      <c r="AB170" s="92" t="str">
        <f t="shared" si="177"/>
        <v>0.165460391897517-1.65256023898059i</v>
      </c>
      <c r="AC170" s="37">
        <f t="shared" si="178"/>
        <v>4.4064661411964021</v>
      </c>
      <c r="AD170" s="60">
        <f t="shared" si="179"/>
        <v>-84.282391477122502</v>
      </c>
      <c r="AE170" t="str">
        <f t="shared" si="180"/>
        <v>118.329284003155</v>
      </c>
      <c r="AF170" t="str">
        <f t="shared" si="162"/>
        <v>1+48.3397776892821i</v>
      </c>
      <c r="AG170">
        <f t="shared" si="181"/>
        <v>48.350120031383746</v>
      </c>
      <c r="AH170">
        <f t="shared" si="182"/>
        <v>1.5501123800500793</v>
      </c>
      <c r="AI170" t="str">
        <f t="shared" si="163"/>
        <v>1+0.113598477569813i</v>
      </c>
      <c r="AJ170">
        <f t="shared" si="183"/>
        <v>1.0064316241584319</v>
      </c>
      <c r="AK170">
        <f t="shared" si="184"/>
        <v>0.11311357835919369</v>
      </c>
      <c r="AL170" t="str">
        <f t="shared" si="164"/>
        <v>1-0.00791201527125077i</v>
      </c>
      <c r="AM170">
        <f t="shared" si="185"/>
        <v>1.0000312995029967</v>
      </c>
      <c r="AN170">
        <f t="shared" si="186"/>
        <v>-7.9118501801040599E-3</v>
      </c>
      <c r="AO170" s="58" t="str">
        <f t="shared" si="187"/>
        <v>0.309258179591031-2.44366823740722i</v>
      </c>
      <c r="AP170">
        <f t="shared" si="188"/>
        <v>7.8298509562947416</v>
      </c>
      <c r="AQ170" s="60">
        <f t="shared" si="189"/>
        <v>-82.787282125704294</v>
      </c>
      <c r="AR170" t="str">
        <f t="shared" si="165"/>
        <v>-1.94444444444444</v>
      </c>
      <c r="AS170" t="str">
        <f t="shared" si="166"/>
        <v>1+0.116511259045962i</v>
      </c>
      <c r="AT170">
        <f t="shared" si="190"/>
        <v>1.0067645571256842</v>
      </c>
      <c r="AU170">
        <f t="shared" si="191"/>
        <v>0.11598830338375524</v>
      </c>
      <c r="AV170" t="str">
        <f t="shared" si="167"/>
        <v>1+0.116511259045962i</v>
      </c>
      <c r="AW170">
        <f t="shared" si="192"/>
        <v>1.0067645571256842</v>
      </c>
      <c r="AX170">
        <f t="shared" si="193"/>
        <v>0.11598830338375524</v>
      </c>
      <c r="AY170" t="str">
        <f t="shared" si="168"/>
        <v>1-0.0182614074544397i</v>
      </c>
      <c r="AZ170">
        <f t="shared" si="194"/>
        <v>1.0001667256023954</v>
      </c>
      <c r="BA170">
        <f t="shared" si="195"/>
        <v>-1.8259377928527797E-2</v>
      </c>
      <c r="BB170" s="58" t="str">
        <f t="shared" si="196"/>
        <v>-1.91432066773202+0.258548203487686i</v>
      </c>
      <c r="BC170">
        <f t="shared" si="197"/>
        <v>5.7188004659021772</v>
      </c>
      <c r="BD170" s="60">
        <f t="shared" si="198"/>
        <v>172.30817445138888</v>
      </c>
      <c r="BE170" s="58" t="str">
        <f t="shared" si="199"/>
        <v>0.110522233043156+3.20630970722618i</v>
      </c>
      <c r="BF170" s="37">
        <f t="shared" si="200"/>
        <v>10.125266607098576</v>
      </c>
      <c r="BG170" s="60">
        <f t="shared" si="201"/>
        <v>88.025782974266392</v>
      </c>
      <c r="BH170" s="58" t="str">
        <f t="shared" si="202"/>
        <v>0.0397867078452653+4.75792275869605i</v>
      </c>
      <c r="BI170" s="37">
        <f t="shared" si="203"/>
        <v>13.548651422196919</v>
      </c>
      <c r="BJ170" s="60">
        <f t="shared" si="204"/>
        <v>89.520892325684613</v>
      </c>
      <c r="BK170">
        <f t="shared" si="205"/>
        <v>10.125266607098576</v>
      </c>
      <c r="BL170" s="60">
        <f t="shared" si="206"/>
        <v>88.025782974266392</v>
      </c>
      <c r="BN170">
        <f t="shared" si="207"/>
        <v>0</v>
      </c>
      <c r="BO170">
        <f t="shared" si="208"/>
        <v>0</v>
      </c>
    </row>
    <row r="171" spans="13:67" ht="14.25" x14ac:dyDescent="0.2">
      <c r="M171" s="66">
        <v>53</v>
      </c>
      <c r="N171" s="36">
        <f t="shared" si="156"/>
        <v>338.84415613920277</v>
      </c>
      <c r="O171" s="91" t="str">
        <f t="shared" si="157"/>
        <v>99.7340425531915</v>
      </c>
      <c r="P171" s="67" t="str">
        <f t="shared" si="158"/>
        <v>1+61.8321946973147i</v>
      </c>
      <c r="Q171" s="67">
        <f t="shared" si="169"/>
        <v>61.84028057089192</v>
      </c>
      <c r="R171" s="67">
        <f t="shared" si="170"/>
        <v>1.5546249320702026</v>
      </c>
      <c r="S171" s="67" t="str">
        <f t="shared" si="159"/>
        <v>1+0.116244526030952i</v>
      </c>
      <c r="T171" s="67">
        <f t="shared" si="171"/>
        <v>1.0067337234006621</v>
      </c>
      <c r="U171" s="67">
        <f t="shared" si="172"/>
        <v>0.11572513467818721</v>
      </c>
      <c r="V171" t="str">
        <f t="shared" si="160"/>
        <v>1-0.0120076763152851i</v>
      </c>
      <c r="W171" s="67">
        <f t="shared" si="173"/>
        <v>1.0000720895467949</v>
      </c>
      <c r="X171" s="67">
        <f t="shared" si="174"/>
        <v>-1.2007099259109076E-2</v>
      </c>
      <c r="Y171" t="str">
        <f t="shared" si="161"/>
        <v>0.999972824766355+0.0185606926131885i</v>
      </c>
      <c r="Z171" s="67">
        <f t="shared" si="175"/>
        <v>1.0001450642689211</v>
      </c>
      <c r="AA171" s="67">
        <f t="shared" si="176"/>
        <v>1.8559065902855051E-2</v>
      </c>
      <c r="AB171" s="92" t="str">
        <f t="shared" si="177"/>
        <v>0.164229449517338-1.61518190078694i</v>
      </c>
      <c r="AC171" s="37">
        <f t="shared" si="178"/>
        <v>4.2090979836433178</v>
      </c>
      <c r="AD171" s="60">
        <f t="shared" si="179"/>
        <v>-84.194197792472039</v>
      </c>
      <c r="AE171" t="str">
        <f t="shared" si="180"/>
        <v>118.329284003155</v>
      </c>
      <c r="AF171" t="str">
        <f t="shared" si="162"/>
        <v>1+49.4657557578517i</v>
      </c>
      <c r="AG171">
        <f t="shared" si="181"/>
        <v>49.475862728157047</v>
      </c>
      <c r="AH171">
        <f t="shared" si="182"/>
        <v>1.5505830744324383</v>
      </c>
      <c r="AI171" t="str">
        <f t="shared" si="163"/>
        <v>1+0.116244526030952i</v>
      </c>
      <c r="AJ171">
        <f t="shared" si="183"/>
        <v>1.0067337234006621</v>
      </c>
      <c r="AK171">
        <f t="shared" si="184"/>
        <v>0.11572513467818721</v>
      </c>
      <c r="AL171" t="str">
        <f t="shared" si="164"/>
        <v>1-0.0080963097818892i</v>
      </c>
      <c r="AM171">
        <f t="shared" si="185"/>
        <v>1.0000327745789557</v>
      </c>
      <c r="AN171">
        <f t="shared" si="186"/>
        <v>-8.0961328838514961E-3</v>
      </c>
      <c r="AO171" s="58" t="str">
        <f t="shared" si="187"/>
        <v>0.30698594580219-2.38819082117421i</v>
      </c>
      <c r="AP171">
        <f t="shared" si="188"/>
        <v>7.632554222646144</v>
      </c>
      <c r="AQ171" s="60">
        <f t="shared" si="189"/>
        <v>-82.675178393376854</v>
      </c>
      <c r="AR171" t="str">
        <f t="shared" si="165"/>
        <v>-1.94444444444444</v>
      </c>
      <c r="AS171" t="str">
        <f t="shared" si="166"/>
        <v>1+0.11922515490354i</v>
      </c>
      <c r="AT171">
        <f t="shared" si="190"/>
        <v>1.0070822397211525</v>
      </c>
      <c r="AU171">
        <f t="shared" si="191"/>
        <v>0.11866501042716604</v>
      </c>
      <c r="AV171" t="str">
        <f t="shared" si="167"/>
        <v>1+0.11922515490354i</v>
      </c>
      <c r="AW171">
        <f t="shared" si="192"/>
        <v>1.0070822397211525</v>
      </c>
      <c r="AX171">
        <f t="shared" si="193"/>
        <v>0.11866501042716604</v>
      </c>
      <c r="AY171" t="str">
        <f t="shared" si="168"/>
        <v>1-0.0178457270715185i</v>
      </c>
      <c r="AZ171">
        <f t="shared" si="194"/>
        <v>1.0001592223114835</v>
      </c>
      <c r="BA171">
        <f t="shared" si="195"/>
        <v>-1.7843832990680333E-2</v>
      </c>
      <c r="BB171" s="58" t="str">
        <f t="shared" si="196"/>
        <v>-1.91311311900388+0.262791232822518i</v>
      </c>
      <c r="BC171">
        <f t="shared" si="197"/>
        <v>5.7159949205429221</v>
      </c>
      <c r="BD171" s="60">
        <f t="shared" si="198"/>
        <v>172.1786194059452</v>
      </c>
      <c r="BE171" s="58" t="str">
        <f t="shared" si="199"/>
        <v>0.110266128542013+3.13318374347754i</v>
      </c>
      <c r="BF171" s="37">
        <f t="shared" si="200"/>
        <v>9.925092904186231</v>
      </c>
      <c r="BG171" s="60">
        <f t="shared" si="201"/>
        <v>87.98442161347316</v>
      </c>
      <c r="BH171" s="58" t="str">
        <f t="shared" si="202"/>
        <v>0.0402967698478085+4.64955240582957i</v>
      </c>
      <c r="BI171" s="37">
        <f t="shared" si="203"/>
        <v>13.348549143189057</v>
      </c>
      <c r="BJ171" s="60">
        <f t="shared" si="204"/>
        <v>89.503441012568345</v>
      </c>
      <c r="BK171">
        <f t="shared" si="205"/>
        <v>9.925092904186231</v>
      </c>
      <c r="BL171" s="60">
        <f t="shared" si="206"/>
        <v>87.98442161347316</v>
      </c>
      <c r="BN171">
        <f t="shared" si="207"/>
        <v>0</v>
      </c>
      <c r="BO171">
        <f t="shared" si="208"/>
        <v>0</v>
      </c>
    </row>
    <row r="172" spans="13:67" ht="14.25" x14ac:dyDescent="0.2">
      <c r="M172" s="66">
        <v>54</v>
      </c>
      <c r="N172" s="36">
        <f t="shared" si="156"/>
        <v>346.73685045253183</v>
      </c>
      <c r="O172" s="91" t="str">
        <f t="shared" si="157"/>
        <v>99.7340425531915</v>
      </c>
      <c r="P172" s="67" t="str">
        <f t="shared" si="158"/>
        <v>1+63.2724515311013i</v>
      </c>
      <c r="Q172" s="67">
        <f t="shared" si="169"/>
        <v>63.28035337097576</v>
      </c>
      <c r="R172" s="67">
        <f t="shared" si="170"/>
        <v>1.5549929759560277</v>
      </c>
      <c r="S172" s="67" t="str">
        <f t="shared" si="159"/>
        <v>1+0.118952208878471i</v>
      </c>
      <c r="T172" s="67">
        <f t="shared" si="171"/>
        <v>1.0070499630093173</v>
      </c>
      <c r="U172" s="67">
        <f t="shared" si="172"/>
        <v>0.11839588122474545</v>
      </c>
      <c r="V172" t="str">
        <f t="shared" si="160"/>
        <v>1-0.0122873710270068i</v>
      </c>
      <c r="W172" s="67">
        <f t="shared" si="173"/>
        <v>1.0000754868942421</v>
      </c>
      <c r="X172" s="67">
        <f t="shared" si="174"/>
        <v>-1.2286752702694663E-2</v>
      </c>
      <c r="Y172" t="str">
        <f t="shared" si="161"/>
        <v>0.99997154403705+0.0189930266829529i</v>
      </c>
      <c r="Z172" s="67">
        <f t="shared" si="175"/>
        <v>1.0001519004363395</v>
      </c>
      <c r="AA172" s="67">
        <f t="shared" si="176"/>
        <v>1.8991283645585656E-2</v>
      </c>
      <c r="AB172" s="92" t="str">
        <f t="shared" si="177"/>
        <v>0.163053522141829-1.5786581608108i</v>
      </c>
      <c r="AC172" s="37">
        <f t="shared" si="178"/>
        <v>4.0118472549443815</v>
      </c>
      <c r="AD172" s="60">
        <f t="shared" si="179"/>
        <v>-84.103049863071448</v>
      </c>
      <c r="AE172" t="str">
        <f t="shared" si="180"/>
        <v>118.329284003155</v>
      </c>
      <c r="AF172" t="str">
        <f t="shared" si="162"/>
        <v>1+50.6179612248811i</v>
      </c>
      <c r="AG172">
        <f t="shared" si="181"/>
        <v>50.627838177859878</v>
      </c>
      <c r="AH172">
        <f t="shared" si="182"/>
        <v>1.5510430631585694</v>
      </c>
      <c r="AI172" t="str">
        <f t="shared" si="163"/>
        <v>1+0.118952208878471i</v>
      </c>
      <c r="AJ172">
        <f t="shared" si="183"/>
        <v>1.0070499630093173</v>
      </c>
      <c r="AK172">
        <f t="shared" si="184"/>
        <v>0.11839588122474545</v>
      </c>
      <c r="AL172" t="str">
        <f t="shared" si="164"/>
        <v>1-0.00828489706314134i</v>
      </c>
      <c r="AM172">
        <f t="shared" si="185"/>
        <v>1.0000343191707706</v>
      </c>
      <c r="AN172">
        <f t="shared" si="186"/>
        <v>-8.2847075138302063E-3</v>
      </c>
      <c r="AO172" s="58" t="str">
        <f t="shared" si="187"/>
        <v>0.304815897702451-2.33397552096811i</v>
      </c>
      <c r="AP172">
        <f t="shared" si="188"/>
        <v>7.4353755115836382</v>
      </c>
      <c r="AQ172" s="60">
        <f t="shared" si="189"/>
        <v>-82.559315831161882</v>
      </c>
      <c r="AR172" t="str">
        <f t="shared" si="165"/>
        <v>-1.94444444444444</v>
      </c>
      <c r="AS172" t="str">
        <f t="shared" si="166"/>
        <v>1+0.12200226551638i</v>
      </c>
      <c r="AT172">
        <f t="shared" si="190"/>
        <v>1.0074147868634493</v>
      </c>
      <c r="AU172">
        <f t="shared" si="191"/>
        <v>0.12140229822998176</v>
      </c>
      <c r="AV172" t="str">
        <f t="shared" si="167"/>
        <v>1+0.12200226551638i</v>
      </c>
      <c r="AW172">
        <f t="shared" si="192"/>
        <v>1.0074147868634493</v>
      </c>
      <c r="AX172">
        <f t="shared" si="193"/>
        <v>0.12140229822998176</v>
      </c>
      <c r="AY172" t="str">
        <f t="shared" si="168"/>
        <v>1-0.0174395087293066i</v>
      </c>
      <c r="AZ172">
        <f t="shared" si="194"/>
        <v>1.0001520566717441</v>
      </c>
      <c r="BA172">
        <f t="shared" si="195"/>
        <v>-1.7437741055020124E-2</v>
      </c>
      <c r="BB172" s="58" t="str">
        <f t="shared" si="196"/>
        <v>-1.91185029200511+0.267160222815317i</v>
      </c>
      <c r="BC172">
        <f t="shared" si="197"/>
        <v>5.7130650088953576</v>
      </c>
      <c r="BD172" s="60">
        <f t="shared" si="198"/>
        <v>172.04505172153884</v>
      </c>
      <c r="BE172" s="58" t="str">
        <f t="shared" si="199"/>
        <v>0.110020742072114+3.06171948102861i</v>
      </c>
      <c r="BF172" s="37">
        <f t="shared" si="200"/>
        <v>9.7249122638397374</v>
      </c>
      <c r="BG172" s="60">
        <f t="shared" si="201"/>
        <v>87.942001858467393</v>
      </c>
      <c r="BH172" s="58" t="str">
        <f t="shared" si="202"/>
        <v>0.0407830571971052+4.5436464644435i</v>
      </c>
      <c r="BI172" s="37">
        <f t="shared" si="203"/>
        <v>13.148440520479001</v>
      </c>
      <c r="BJ172" s="60">
        <f t="shared" si="204"/>
        <v>89.485735890376958</v>
      </c>
      <c r="BK172">
        <f t="shared" si="205"/>
        <v>9.7249122638397374</v>
      </c>
      <c r="BL172" s="60">
        <f t="shared" si="206"/>
        <v>87.942001858467393</v>
      </c>
      <c r="BN172">
        <f t="shared" si="207"/>
        <v>0</v>
      </c>
      <c r="BO172">
        <f t="shared" si="208"/>
        <v>0</v>
      </c>
    </row>
    <row r="173" spans="13:67" ht="14.25" x14ac:dyDescent="0.2">
      <c r="M173" s="66">
        <v>55</v>
      </c>
      <c r="N173" s="36">
        <f t="shared" si="156"/>
        <v>354.81338923357566</v>
      </c>
      <c r="O173" s="91" t="str">
        <f t="shared" si="157"/>
        <v>99.7340425531915</v>
      </c>
      <c r="P173" s="67" t="str">
        <f t="shared" si="158"/>
        <v>1+64.7462562561997i</v>
      </c>
      <c r="Q173" s="67">
        <f t="shared" si="169"/>
        <v>64.753978249938271</v>
      </c>
      <c r="R173" s="67">
        <f t="shared" si="170"/>
        <v>1.5553526462775777</v>
      </c>
      <c r="S173" s="67" t="str">
        <f t="shared" si="159"/>
        <v>1+0.121722961761655i</v>
      </c>
      <c r="T173" s="67">
        <f t="shared" si="171"/>
        <v>1.0073810001285657</v>
      </c>
      <c r="U173" s="67">
        <f t="shared" si="172"/>
        <v>0.12112708158085411</v>
      </c>
      <c r="V173" t="str">
        <f t="shared" si="160"/>
        <v>1-0.0125735806654897i</v>
      </c>
      <c r="W173" s="67">
        <f t="shared" si="173"/>
        <v>1.0000790443413718</v>
      </c>
      <c r="X173" s="67">
        <f t="shared" si="174"/>
        <v>-1.2572918121880567E-2</v>
      </c>
      <c r="Y173" t="str">
        <f t="shared" si="161"/>
        <v>0.999970202948833+0.0194354311068671i</v>
      </c>
      <c r="Z173" s="67">
        <f t="shared" si="175"/>
        <v>1.0001590587340794</v>
      </c>
      <c r="AA173" s="67">
        <f t="shared" si="176"/>
        <v>1.943356342456477E-2</v>
      </c>
      <c r="AB173" s="92" t="str">
        <f t="shared" si="177"/>
        <v>0.16193011930055-1.5429697724084i</v>
      </c>
      <c r="AC173" s="37">
        <f t="shared" si="178"/>
        <v>3.814719551841661</v>
      </c>
      <c r="AD173" s="60">
        <f t="shared" si="179"/>
        <v>-84.008908036564108</v>
      </c>
      <c r="AE173" t="str">
        <f t="shared" si="180"/>
        <v>118.329284003155</v>
      </c>
      <c r="AF173" t="str">
        <f t="shared" si="162"/>
        <v>1+51.7970050049597i</v>
      </c>
      <c r="AG173">
        <f t="shared" si="181"/>
        <v>51.806657173415651</v>
      </c>
      <c r="AH173">
        <f t="shared" si="182"/>
        <v>1.5514925893415072</v>
      </c>
      <c r="AI173" t="str">
        <f t="shared" si="163"/>
        <v>1+0.121722961761655i</v>
      </c>
      <c r="AJ173">
        <f t="shared" si="183"/>
        <v>1.0073810001285657</v>
      </c>
      <c r="AK173">
        <f t="shared" si="184"/>
        <v>0.12112708158085411</v>
      </c>
      <c r="AL173" t="str">
        <f t="shared" si="164"/>
        <v>1-0.00847787710647993i</v>
      </c>
      <c r="AM173">
        <f t="shared" si="185"/>
        <v>1.0000359365543983</v>
      </c>
      <c r="AN173">
        <f t="shared" si="186"/>
        <v>-8.477674001127946E-3</v>
      </c>
      <c r="AO173" s="58" t="str">
        <f t="shared" si="187"/>
        <v>0.302743443360842-2.28099386685678i</v>
      </c>
      <c r="AP173">
        <f t="shared" si="188"/>
        <v>7.2383205724004469</v>
      </c>
      <c r="AQ173" s="60">
        <f t="shared" si="189"/>
        <v>-82.43964169612488</v>
      </c>
      <c r="AR173" t="str">
        <f t="shared" si="165"/>
        <v>-1.94444444444444</v>
      </c>
      <c r="AS173" t="str">
        <f t="shared" si="166"/>
        <v>1+0.124844063345287i</v>
      </c>
      <c r="AT173">
        <f t="shared" si="190"/>
        <v>1.0077628888545966</v>
      </c>
      <c r="AU173">
        <f t="shared" si="191"/>
        <v>0.12420145397193011</v>
      </c>
      <c r="AV173" t="str">
        <f t="shared" si="167"/>
        <v>1+0.124844063345287i</v>
      </c>
      <c r="AW173">
        <f t="shared" si="192"/>
        <v>1.0077628888545966</v>
      </c>
      <c r="AX173">
        <f t="shared" si="193"/>
        <v>0.12420145397193011</v>
      </c>
      <c r="AY173" t="str">
        <f t="shared" si="168"/>
        <v>1-0.0170425370454622i</v>
      </c>
      <c r="AZ173">
        <f t="shared" si="194"/>
        <v>1.0001452134909938</v>
      </c>
      <c r="BA173">
        <f t="shared" si="195"/>
        <v>-1.7040887342286256E-2</v>
      </c>
      <c r="BB173" s="58" t="str">
        <f t="shared" si="196"/>
        <v>-1.91052973543603+0.271656561791117i</v>
      </c>
      <c r="BC173">
        <f t="shared" si="197"/>
        <v>5.7100047757147259</v>
      </c>
      <c r="BD173" s="60">
        <f t="shared" si="198"/>
        <v>171.90740995414916</v>
      </c>
      <c r="BE173" s="58" t="str">
        <f t="shared" si="199"/>
        <v>0.109785555333684+2.99187901052482i</v>
      </c>
      <c r="BF173" s="37">
        <f t="shared" si="200"/>
        <v>9.524724327556374</v>
      </c>
      <c r="BG173" s="60">
        <f t="shared" si="201"/>
        <v>87.898501917585051</v>
      </c>
      <c r="BH173" s="58" t="str">
        <f t="shared" si="202"/>
        <v>0.0412466005877555+4.4401488519053i</v>
      </c>
      <c r="BI173" s="37">
        <f t="shared" si="203"/>
        <v>12.948325348115169</v>
      </c>
      <c r="BJ173" s="60">
        <f t="shared" si="204"/>
        <v>89.467768258024293</v>
      </c>
      <c r="BK173">
        <f t="shared" si="205"/>
        <v>9.524724327556374</v>
      </c>
      <c r="BL173" s="60">
        <f t="shared" si="206"/>
        <v>87.898501917585051</v>
      </c>
      <c r="BN173">
        <f t="shared" si="207"/>
        <v>0</v>
      </c>
      <c r="BO173">
        <f t="shared" si="208"/>
        <v>0</v>
      </c>
    </row>
    <row r="174" spans="13:67" ht="14.25" x14ac:dyDescent="0.2">
      <c r="M174" s="66">
        <v>56</v>
      </c>
      <c r="N174" s="36">
        <f t="shared" si="156"/>
        <v>363.07805477010152</v>
      </c>
      <c r="O174" s="91" t="str">
        <f t="shared" si="157"/>
        <v>99.7340425531915</v>
      </c>
      <c r="P174" s="67" t="str">
        <f t="shared" si="158"/>
        <v>1+66.2543903033833i</v>
      </c>
      <c r="Q174" s="67">
        <f t="shared" si="169"/>
        <v>66.261936543335722</v>
      </c>
      <c r="R174" s="67">
        <f t="shared" si="170"/>
        <v>1.5557041333643808</v>
      </c>
      <c r="S174" s="67" t="str">
        <f t="shared" si="159"/>
        <v>1+0.124558253770361i</v>
      </c>
      <c r="T174" s="67">
        <f t="shared" si="171"/>
        <v>1.0077275219930841</v>
      </c>
      <c r="U174" s="67">
        <f t="shared" si="172"/>
        <v>0.12392002079140757</v>
      </c>
      <c r="V174" t="str">
        <f t="shared" si="160"/>
        <v>1-0.0128664569828724i</v>
      </c>
      <c r="W174" s="67">
        <f t="shared" si="173"/>
        <v>1.0000827694322565</v>
      </c>
      <c r="X174" s="67">
        <f t="shared" si="174"/>
        <v>-1.2865747057777932E-2</v>
      </c>
      <c r="Y174" t="str">
        <f t="shared" si="161"/>
        <v>0.999968798657076+0.0198881404536126i</v>
      </c>
      <c r="Z174" s="67">
        <f t="shared" si="175"/>
        <v>1.0001665543390155</v>
      </c>
      <c r="AA174" s="67">
        <f t="shared" si="176"/>
        <v>1.988613921379408E-2</v>
      </c>
      <c r="AB174" s="92" t="str">
        <f t="shared" si="177"/>
        <v>0.1608568616007-1.50809792387067i</v>
      </c>
      <c r="AC174" s="37">
        <f t="shared" si="178"/>
        <v>3.617720709831211</v>
      </c>
      <c r="AD174" s="60">
        <f t="shared" si="179"/>
        <v>-83.911731678768845</v>
      </c>
      <c r="AE174" t="str">
        <f t="shared" si="180"/>
        <v>118.329284003155</v>
      </c>
      <c r="AF174" t="str">
        <f t="shared" si="162"/>
        <v>1+53.0035122427066i</v>
      </c>
      <c r="AG174">
        <f t="shared" si="181"/>
        <v>53.012944740532461</v>
      </c>
      <c r="AH174">
        <f t="shared" si="182"/>
        <v>1.5519318905988675</v>
      </c>
      <c r="AI174" t="str">
        <f t="shared" si="163"/>
        <v>1+0.124558253770361i</v>
      </c>
      <c r="AJ174">
        <f t="shared" si="183"/>
        <v>1.0077275219930841</v>
      </c>
      <c r="AK174">
        <f t="shared" si="184"/>
        <v>0.12392002079140757</v>
      </c>
      <c r="AL174" t="str">
        <f t="shared" si="164"/>
        <v>1-0.00867535223247838i</v>
      </c>
      <c r="AM174">
        <f t="shared" si="185"/>
        <v>1.0000376301601643</v>
      </c>
      <c r="AN174">
        <f t="shared" si="186"/>
        <v>-8.6751346016150175E-3</v>
      </c>
      <c r="AO174" s="58" t="str">
        <f t="shared" si="187"/>
        <v>0.300764196885872-2.22921802462233i</v>
      </c>
      <c r="AP174">
        <f t="shared" si="188"/>
        <v>7.0413953947283945</v>
      </c>
      <c r="AQ174" s="60">
        <f t="shared" si="189"/>
        <v>-82.316101833933047</v>
      </c>
      <c r="AR174" t="str">
        <f t="shared" si="165"/>
        <v>-1.94444444444444</v>
      </c>
      <c r="AS174" t="str">
        <f t="shared" si="166"/>
        <v>1+0.127752055149087i</v>
      </c>
      <c r="AT174">
        <f t="shared" si="190"/>
        <v>1.0081272675584245</v>
      </c>
      <c r="AU174">
        <f t="shared" si="191"/>
        <v>0.12706378625132517</v>
      </c>
      <c r="AV174" t="str">
        <f t="shared" si="167"/>
        <v>1+0.127752055149087i</v>
      </c>
      <c r="AW174">
        <f t="shared" si="192"/>
        <v>1.0081272675584245</v>
      </c>
      <c r="AX174">
        <f t="shared" si="193"/>
        <v>0.12706378625132517</v>
      </c>
      <c r="AY174" t="str">
        <f t="shared" si="168"/>
        <v>1-0.0166546015403438i</v>
      </c>
      <c r="AZ174">
        <f t="shared" si="194"/>
        <v>1.0001386782604038</v>
      </c>
      <c r="BA174">
        <f t="shared" si="195"/>
        <v>-1.6653061935686976E-2</v>
      </c>
      <c r="BB174" s="58" t="str">
        <f t="shared" si="196"/>
        <v>-1.90914889680337+0.2762816425918i</v>
      </c>
      <c r="BC174">
        <f t="shared" si="197"/>
        <v>5.7068080138274464</v>
      </c>
      <c r="BD174" s="60">
        <f t="shared" si="198"/>
        <v>171.76563115396183</v>
      </c>
      <c r="BE174" s="58" t="str">
        <f t="shared" si="199"/>
        <v>0.109560071728043+2.92362528557435i</v>
      </c>
      <c r="BF174" s="37">
        <f t="shared" si="200"/>
        <v>9.3245287236586698</v>
      </c>
      <c r="BG174" s="60">
        <f t="shared" si="201"/>
        <v>87.853899475192989</v>
      </c>
      <c r="BH174" s="58" t="str">
        <f t="shared" si="202"/>
        <v>0.0416883828552908+4.33900475879034i</v>
      </c>
      <c r="BI174" s="37">
        <f t="shared" si="203"/>
        <v>12.748203408555838</v>
      </c>
      <c r="BJ174" s="60">
        <f t="shared" si="204"/>
        <v>89.449529320028788</v>
      </c>
      <c r="BK174">
        <f t="shared" si="205"/>
        <v>9.3245287236586698</v>
      </c>
      <c r="BL174" s="60">
        <f t="shared" si="206"/>
        <v>87.853899475192989</v>
      </c>
      <c r="BN174">
        <f t="shared" si="207"/>
        <v>0</v>
      </c>
      <c r="BO174">
        <f t="shared" si="208"/>
        <v>0</v>
      </c>
    </row>
    <row r="175" spans="13:67" ht="14.25" x14ac:dyDescent="0.2">
      <c r="M175" s="66">
        <v>57</v>
      </c>
      <c r="N175" s="36">
        <f t="shared" si="156"/>
        <v>371.53522909717265</v>
      </c>
      <c r="O175" s="91" t="str">
        <f t="shared" si="157"/>
        <v>99.7340425531915</v>
      </c>
      <c r="P175" s="67" t="str">
        <f t="shared" si="158"/>
        <v>1+67.797653305286i</v>
      </c>
      <c r="Q175" s="67">
        <f t="shared" si="169"/>
        <v>67.805027790745413</v>
      </c>
      <c r="R175" s="67">
        <f t="shared" si="170"/>
        <v>1.5560476232319529</v>
      </c>
      <c r="S175" s="67" t="str">
        <f t="shared" si="159"/>
        <v>1+0.127459588213938i</v>
      </c>
      <c r="T175" s="67">
        <f t="shared" si="171"/>
        <v>1.0080902472634414</v>
      </c>
      <c r="U175" s="67">
        <f t="shared" si="172"/>
        <v>0.12677600532562475</v>
      </c>
      <c r="V175" t="str">
        <f t="shared" si="160"/>
        <v>1-0.0131661552660551i</v>
      </c>
      <c r="W175" s="67">
        <f t="shared" si="173"/>
        <v>1.0000866700663946</v>
      </c>
      <c r="X175" s="67">
        <f t="shared" si="174"/>
        <v>-1.3165394571171546E-2</v>
      </c>
      <c r="Y175" t="str">
        <f t="shared" si="161"/>
        <v>0.999967328183086+0.0203513947556771i</v>
      </c>
      <c r="Z175" s="67">
        <f t="shared" si="175"/>
        <v>1.0001744031428323</v>
      </c>
      <c r="AA175" s="67">
        <f t="shared" si="176"/>
        <v>2.0349250408576137E-2</v>
      </c>
      <c r="AB175" s="92" t="str">
        <f t="shared" si="177"/>
        <v>0.159831475709742-1.47402422897655i</v>
      </c>
      <c r="AC175" s="37">
        <f t="shared" si="178"/>
        <v>3.4208568134619535</v>
      </c>
      <c r="AD175" s="60">
        <f t="shared" si="179"/>
        <v>-83.811479193086271</v>
      </c>
      <c r="AE175" t="str">
        <f t="shared" si="180"/>
        <v>118.329284003155</v>
      </c>
      <c r="AF175" t="str">
        <f t="shared" si="162"/>
        <v>1+54.2381226442288i</v>
      </c>
      <c r="AG175">
        <f t="shared" si="181"/>
        <v>54.247340469099548</v>
      </c>
      <c r="AH175">
        <f t="shared" si="182"/>
        <v>1.5523611991753721</v>
      </c>
      <c r="AI175" t="str">
        <f t="shared" si="163"/>
        <v>1+0.127459588213938i</v>
      </c>
      <c r="AJ175">
        <f t="shared" si="183"/>
        <v>1.0080902472634414</v>
      </c>
      <c r="AK175">
        <f t="shared" si="184"/>
        <v>0.12677600532562475</v>
      </c>
      <c r="AL175" t="str">
        <f t="shared" si="164"/>
        <v>1-0.00887742714506232i</v>
      </c>
      <c r="AM175">
        <f t="shared" si="185"/>
        <v>1.0000394035800368</v>
      </c>
      <c r="AN175">
        <f t="shared" si="186"/>
        <v>-8.8771939498870633E-3</v>
      </c>
      <c r="AO175" s="58" t="str">
        <f t="shared" si="187"/>
        <v>0.298873969207696-2.1786207822276i</v>
      </c>
      <c r="AP175">
        <f t="shared" si="188"/>
        <v>6.844606219162662</v>
      </c>
      <c r="AQ175" s="60">
        <f t="shared" si="189"/>
        <v>-82.188640691177412</v>
      </c>
      <c r="AR175" t="str">
        <f t="shared" si="165"/>
        <v>-1.94444444444444</v>
      </c>
      <c r="AS175" t="str">
        <f t="shared" si="166"/>
        <v>1+0.130727782783525i</v>
      </c>
      <c r="AT175">
        <f t="shared" si="190"/>
        <v>1.0085086777968231</v>
      </c>
      <c r="AU175">
        <f t="shared" si="191"/>
        <v>0.12999062500706673</v>
      </c>
      <c r="AV175" t="str">
        <f t="shared" si="167"/>
        <v>1+0.130727782783525i</v>
      </c>
      <c r="AW175">
        <f t="shared" si="192"/>
        <v>1.0085086777968231</v>
      </c>
      <c r="AX175">
        <f t="shared" si="193"/>
        <v>0.12999062500706673</v>
      </c>
      <c r="AY175" t="str">
        <f t="shared" si="168"/>
        <v>1-0.016275496525412i</v>
      </c>
      <c r="AZ175">
        <f t="shared" si="194"/>
        <v>1.0001324371237785</v>
      </c>
      <c r="BA175">
        <f t="shared" si="195"/>
        <v>-1.6274059671984375E-2</v>
      </c>
      <c r="BB175" s="58" t="str">
        <f t="shared" si="196"/>
        <v>-1.90770511896002+0.281036859205836i</v>
      </c>
      <c r="BC175">
        <f t="shared" si="197"/>
        <v>5.7034682532564958</v>
      </c>
      <c r="BD175" s="60">
        <f t="shared" si="198"/>
        <v>171.61965087607859</v>
      </c>
      <c r="BE175" s="58" t="str">
        <f t="shared" si="199"/>
        <v>0.109343815322465+2.85692210302536i</v>
      </c>
      <c r="BF175" s="37">
        <f t="shared" si="200"/>
        <v>9.1243250667184466</v>
      </c>
      <c r="BG175" s="60">
        <f t="shared" si="201"/>
        <v>87.808171682992324</v>
      </c>
      <c r="BH175" s="58" t="str">
        <f t="shared" si="202"/>
        <v>0.0421093410563852+4.24016062013279i</v>
      </c>
      <c r="BI175" s="37">
        <f t="shared" si="203"/>
        <v>12.54807447241916</v>
      </c>
      <c r="BJ175" s="60">
        <f t="shared" si="204"/>
        <v>89.431010184901183</v>
      </c>
      <c r="BK175">
        <f t="shared" si="205"/>
        <v>9.1243250667184466</v>
      </c>
      <c r="BL175" s="60">
        <f t="shared" si="206"/>
        <v>87.808171682992324</v>
      </c>
      <c r="BN175">
        <f t="shared" si="207"/>
        <v>0</v>
      </c>
      <c r="BO175">
        <f t="shared" si="208"/>
        <v>0</v>
      </c>
    </row>
    <row r="176" spans="13:67" ht="14.25" x14ac:dyDescent="0.2">
      <c r="M176" s="66">
        <v>58</v>
      </c>
      <c r="N176" s="36">
        <f t="shared" si="156"/>
        <v>380.18939632056163</v>
      </c>
      <c r="O176" s="91" t="str">
        <f t="shared" si="157"/>
        <v>99.7340425531915</v>
      </c>
      <c r="P176" s="67" t="str">
        <f t="shared" si="158"/>
        <v>1+69.3768635203793i</v>
      </c>
      <c r="Q176" s="67">
        <f t="shared" si="169"/>
        <v>69.384070159693977</v>
      </c>
      <c r="R176" s="67">
        <f t="shared" si="170"/>
        <v>1.5563832976787682</v>
      </c>
      <c r="S176" s="67" t="str">
        <f t="shared" si="159"/>
        <v>1+0.130428503418313i</v>
      </c>
      <c r="T176" s="67">
        <f t="shared" si="171"/>
        <v>1.0084699274167479</v>
      </c>
      <c r="U176" s="67">
        <f t="shared" si="172"/>
        <v>0.12969636300277562</v>
      </c>
      <c r="V176" t="str">
        <f t="shared" si="160"/>
        <v>1-0.0134728344190345i</v>
      </c>
      <c r="W176" s="67">
        <f t="shared" si="173"/>
        <v>1.0000907545154503</v>
      </c>
      <c r="X176" s="67">
        <f t="shared" si="174"/>
        <v>-1.3472019323776211E-2</v>
      </c>
      <c r="Y176" t="str">
        <f t="shared" si="161"/>
        <v>0.999965788407793+0.0208254396366237i</v>
      </c>
      <c r="Z176" s="67">
        <f t="shared" si="175"/>
        <v>1.0001826217856806</v>
      </c>
      <c r="AA176" s="67">
        <f t="shared" si="176"/>
        <v>2.0823141949746587E-2</v>
      </c>
      <c r="AB176" s="92" t="str">
        <f t="shared" si="177"/>
        <v>0.158851789560416-1.44073071773638i</v>
      </c>
      <c r="AC176" s="37">
        <f t="shared" si="178"/>
        <v>3.2241342069711818</v>
      </c>
      <c r="AD176" s="60">
        <f t="shared" si="179"/>
        <v>-83.708108042084319</v>
      </c>
      <c r="AE176" t="str">
        <f t="shared" si="180"/>
        <v>118.329284003155</v>
      </c>
      <c r="AF176" t="str">
        <f t="shared" si="162"/>
        <v>1+55.5014908163034i</v>
      </c>
      <c r="AG176">
        <f t="shared" si="181"/>
        <v>55.510498852309105</v>
      </c>
      <c r="AH176">
        <f t="shared" si="182"/>
        <v>1.5527807420627551</v>
      </c>
      <c r="AI176" t="str">
        <f t="shared" si="163"/>
        <v>1+0.130428503418313i</v>
      </c>
      <c r="AJ176">
        <f t="shared" si="183"/>
        <v>1.0084699274167479</v>
      </c>
      <c r="AK176">
        <f t="shared" si="184"/>
        <v>0.12969636300277562</v>
      </c>
      <c r="AL176" t="str">
        <f t="shared" si="164"/>
        <v>1-0.00908420898702521i</v>
      </c>
      <c r="AM176">
        <f t="shared" si="185"/>
        <v>1.0000412605752425</v>
      </c>
      <c r="AN176">
        <f t="shared" si="186"/>
        <v>-9.0839591144498341E-3</v>
      </c>
      <c r="AO176" s="58" t="str">
        <f t="shared" si="187"/>
        <v>0.297068759270332-2.12917553653068i</v>
      </c>
      <c r="AP176">
        <f t="shared" si="188"/>
        <v>6.6479595482261269</v>
      </c>
      <c r="AQ176" s="60">
        <f t="shared" si="189"/>
        <v>-82.057201329659605</v>
      </c>
      <c r="AR176" t="str">
        <f t="shared" si="165"/>
        <v>-1.94444444444444</v>
      </c>
      <c r="AS176" t="str">
        <f t="shared" si="166"/>
        <v>1+0.133772824018782i</v>
      </c>
      <c r="AT176">
        <f t="shared" si="190"/>
        <v>1.0089079088033557</v>
      </c>
      <c r="AU176">
        <f t="shared" si="191"/>
        <v>0.13298332140174737</v>
      </c>
      <c r="AV176" t="str">
        <f t="shared" si="167"/>
        <v>1+0.133772824018782i</v>
      </c>
      <c r="AW176">
        <f t="shared" si="192"/>
        <v>1.0089079088033557</v>
      </c>
      <c r="AX176">
        <f t="shared" si="193"/>
        <v>0.13298332140174737</v>
      </c>
      <c r="AY176" t="str">
        <f t="shared" si="168"/>
        <v>1-0.0159050209941696i</v>
      </c>
      <c r="AZ176">
        <f t="shared" si="194"/>
        <v>1.0001264768482159</v>
      </c>
      <c r="BA176">
        <f t="shared" si="195"/>
        <v>-1.5903680034938521E-2</v>
      </c>
      <c r="BB176" s="58" t="str">
        <f t="shared" si="196"/>
        <v>-1.90619563659733+0.28592360315079i</v>
      </c>
      <c r="BC176">
        <f t="shared" si="197"/>
        <v>5.6999787499990431</v>
      </c>
      <c r="BD176" s="60">
        <f t="shared" si="198"/>
        <v>171.46940319331966</v>
      </c>
      <c r="BE176" s="58" t="str">
        <f t="shared" si="199"/>
        <v>0.109136329859467+2.79173408369889i</v>
      </c>
      <c r="BF176" s="37">
        <f t="shared" si="200"/>
        <v>8.9241129569702178</v>
      </c>
      <c r="BG176" s="60">
        <f t="shared" si="201"/>
        <v>87.761295151235359</v>
      </c>
      <c r="BH176" s="58" t="str">
        <f t="shared" si="202"/>
        <v>0.0425103684548791+4.14356408731867i</v>
      </c>
      <c r="BI176" s="37">
        <f t="shared" si="203"/>
        <v>12.347938298225172</v>
      </c>
      <c r="BJ176" s="60">
        <f t="shared" si="204"/>
        <v>89.412201863660073</v>
      </c>
      <c r="BK176">
        <f t="shared" si="205"/>
        <v>8.9241129569702178</v>
      </c>
      <c r="BL176" s="60">
        <f t="shared" si="206"/>
        <v>87.761295151235359</v>
      </c>
      <c r="BN176">
        <f t="shared" si="207"/>
        <v>0</v>
      </c>
      <c r="BO176">
        <f t="shared" si="208"/>
        <v>0</v>
      </c>
    </row>
    <row r="177" spans="13:67" ht="14.25" x14ac:dyDescent="0.2">
      <c r="M177" s="66">
        <v>59</v>
      </c>
      <c r="N177" s="36">
        <f t="shared" si="156"/>
        <v>389.04514499428063</v>
      </c>
      <c r="O177" s="91" t="str">
        <f t="shared" si="157"/>
        <v>99.7340425531915</v>
      </c>
      <c r="P177" s="67" t="str">
        <f t="shared" si="158"/>
        <v>1+70.9928582668224i</v>
      </c>
      <c r="Q177" s="67">
        <f t="shared" si="169"/>
        <v>70.999900879459915</v>
      </c>
      <c r="R177" s="67">
        <f t="shared" si="170"/>
        <v>1.5567113343811045</v>
      </c>
      <c r="S177" s="67" t="str">
        <f t="shared" si="159"/>
        <v>1+0.133466573541626i</v>
      </c>
      <c r="T177" s="67">
        <f t="shared" si="171"/>
        <v>1.0088673481944701</v>
      </c>
      <c r="U177" s="67">
        <f t="shared" si="172"/>
        <v>0.13268244287928535</v>
      </c>
      <c r="V177" t="str">
        <f t="shared" si="160"/>
        <v>1-0.013786657047157i</v>
      </c>
      <c r="W177" s="67">
        <f t="shared" si="173"/>
        <v>1.0000950314407806</v>
      </c>
      <c r="X177" s="67">
        <f t="shared" si="174"/>
        <v>-1.3785783661334362E-2</v>
      </c>
      <c r="Y177" t="str">
        <f t="shared" si="161"/>
        <v>0.999964176065126+0.0213105264413229i</v>
      </c>
      <c r="Z177" s="67">
        <f t="shared" si="175"/>
        <v>1.0001912276913913</v>
      </c>
      <c r="AA177" s="67">
        <f t="shared" si="176"/>
        <v>2.1308064450652725E-2</v>
      </c>
      <c r="AB177" s="92" t="str">
        <f t="shared" si="177"/>
        <v>0.157915727768204-1.40819982732297i</v>
      </c>
      <c r="AC177" s="37">
        <f t="shared" si="178"/>
        <v>3.0275595052631159</v>
      </c>
      <c r="AD177" s="60">
        <f t="shared" si="179"/>
        <v>-83.601574771437242</v>
      </c>
      <c r="AE177" t="str">
        <f t="shared" si="180"/>
        <v>118.329284003155</v>
      </c>
      <c r="AF177" t="str">
        <f t="shared" si="162"/>
        <v>1+56.7942866134579i</v>
      </c>
      <c r="AG177">
        <f t="shared" si="181"/>
        <v>56.803089633677523</v>
      </c>
      <c r="AH177">
        <f t="shared" si="182"/>
        <v>1.5531907411170991</v>
      </c>
      <c r="AI177" t="str">
        <f t="shared" si="163"/>
        <v>1+0.133466573541626i</v>
      </c>
      <c r="AJ177">
        <f t="shared" si="183"/>
        <v>1.0088673481944701</v>
      </c>
      <c r="AK177">
        <f t="shared" si="184"/>
        <v>0.13268244287928535</v>
      </c>
      <c r="AL177" t="str">
        <f t="shared" si="164"/>
        <v>1-0.00929580739683675i</v>
      </c>
      <c r="AM177">
        <f t="shared" si="185"/>
        <v>1.0000432050842398</v>
      </c>
      <c r="AN177">
        <f t="shared" si="186"/>
        <v>-9.2955396541731239E-3</v>
      </c>
      <c r="AO177" s="58" t="str">
        <f t="shared" si="187"/>
        <v>0.295344745615802-2.08085628024655i</v>
      </c>
      <c r="AP177">
        <f t="shared" si="188"/>
        <v>6.4514621576821192</v>
      </c>
      <c r="AQ177" s="60">
        <f t="shared" si="189"/>
        <v>-81.9217254428182</v>
      </c>
      <c r="AR177" t="str">
        <f t="shared" si="165"/>
        <v>-1.94444444444444</v>
      </c>
      <c r="AS177" t="str">
        <f t="shared" si="166"/>
        <v>1+0.136888793376026i</v>
      </c>
      <c r="AT177">
        <f t="shared" si="190"/>
        <v>1.0093257857361737</v>
      </c>
      <c r="AU177">
        <f t="shared" si="191"/>
        <v>0.13604324766277134</v>
      </c>
      <c r="AV177" t="str">
        <f t="shared" si="167"/>
        <v>1+0.136888793376026i</v>
      </c>
      <c r="AW177">
        <f t="shared" si="192"/>
        <v>1.0093257857361737</v>
      </c>
      <c r="AX177">
        <f t="shared" si="193"/>
        <v>0.13604324766277134</v>
      </c>
      <c r="AY177" t="str">
        <f t="shared" si="168"/>
        <v>1-0.0155429785155861i</v>
      </c>
      <c r="AZ177">
        <f t="shared" si="194"/>
        <v>1.0001207847960845</v>
      </c>
      <c r="BA177">
        <f t="shared" si="195"/>
        <v>-1.5541727051069144E-2</v>
      </c>
      <c r="BB177" s="58" t="str">
        <f t="shared" si="196"/>
        <v>-1.90461757269771+0.290943259594116i</v>
      </c>
      <c r="BC177">
        <f t="shared" si="197"/>
        <v>5.6963324744525714</v>
      </c>
      <c r="BD177" s="60">
        <f t="shared" si="198"/>
        <v>171.31482071129963</v>
      </c>
      <c r="BE177" s="58" t="str">
        <f t="shared" si="199"/>
        <v>0.108937177808547+2.72802665356727i</v>
      </c>
      <c r="BF177" s="37">
        <f t="shared" si="200"/>
        <v>8.7238919797156917</v>
      </c>
      <c r="BG177" s="60">
        <f t="shared" si="201"/>
        <v>87.713245939862375</v>
      </c>
      <c r="BH177" s="58" t="str">
        <f t="shared" si="202"/>
        <v>0.0428923164180272+4.04916400060943i</v>
      </c>
      <c r="BI177" s="37">
        <f t="shared" si="203"/>
        <v>12.147794632134701</v>
      </c>
      <c r="BJ177" s="60">
        <f t="shared" si="204"/>
        <v>89.393095268481417</v>
      </c>
      <c r="BK177">
        <f t="shared" si="205"/>
        <v>8.7238919797156917</v>
      </c>
      <c r="BL177" s="60">
        <f t="shared" si="206"/>
        <v>87.713245939862375</v>
      </c>
      <c r="BN177">
        <f t="shared" si="207"/>
        <v>0</v>
      </c>
      <c r="BO177">
        <f t="shared" si="208"/>
        <v>0</v>
      </c>
    </row>
    <row r="178" spans="13:67" ht="14.25" x14ac:dyDescent="0.2">
      <c r="M178" s="66">
        <v>60</v>
      </c>
      <c r="N178" s="36">
        <f t="shared" si="156"/>
        <v>398.10717055349761</v>
      </c>
      <c r="O178" s="91" t="str">
        <f t="shared" si="157"/>
        <v>99.7340425531915</v>
      </c>
      <c r="P178" s="67" t="str">
        <f t="shared" si="158"/>
        <v>1+72.64649436642i</v>
      </c>
      <c r="Q178" s="67">
        <f t="shared" si="169"/>
        <v>72.653376684984806</v>
      </c>
      <c r="R178" s="67">
        <f t="shared" si="170"/>
        <v>1.5570319069858065</v>
      </c>
      <c r="S178" s="67" t="str">
        <f t="shared" si="159"/>
        <v>1+0.13657540940887i</v>
      </c>
      <c r="T178" s="67">
        <f t="shared" si="171"/>
        <v>1.0092833311093572</v>
      </c>
      <c r="U178" s="67">
        <f t="shared" si="172"/>
        <v>0.13573561509417856</v>
      </c>
      <c r="V178" t="str">
        <f t="shared" si="160"/>
        <v>1-0.0141077895433338i</v>
      </c>
      <c r="W178" s="67">
        <f t="shared" si="173"/>
        <v>1.0000995099117882</v>
      </c>
      <c r="X178" s="67">
        <f t="shared" si="174"/>
        <v>-1.4106853698592998E-2</v>
      </c>
      <c r="Y178" t="str">
        <f t="shared" si="161"/>
        <v>0.99996248773509+0.0218069123692194i</v>
      </c>
      <c r="Z178" s="67">
        <f t="shared" si="175"/>
        <v>1.0002002391043652</v>
      </c>
      <c r="AA178" s="67">
        <f t="shared" si="176"/>
        <v>2.1804274326934277E-2</v>
      </c>
      <c r="AB178" s="92" t="str">
        <f t="shared" si="177"/>
        <v>0.157021307251721-1.37641439318759i</v>
      </c>
      <c r="AC178" s="37">
        <f t="shared" si="178"/>
        <v>2.8311396052344504</v>
      </c>
      <c r="AD178" s="60">
        <f t="shared" si="179"/>
        <v>-83.491835036400872</v>
      </c>
      <c r="AE178" t="str">
        <f t="shared" si="180"/>
        <v>118.329284003155</v>
      </c>
      <c r="AF178" t="str">
        <f t="shared" si="162"/>
        <v>1+58.117195493136i</v>
      </c>
      <c r="AG178">
        <f t="shared" si="181"/>
        <v>58.12579816215333</v>
      </c>
      <c r="AH178">
        <f t="shared" si="182"/>
        <v>1.553591413173649</v>
      </c>
      <c r="AI178" t="str">
        <f t="shared" si="163"/>
        <v>1+0.13657540940887i</v>
      </c>
      <c r="AJ178">
        <f t="shared" si="183"/>
        <v>1.0092833311093572</v>
      </c>
      <c r="AK178">
        <f t="shared" si="184"/>
        <v>0.13573561509417856</v>
      </c>
      <c r="AL178" t="str">
        <f t="shared" si="164"/>
        <v>1-0.00951233456677462i</v>
      </c>
      <c r="AM178">
        <f t="shared" si="185"/>
        <v>1.0000452412310705</v>
      </c>
      <c r="AN178">
        <f t="shared" si="186"/>
        <v>-9.5120476760426707E-3</v>
      </c>
      <c r="AO178" s="58" t="str">
        <f t="shared" si="187"/>
        <v>0.293698278343004-2.03363758915345i</v>
      </c>
      <c r="AP178">
        <f t="shared" si="188"/>
        <v>6.2551211081989315</v>
      </c>
      <c r="AQ178" s="60">
        <f t="shared" si="189"/>
        <v>-81.782153374471179</v>
      </c>
      <c r="AR178" t="str">
        <f t="shared" si="165"/>
        <v>-1.94444444444444</v>
      </c>
      <c r="AS178" t="str">
        <f t="shared" si="166"/>
        <v>1+0.140077342983456i</v>
      </c>
      <c r="AT178">
        <f t="shared" si="190"/>
        <v>1.0097631712522026</v>
      </c>
      <c r="AU178">
        <f t="shared" si="191"/>
        <v>0.13917179687825029</v>
      </c>
      <c r="AV178" t="str">
        <f t="shared" si="167"/>
        <v>1+0.140077342983456i</v>
      </c>
      <c r="AW178">
        <f t="shared" si="192"/>
        <v>1.0097631712522026</v>
      </c>
      <c r="AX178">
        <f t="shared" si="193"/>
        <v>0.13917179687825029</v>
      </c>
      <c r="AY178" t="str">
        <f t="shared" si="168"/>
        <v>1-0.0151891771299473i</v>
      </c>
      <c r="AZ178">
        <f t="shared" si="194"/>
        <v>1.0001153488982584</v>
      </c>
      <c r="BA178">
        <f t="shared" si="195"/>
        <v>-1.5188009187686593E-2</v>
      </c>
      <c r="BB178" s="58" t="str">
        <f t="shared" si="196"/>
        <v>-1.90296793495573+0.296097203197321i</v>
      </c>
      <c r="BC178">
        <f t="shared" si="197"/>
        <v>5.6925220994837824</v>
      </c>
      <c r="BD178" s="60">
        <f t="shared" si="198"/>
        <v>171.15583458596396</v>
      </c>
      <c r="BE178" s="58" t="str">
        <f t="shared" si="199"/>
        <v>0.108745939458526+2.66576602536715i</v>
      </c>
      <c r="BF178" s="37">
        <f t="shared" si="200"/>
        <v>8.5236617047182186</v>
      </c>
      <c r="BG178" s="60">
        <f t="shared" si="201"/>
        <v>87.663999549563073</v>
      </c>
      <c r="BH178" s="58" t="str">
        <f t="shared" si="202"/>
        <v>0.0432559962268396+3.95691036228092i</v>
      </c>
      <c r="BI178" s="37">
        <f t="shared" si="203"/>
        <v>11.947643207682713</v>
      </c>
      <c r="BJ178" s="60">
        <f t="shared" si="204"/>
        <v>89.373681211492766</v>
      </c>
      <c r="BK178">
        <f t="shared" si="205"/>
        <v>8.5236617047182186</v>
      </c>
      <c r="BL178" s="60">
        <f t="shared" si="206"/>
        <v>87.663999549563073</v>
      </c>
      <c r="BN178">
        <f t="shared" si="207"/>
        <v>0</v>
      </c>
      <c r="BO178">
        <f t="shared" si="208"/>
        <v>0</v>
      </c>
    </row>
    <row r="179" spans="13:67" ht="14.25" x14ac:dyDescent="0.2">
      <c r="M179" s="66">
        <v>61</v>
      </c>
      <c r="N179" s="36">
        <f t="shared" si="156"/>
        <v>407.38027780411272</v>
      </c>
      <c r="O179" s="91" t="str">
        <f t="shared" si="157"/>
        <v>99.7340425531915</v>
      </c>
      <c r="P179" s="67" t="str">
        <f t="shared" si="158"/>
        <v>1+74.338648598921i</v>
      </c>
      <c r="Q179" s="67">
        <f t="shared" si="169"/>
        <v>74.345374271126374</v>
      </c>
      <c r="R179" s="67">
        <f t="shared" si="170"/>
        <v>1.5573451852010076</v>
      </c>
      <c r="S179" s="67" t="str">
        <f t="shared" si="159"/>
        <v>1+0.139756659365971i</v>
      </c>
      <c r="T179" s="67">
        <f t="shared" si="171"/>
        <v>1.0097187350134373</v>
      </c>
      <c r="U179" s="67">
        <f t="shared" si="172"/>
        <v>0.13885727066962389</v>
      </c>
      <c r="V179" t="str">
        <f t="shared" si="160"/>
        <v>1-0.0144364021762652i</v>
      </c>
      <c r="W179" s="67">
        <f t="shared" si="173"/>
        <v>1.0001041994251374</v>
      </c>
      <c r="X179" s="67">
        <f t="shared" si="174"/>
        <v>-1.4435399406201367E-2</v>
      </c>
      <c r="Y179" t="str">
        <f t="shared" si="161"/>
        <v>0.99996071983651+0.0223148606107027i</v>
      </c>
      <c r="Z179" s="67">
        <f t="shared" si="175"/>
        <v>1.0002096751281835</v>
      </c>
      <c r="AA179" s="67">
        <f t="shared" si="176"/>
        <v>2.2312033929159314E-2</v>
      </c>
      <c r="AB179" s="92" t="str">
        <f t="shared" si="177"/>
        <v>0.156166633046952-1.34535764035817i</v>
      </c>
      <c r="AC179" s="37">
        <f t="shared" si="178"/>
        <v>2.6348816974505338</v>
      </c>
      <c r="AD179" s="60">
        <f t="shared" si="179"/>
        <v>-83.378843631016665</v>
      </c>
      <c r="AE179" t="str">
        <f t="shared" si="180"/>
        <v>118.329284003155</v>
      </c>
      <c r="AF179" t="str">
        <f t="shared" si="162"/>
        <v>1+59.4709188791368i</v>
      </c>
      <c r="AG179">
        <f t="shared" si="181"/>
        <v>59.479325755499865</v>
      </c>
      <c r="AH179">
        <f t="shared" si="182"/>
        <v>1.5539829701591528</v>
      </c>
      <c r="AI179" t="str">
        <f t="shared" si="163"/>
        <v>1+0.139756659365971i</v>
      </c>
      <c r="AJ179">
        <f t="shared" si="183"/>
        <v>1.0097187350134373</v>
      </c>
      <c r="AK179">
        <f t="shared" si="184"/>
        <v>0.13885727066962389</v>
      </c>
      <c r="AL179" t="str">
        <f t="shared" si="164"/>
        <v>1-0.00973390530241046i</v>
      </c>
      <c r="AM179">
        <f t="shared" si="185"/>
        <v>1.0000473733341018</v>
      </c>
      <c r="AN179">
        <f t="shared" si="186"/>
        <v>-9.7335978942391706E-3</v>
      </c>
      <c r="AO179" s="58" t="str">
        <f t="shared" si="187"/>
        <v>0.292125871424806-1.98749460954236i</v>
      </c>
      <c r="AP179">
        <f t="shared" si="188"/>
        <v>6.0589437573724201</v>
      </c>
      <c r="AQ179" s="60">
        <f t="shared" si="189"/>
        <v>-81.63842414006578</v>
      </c>
      <c r="AR179" t="str">
        <f t="shared" si="165"/>
        <v>-1.94444444444444</v>
      </c>
      <c r="AS179" t="str">
        <f t="shared" si="166"/>
        <v>1+0.143340163452278i</v>
      </c>
      <c r="AT179">
        <f t="shared" si="190"/>
        <v>1.0102209671445777</v>
      </c>
      <c r="AU179">
        <f t="shared" si="191"/>
        <v>0.14237038274423233</v>
      </c>
      <c r="AV179" t="str">
        <f t="shared" si="167"/>
        <v>1+0.143340163452278i</v>
      </c>
      <c r="AW179">
        <f t="shared" si="192"/>
        <v>1.0102209671445777</v>
      </c>
      <c r="AX179">
        <f t="shared" si="193"/>
        <v>0.14237038274423233</v>
      </c>
      <c r="AY179" t="str">
        <f t="shared" si="168"/>
        <v>1-0.0148434292470752i</v>
      </c>
      <c r="AZ179">
        <f t="shared" si="194"/>
        <v>1.0001101576285549</v>
      </c>
      <c r="BA179">
        <f t="shared" si="195"/>
        <v>-1.4842339253147695E-2</v>
      </c>
      <c r="BB179" s="58" t="str">
        <f t="shared" si="196"/>
        <v>-1.90124361217769+0.301386793668129i</v>
      </c>
      <c r="BC179">
        <f t="shared" si="197"/>
        <v>5.6885399881381478</v>
      </c>
      <c r="BD179" s="60">
        <f t="shared" si="198"/>
        <v>170.99237454378661</v>
      </c>
      <c r="BE179" s="58" t="str">
        <f t="shared" si="199"/>
        <v>0.108562212048654+2.60491918063739i</v>
      </c>
      <c r="BF179" s="37">
        <f t="shared" si="200"/>
        <v>8.3234216855886896</v>
      </c>
      <c r="BG179" s="60">
        <f t="shared" si="201"/>
        <v>87.61353091276996</v>
      </c>
      <c r="BH179" s="58" t="str">
        <f t="shared" si="202"/>
        <v>0.0436021808044083+3.86675431036623i</v>
      </c>
      <c r="BI179" s="37">
        <f t="shared" si="203"/>
        <v>11.747483745510561</v>
      </c>
      <c r="BJ179" s="60">
        <f t="shared" si="204"/>
        <v>89.353950403720845</v>
      </c>
      <c r="BK179">
        <f t="shared" si="205"/>
        <v>8.3234216855886896</v>
      </c>
      <c r="BL179" s="60">
        <f t="shared" si="206"/>
        <v>87.61353091276996</v>
      </c>
      <c r="BN179">
        <f t="shared" si="207"/>
        <v>0</v>
      </c>
      <c r="BO179">
        <f t="shared" si="208"/>
        <v>0</v>
      </c>
    </row>
    <row r="180" spans="13:67" ht="14.25" x14ac:dyDescent="0.2">
      <c r="M180" s="66">
        <v>62</v>
      </c>
      <c r="N180" s="36">
        <f t="shared" si="156"/>
        <v>416.86938347033572</v>
      </c>
      <c r="O180" s="91" t="str">
        <f t="shared" si="157"/>
        <v>99.7340425531915</v>
      </c>
      <c r="P180" s="67" t="str">
        <f t="shared" si="158"/>
        <v>1+76.0702181668975i</v>
      </c>
      <c r="Q180" s="67">
        <f t="shared" si="169"/>
        <v>76.076790757493058</v>
      </c>
      <c r="R180" s="67">
        <f t="shared" si="170"/>
        <v>1.5576513348848537</v>
      </c>
      <c r="S180" s="67" t="str">
        <f t="shared" si="159"/>
        <v>1+0.143012010153767i</v>
      </c>
      <c r="T180" s="67">
        <f t="shared" si="171"/>
        <v>1.0101744577290703</v>
      </c>
      <c r="U180" s="67">
        <f t="shared" si="172"/>
        <v>0.14204882126317342</v>
      </c>
      <c r="V180" t="str">
        <f t="shared" si="160"/>
        <v>1-0.0147726691807188i</v>
      </c>
      <c r="W180" s="67">
        <f t="shared" si="173"/>
        <v>1.0001091099248736</v>
      </c>
      <c r="X180" s="67">
        <f t="shared" si="174"/>
        <v>-1.4771594699567752E-2</v>
      </c>
      <c r="Y180" t="str">
        <f t="shared" si="161"/>
        <v>0.999958868619438+0.0228346404866539i</v>
      </c>
      <c r="Z180" s="67">
        <f t="shared" si="175"/>
        <v>1.0002195557660434</v>
      </c>
      <c r="AA180" s="67">
        <f t="shared" si="176"/>
        <v>2.283161167836972E-2</v>
      </c>
      <c r="AB180" s="92" t="str">
        <f t="shared" si="177"/>
        <v>0.15534989430663-1.31501317491713i</v>
      </c>
      <c r="AC180" s="37">
        <f t="shared" si="178"/>
        <v>2.438793278175865</v>
      </c>
      <c r="AD180" s="60">
        <f t="shared" si="179"/>
        <v>-83.262554520248145</v>
      </c>
      <c r="AE180" t="str">
        <f t="shared" si="180"/>
        <v>118.329284003155</v>
      </c>
      <c r="AF180" t="str">
        <f t="shared" si="162"/>
        <v>1+60.856174533518i</v>
      </c>
      <c r="AG180">
        <f t="shared" si="181"/>
        <v>60.864390072143202</v>
      </c>
      <c r="AH180">
        <f t="shared" si="182"/>
        <v>1.554365619201773</v>
      </c>
      <c r="AI180" t="str">
        <f t="shared" si="163"/>
        <v>1+0.143012010153767i</v>
      </c>
      <c r="AJ180">
        <f t="shared" si="183"/>
        <v>1.0101744577290703</v>
      </c>
      <c r="AK180">
        <f t="shared" si="184"/>
        <v>0.14204882126317342</v>
      </c>
      <c r="AL180" t="str">
        <f t="shared" si="164"/>
        <v>1-0.00996063708348112i</v>
      </c>
      <c r="AM180">
        <f t="shared" si="185"/>
        <v>1.0000496059151811</v>
      </c>
      <c r="AN180">
        <f t="shared" si="186"/>
        <v>-9.9603076905734438E-3</v>
      </c>
      <c r="AO180" s="58" t="str">
        <f t="shared" si="187"/>
        <v>0.290624195367543-1.9424030459068i</v>
      </c>
      <c r="AP180">
        <f t="shared" si="188"/>
        <v>5.8629377721081308</v>
      </c>
      <c r="AQ180" s="60">
        <f t="shared" si="189"/>
        <v>-81.490475450633966</v>
      </c>
      <c r="AR180" t="str">
        <f t="shared" si="165"/>
        <v>-1.94444444444444</v>
      </c>
      <c r="AS180" t="str">
        <f t="shared" si="166"/>
        <v>1+0.146678984773094i</v>
      </c>
      <c r="AT180">
        <f t="shared" si="190"/>
        <v>1.0107001160453408</v>
      </c>
      <c r="AU180">
        <f t="shared" si="191"/>
        <v>0.14564043925966785</v>
      </c>
      <c r="AV180" t="str">
        <f t="shared" si="167"/>
        <v>1+0.146678984773094i</v>
      </c>
      <c r="AW180">
        <f t="shared" si="192"/>
        <v>1.0107001160453408</v>
      </c>
      <c r="AX180">
        <f t="shared" si="193"/>
        <v>0.14564043925966785</v>
      </c>
      <c r="AY180" t="str">
        <f t="shared" si="168"/>
        <v>1-0.0145055515468659i</v>
      </c>
      <c r="AZ180">
        <f t="shared" si="194"/>
        <v>1.0001051999793216</v>
      </c>
      <c r="BA180">
        <f t="shared" si="195"/>
        <v>-1.450453429929387E-2</v>
      </c>
      <c r="BB180" s="58" t="str">
        <f t="shared" si="196"/>
        <v>-1.89944137067063+0.306813371004888i</v>
      </c>
      <c r="BC180">
        <f t="shared" si="197"/>
        <v>5.6843781809878617</v>
      </c>
      <c r="BD180" s="60">
        <f t="shared" si="198"/>
        <v>170.82436890483734</v>
      </c>
      <c r="BE180" s="58" t="str">
        <f t="shared" si="199"/>
        <v>0.108385608936842+2.545453852172i</v>
      </c>
      <c r="BF180" s="37">
        <f t="shared" si="200"/>
        <v>8.1231714591637214</v>
      </c>
      <c r="BG180" s="60">
        <f t="shared" si="201"/>
        <v>87.561814384589198</v>
      </c>
      <c r="BH180" s="58" t="str">
        <f t="shared" si="202"/>
        <v>0.0439316063658526+3.77864809298832i</v>
      </c>
      <c r="BI180" s="37">
        <f t="shared" si="203"/>
        <v>11.547315953095998</v>
      </c>
      <c r="BJ180" s="60">
        <f t="shared" si="204"/>
        <v>89.333893454203363</v>
      </c>
      <c r="BK180">
        <f t="shared" si="205"/>
        <v>8.1231714591637214</v>
      </c>
      <c r="BL180" s="60">
        <f t="shared" si="206"/>
        <v>87.561814384589198</v>
      </c>
      <c r="BN180">
        <f t="shared" si="207"/>
        <v>0</v>
      </c>
      <c r="BO180">
        <f t="shared" si="208"/>
        <v>0</v>
      </c>
    </row>
    <row r="181" spans="13:67" ht="14.25" x14ac:dyDescent="0.2">
      <c r="M181" s="66">
        <v>63</v>
      </c>
      <c r="N181" s="36">
        <f t="shared" si="156"/>
        <v>426.57951880159294</v>
      </c>
      <c r="O181" s="91" t="str">
        <f t="shared" si="157"/>
        <v>99.7340425531915</v>
      </c>
      <c r="P181" s="67" t="str">
        <f t="shared" si="158"/>
        <v>1+77.8421211714543i</v>
      </c>
      <c r="Q181" s="67">
        <f t="shared" si="169"/>
        <v>77.848544164109924</v>
      </c>
      <c r="R181" s="67">
        <f t="shared" si="170"/>
        <v>1.5579505181322701</v>
      </c>
      <c r="S181" s="67" t="str">
        <f t="shared" si="159"/>
        <v>1+0.146343187802334i</v>
      </c>
      <c r="T181" s="67">
        <f t="shared" si="171"/>
        <v>1.0106514377450562</v>
      </c>
      <c r="U181" s="67">
        <f t="shared" si="172"/>
        <v>0.14531169886808842</v>
      </c>
      <c r="V181" t="str">
        <f t="shared" si="160"/>
        <v>1-0.0151167688499114i</v>
      </c>
      <c r="W181" s="67">
        <f t="shared" si="173"/>
        <v>1.0001142518234913</v>
      </c>
      <c r="X181" s="67">
        <f t="shared" si="174"/>
        <v>-1.5115617529718406E-2</v>
      </c>
      <c r="Y181" t="str">
        <f t="shared" si="161"/>
        <v>0.999956930157193+0.0233665275912434i</v>
      </c>
      <c r="Z181" s="67">
        <f t="shared" si="175"/>
        <v>1.0002299019630785</v>
      </c>
      <c r="AA181" s="67">
        <f t="shared" si="176"/>
        <v>2.3363282204592103E-2</v>
      </c>
      <c r="AB181" s="92" t="str">
        <f t="shared" si="177"/>
        <v>0.154569360476402-1.285364975656i</v>
      </c>
      <c r="AC181" s="37">
        <f t="shared" si="178"/>
        <v>2.2428821617601633</v>
      </c>
      <c r="AD181" s="60">
        <f t="shared" si="179"/>
        <v>-83.142920875264551</v>
      </c>
      <c r="AE181" t="str">
        <f t="shared" si="180"/>
        <v>118.329284003155</v>
      </c>
      <c r="AF181" t="str">
        <f t="shared" si="162"/>
        <v>1+62.2736969371634i</v>
      </c>
      <c r="AG181">
        <f t="shared" si="181"/>
        <v>62.281725491685556</v>
      </c>
      <c r="AH181">
        <f t="shared" si="182"/>
        <v>1.5547395627386189</v>
      </c>
      <c r="AI181" t="str">
        <f t="shared" si="163"/>
        <v>1+0.146343187802334i</v>
      </c>
      <c r="AJ181">
        <f t="shared" si="183"/>
        <v>1.0106514377450562</v>
      </c>
      <c r="AK181">
        <f t="shared" si="184"/>
        <v>0.14531169886808842</v>
      </c>
      <c r="AL181" t="str">
        <f t="shared" si="164"/>
        <v>1-0.010192650126178i</v>
      </c>
      <c r="AM181">
        <f t="shared" si="185"/>
        <v>1.0000519437092228</v>
      </c>
      <c r="AN181">
        <f t="shared" si="186"/>
        <v>-1.0192297176308535E-2</v>
      </c>
      <c r="AO181" s="58" t="str">
        <f t="shared" si="187"/>
        <v>0.289190070197806-1.89833914887108i</v>
      </c>
      <c r="AP181">
        <f t="shared" si="188"/>
        <v>5.6671111413676254</v>
      </c>
      <c r="AQ181" s="60">
        <f t="shared" si="189"/>
        <v>-81.338243739666112</v>
      </c>
      <c r="AR181" t="str">
        <f t="shared" si="165"/>
        <v>-1.94444444444444</v>
      </c>
      <c r="AS181" t="str">
        <f t="shared" si="166"/>
        <v>1+0.150095577233163i</v>
      </c>
      <c r="AT181">
        <f t="shared" si="190"/>
        <v>1.0112016031954045</v>
      </c>
      <c r="AU181">
        <f t="shared" si="191"/>
        <v>0.1489834203652963</v>
      </c>
      <c r="AV181" t="str">
        <f t="shared" si="167"/>
        <v>1+0.150095577233163i</v>
      </c>
      <c r="AW181">
        <f t="shared" si="192"/>
        <v>1.0112016031954045</v>
      </c>
      <c r="AX181">
        <f t="shared" si="193"/>
        <v>0.1489834203652963</v>
      </c>
      <c r="AY181" t="str">
        <f t="shared" si="168"/>
        <v>1-0.0141753648820905i</v>
      </c>
      <c r="AZ181">
        <f t="shared" si="194"/>
        <v>1.000100465438118</v>
      </c>
      <c r="BA181">
        <f t="shared" si="195"/>
        <v>-1.417441552602559E-2</v>
      </c>
      <c r="BB181" s="58" t="str">
        <f t="shared" si="196"/>
        <v>-1.89755785063301+0.312378250417035i</v>
      </c>
      <c r="BC181">
        <f t="shared" si="197"/>
        <v>5.6800283831165181</v>
      </c>
      <c r="BD181" s="60">
        <f t="shared" si="198"/>
        <v>170.65174460893917</v>
      </c>
      <c r="BE181" s="58" t="str">
        <f t="shared" si="199"/>
        <v>0.108215758803436+2.48733850687845i</v>
      </c>
      <c r="BF181" s="37">
        <f t="shared" si="200"/>
        <v>7.9229105448766841</v>
      </c>
      <c r="BG181" s="60">
        <f t="shared" si="201"/>
        <v>87.508823733674603</v>
      </c>
      <c r="BH181" s="58" t="str">
        <f t="shared" si="202"/>
        <v>0.0442449739935532+3.69254504327067i</v>
      </c>
      <c r="BI181" s="37">
        <f t="shared" si="203"/>
        <v>11.347139524484133</v>
      </c>
      <c r="BJ181" s="60">
        <f t="shared" si="204"/>
        <v>89.313500869273057</v>
      </c>
      <c r="BK181">
        <f t="shared" si="205"/>
        <v>7.9229105448766841</v>
      </c>
      <c r="BL181" s="60">
        <f t="shared" si="206"/>
        <v>87.508823733674603</v>
      </c>
      <c r="BN181">
        <f t="shared" si="207"/>
        <v>0</v>
      </c>
      <c r="BO181">
        <f t="shared" si="208"/>
        <v>0</v>
      </c>
    </row>
    <row r="182" spans="13:67" ht="14.25" x14ac:dyDescent="0.2">
      <c r="M182" s="66">
        <v>64</v>
      </c>
      <c r="N182" s="36">
        <f t="shared" si="156"/>
        <v>436.51583224016622</v>
      </c>
      <c r="O182" s="91" t="str">
        <f t="shared" si="157"/>
        <v>99.7340425531915</v>
      </c>
      <c r="P182" s="67" t="str">
        <f t="shared" si="158"/>
        <v>1+79.6552970990183i</v>
      </c>
      <c r="Q182" s="67">
        <f t="shared" si="169"/>
        <v>79.661573898165443</v>
      </c>
      <c r="R182" s="67">
        <f t="shared" si="170"/>
        <v>1.5582428933598116</v>
      </c>
      <c r="S182" s="67" t="str">
        <f t="shared" si="159"/>
        <v>1+0.149751958546154i</v>
      </c>
      <c r="T182" s="67">
        <f t="shared" si="171"/>
        <v>1.0111506559798145</v>
      </c>
      <c r="U182" s="67">
        <f t="shared" si="172"/>
        <v>0.14864735545798952</v>
      </c>
      <c r="V182" t="str">
        <f t="shared" si="160"/>
        <v>1-0.0154688836300423i</v>
      </c>
      <c r="W182" s="67">
        <f t="shared" si="173"/>
        <v>1.0001196360239908</v>
      </c>
      <c r="X182" s="67">
        <f t="shared" si="174"/>
        <v>-1.5467649976199097E-2</v>
      </c>
      <c r="Y182" t="str">
        <f t="shared" si="161"/>
        <v>0.999954900338036+0.0239108039380542i</v>
      </c>
      <c r="Z182" s="67">
        <f t="shared" si="175"/>
        <v>1.0002407356506811</v>
      </c>
      <c r="AA182" s="67">
        <f t="shared" si="176"/>
        <v>2.3907326488368307E-2</v>
      </c>
      <c r="AB182" s="92" t="str">
        <f t="shared" si="177"/>
        <v>0.153823377639856-1.25639738590402i</v>
      </c>
      <c r="AC182" s="37">
        <f t="shared" si="178"/>
        <v>2.0471564933803981</v>
      </c>
      <c r="AD182" s="60">
        <f t="shared" si="179"/>
        <v>-83.019895112094133</v>
      </c>
      <c r="AE182" t="str">
        <f t="shared" si="180"/>
        <v>118.329284003155</v>
      </c>
      <c r="AF182" t="str">
        <f t="shared" si="162"/>
        <v>1+63.7242376792147i</v>
      </c>
      <c r="AG182">
        <f t="shared" si="181"/>
        <v>63.732083504284148</v>
      </c>
      <c r="AH182">
        <f t="shared" si="182"/>
        <v>1.5551049986209442</v>
      </c>
      <c r="AI182" t="str">
        <f t="shared" si="163"/>
        <v>1+0.149751958546154i</v>
      </c>
      <c r="AJ182">
        <f t="shared" si="183"/>
        <v>1.0111506559798145</v>
      </c>
      <c r="AK182">
        <f t="shared" si="184"/>
        <v>0.14864735545798952</v>
      </c>
      <c r="AL182" t="str">
        <f t="shared" si="164"/>
        <v>1-0.0104300674468875i</v>
      </c>
      <c r="AM182">
        <f t="shared" si="185"/>
        <v>1.0000543916742461</v>
      </c>
      <c r="AN182">
        <f t="shared" si="186"/>
        <v>-1.042968925539951E-2</v>
      </c>
      <c r="AO182" s="58" t="str">
        <f t="shared" si="187"/>
        <v>0.287820458762086-1.85527970335406i</v>
      </c>
      <c r="AP182">
        <f t="shared" si="188"/>
        <v>5.4714721892788507</v>
      </c>
      <c r="AQ182" s="60">
        <f t="shared" si="189"/>
        <v>-81.181664193121406</v>
      </c>
      <c r="AR182" t="str">
        <f t="shared" si="165"/>
        <v>-1.94444444444444</v>
      </c>
      <c r="AS182" t="str">
        <f t="shared" si="166"/>
        <v>1+0.15359175235503i</v>
      </c>
      <c r="AT182">
        <f t="shared" si="190"/>
        <v>1.0117264582838035</v>
      </c>
      <c r="AU182">
        <f t="shared" si="191"/>
        <v>0.15240079952246893</v>
      </c>
      <c r="AV182" t="str">
        <f t="shared" si="167"/>
        <v>1+0.15359175235503i</v>
      </c>
      <c r="AW182">
        <f t="shared" si="192"/>
        <v>1.0117264582838035</v>
      </c>
      <c r="AX182">
        <f t="shared" si="193"/>
        <v>0.15240079952246893</v>
      </c>
      <c r="AY182" t="str">
        <f t="shared" si="168"/>
        <v>1-0.0138526941834088i</v>
      </c>
      <c r="AZ182">
        <f t="shared" si="194"/>
        <v>1.0000959439654473</v>
      </c>
      <c r="BA182">
        <f t="shared" si="195"/>
        <v>-1.3851808187971354E-2</v>
      </c>
      <c r="BB182" s="58" t="str">
        <f t="shared" si="196"/>
        <v>-1.89558956256112+0.318082716905185i</v>
      </c>
      <c r="BC182">
        <f t="shared" si="197"/>
        <v>5.6754819507418759</v>
      </c>
      <c r="BD182" s="60">
        <f t="shared" si="198"/>
        <v>170.47442724514761</v>
      </c>
      <c r="BE182" s="58" t="str">
        <f t="shared" si="199"/>
        <v>0.108052304888914+2.43054232903195i</v>
      </c>
      <c r="BF182" s="37">
        <f t="shared" si="200"/>
        <v>7.7226384441222589</v>
      </c>
      <c r="BG182" s="60">
        <f t="shared" si="201"/>
        <v>87.454532133053505</v>
      </c>
      <c r="BH182" s="58" t="str">
        <f t="shared" si="202"/>
        <v>0.0445429511409415+3.60839955481339i</v>
      </c>
      <c r="BI182" s="37">
        <f t="shared" si="203"/>
        <v>11.146954140020728</v>
      </c>
      <c r="BJ182" s="60">
        <f t="shared" si="204"/>
        <v>89.292763052026217</v>
      </c>
      <c r="BK182">
        <f t="shared" si="205"/>
        <v>7.7226384441222589</v>
      </c>
      <c r="BL182" s="60">
        <f t="shared" si="206"/>
        <v>87.454532133053505</v>
      </c>
      <c r="BN182">
        <f t="shared" si="207"/>
        <v>0</v>
      </c>
      <c r="BO182">
        <f t="shared" si="208"/>
        <v>0</v>
      </c>
    </row>
    <row r="183" spans="13:67" ht="14.25" x14ac:dyDescent="0.2">
      <c r="M183" s="66">
        <v>65</v>
      </c>
      <c r="N183" s="36">
        <f t="shared" si="156"/>
        <v>446.68359215096331</v>
      </c>
      <c r="O183" s="91" t="str">
        <f t="shared" si="157"/>
        <v>99.7340425531915</v>
      </c>
      <c r="P183" s="67" t="str">
        <f t="shared" si="158"/>
        <v>1+81.5107073194669i</v>
      </c>
      <c r="Q183" s="67">
        <f t="shared" si="169"/>
        <v>81.516841252098288</v>
      </c>
      <c r="R183" s="67">
        <f t="shared" si="170"/>
        <v>1.5585286153886331</v>
      </c>
      <c r="S183" s="67" t="str">
        <f t="shared" si="159"/>
        <v>1+0.153240129760598i</v>
      </c>
      <c r="T183" s="67">
        <f t="shared" si="171"/>
        <v>1.0116731376136487</v>
      </c>
      <c r="U183" s="67">
        <f t="shared" si="172"/>
        <v>0.15205726257184585</v>
      </c>
      <c r="V183" t="str">
        <f t="shared" si="160"/>
        <v>1-0.0158292002170288i</v>
      </c>
      <c r="W183" s="67">
        <f t="shared" si="173"/>
        <v>1.0001252739429749</v>
      </c>
      <c r="X183" s="67">
        <f t="shared" si="174"/>
        <v>-1.5827878342062285E-2</v>
      </c>
      <c r="Y183" t="str">
        <f t="shared" si="161"/>
        <v>0.99995277485645+0.0244677581096099i</v>
      </c>
      <c r="Z183" s="67">
        <f t="shared" si="175"/>
        <v>1.0002520797929013</v>
      </c>
      <c r="AA183" s="67">
        <f t="shared" si="176"/>
        <v>2.4464032005362828E-2</v>
      </c>
      <c r="AB183" s="92" t="str">
        <f t="shared" si="177"/>
        <v>0.153110365024766-1.22809510552799i</v>
      </c>
      <c r="AC183" s="37">
        <f t="shared" si="178"/>
        <v>1.8516247621382962</v>
      </c>
      <c r="AD183" s="60">
        <f t="shared" si="179"/>
        <v>-82.893428933884195</v>
      </c>
      <c r="AE183" t="str">
        <f t="shared" si="180"/>
        <v>118.329284003155</v>
      </c>
      <c r="AF183" t="str">
        <f t="shared" si="162"/>
        <v>1+65.2085658555735i</v>
      </c>
      <c r="AG183">
        <f t="shared" si="181"/>
        <v>65.216233109101495</v>
      </c>
      <c r="AH183">
        <f t="shared" si="182"/>
        <v>1.5554621202170544</v>
      </c>
      <c r="AI183" t="str">
        <f t="shared" si="163"/>
        <v>1+0.153240129760598i</v>
      </c>
      <c r="AJ183">
        <f t="shared" si="183"/>
        <v>1.0116731376136487</v>
      </c>
      <c r="AK183">
        <f t="shared" si="184"/>
        <v>0.15205726257184585</v>
      </c>
      <c r="AL183" t="str">
        <f t="shared" si="164"/>
        <v>1-0.0106730149274156i</v>
      </c>
      <c r="AM183">
        <f t="shared" si="185"/>
        <v>1.0000569550018843</v>
      </c>
      <c r="AN183">
        <f t="shared" si="186"/>
        <v>-1.0672609689181609E-2</v>
      </c>
      <c r="AO183" s="58" t="str">
        <f t="shared" si="187"/>
        <v>0.286512460325412-1.81320201696592i</v>
      </c>
      <c r="AP183">
        <f t="shared" si="188"/>
        <v>5.2760295886112472</v>
      </c>
      <c r="AQ183" s="60">
        <f t="shared" si="189"/>
        <v>-81.020670782809106</v>
      </c>
      <c r="AR183" t="str">
        <f t="shared" si="165"/>
        <v>-1.94444444444444</v>
      </c>
      <c r="AS183" t="str">
        <f t="shared" si="166"/>
        <v>1+0.157169363857023i</v>
      </c>
      <c r="AT183">
        <f t="shared" si="190"/>
        <v>1.0122757573582513</v>
      </c>
      <c r="AU183">
        <f t="shared" si="191"/>
        <v>0.15589406922772239</v>
      </c>
      <c r="AV183" t="str">
        <f t="shared" si="167"/>
        <v>1+0.157169363857023i</v>
      </c>
      <c r="AW183">
        <f t="shared" si="192"/>
        <v>1.0122757573582513</v>
      </c>
      <c r="AX183">
        <f t="shared" si="193"/>
        <v>0.15589406922772239</v>
      </c>
      <c r="AY183" t="str">
        <f t="shared" si="168"/>
        <v>1-0.0135373683665451i</v>
      </c>
      <c r="AZ183">
        <f t="shared" si="194"/>
        <v>1.0000916259734862</v>
      </c>
      <c r="BA183">
        <f t="shared" si="195"/>
        <v>-1.3536541503208425E-2</v>
      </c>
      <c r="BB183" s="58" t="str">
        <f t="shared" si="196"/>
        <v>-1.89353288368666+0.323928019484113i</v>
      </c>
      <c r="BC183">
        <f t="shared" si="197"/>
        <v>5.6707298774783741</v>
      </c>
      <c r="BD183" s="60">
        <f t="shared" si="198"/>
        <v>170.29234108479369</v>
      </c>
      <c r="BE183" s="58" t="str">
        <f t="shared" si="199"/>
        <v>0.107894904264152+2.37503520391685i</v>
      </c>
      <c r="BF183" s="37">
        <f t="shared" si="200"/>
        <v>7.5223546396166707</v>
      </c>
      <c r="BG183" s="60">
        <f t="shared" si="201"/>
        <v>87.398912150909524</v>
      </c>
      <c r="BH183" s="58" t="str">
        <f t="shared" si="202"/>
        <v>0.0448261730682322+3.52616705772268i</v>
      </c>
      <c r="BI183" s="37">
        <f t="shared" si="203"/>
        <v>10.946759466089627</v>
      </c>
      <c r="BJ183" s="60">
        <f t="shared" si="204"/>
        <v>89.271670301984628</v>
      </c>
      <c r="BK183">
        <f t="shared" si="205"/>
        <v>7.5223546396166707</v>
      </c>
      <c r="BL183" s="60">
        <f t="shared" si="206"/>
        <v>87.398912150909524</v>
      </c>
      <c r="BN183">
        <f t="shared" si="207"/>
        <v>0</v>
      </c>
      <c r="BO183">
        <f t="shared" si="208"/>
        <v>0</v>
      </c>
    </row>
    <row r="184" spans="13:67" ht="14.25" x14ac:dyDescent="0.2">
      <c r="M184" s="66">
        <v>66</v>
      </c>
      <c r="N184" s="36">
        <f t="shared" ref="N184:N218" si="209">10^(2+(M184/100))</f>
        <v>457.0881896148756</v>
      </c>
      <c r="O184" s="91" t="str">
        <f t="shared" si="157"/>
        <v>99.7340425531915</v>
      </c>
      <c r="P184" s="67" t="str">
        <f t="shared" si="158"/>
        <v>1+83.4093355958581i</v>
      </c>
      <c r="Q184" s="67">
        <f t="shared" si="169"/>
        <v>83.415329913286811</v>
      </c>
      <c r="R184" s="67">
        <f t="shared" si="170"/>
        <v>1.5588078355256254</v>
      </c>
      <c r="S184" s="67" t="str">
        <f t="shared" si="159"/>
        <v>1+0.156809550920213i</v>
      </c>
      <c r="T184" s="67">
        <f t="shared" si="171"/>
        <v>1.0122199539921148</v>
      </c>
      <c r="U184" s="67">
        <f t="shared" si="172"/>
        <v>0.15554291083512689</v>
      </c>
      <c r="V184" t="str">
        <f t="shared" si="160"/>
        <v>1-0.0161979096554946i</v>
      </c>
      <c r="W184" s="67">
        <f t="shared" si="173"/>
        <v>1.0001311775348309</v>
      </c>
      <c r="X184" s="67">
        <f t="shared" si="174"/>
        <v>-1.6196493250982311E-2</v>
      </c>
      <c r="Y184" t="str">
        <f t="shared" si="161"/>
        <v>0.999950549204004+0.0250376854103844i</v>
      </c>
      <c r="Z184" s="67">
        <f t="shared" si="175"/>
        <v>1.0002639584350215</v>
      </c>
      <c r="AA184" s="67">
        <f t="shared" si="176"/>
        <v>2.5033692874101114E-2</v>
      </c>
      <c r="AB184" s="92" t="str">
        <f t="shared" si="177"/>
        <v>0.152428811663268-1.2004431831006i</v>
      </c>
      <c r="AC184" s="37">
        <f t="shared" si="178"/>
        <v>1.6562958145113833</v>
      </c>
      <c r="AD184" s="60">
        <f t="shared" si="179"/>
        <v>-82.763473377015004</v>
      </c>
      <c r="AE184" t="str">
        <f t="shared" si="180"/>
        <v>118.329284003155</v>
      </c>
      <c r="AF184" t="str">
        <f t="shared" si="162"/>
        <v>1+66.7274684766865i</v>
      </c>
      <c r="AG184">
        <f t="shared" si="181"/>
        <v>66.734961222040056</v>
      </c>
      <c r="AH184">
        <f t="shared" si="182"/>
        <v>1.5558111165129715</v>
      </c>
      <c r="AI184" t="str">
        <f t="shared" si="163"/>
        <v>1+0.156809550920213i</v>
      </c>
      <c r="AJ184">
        <f t="shared" si="183"/>
        <v>1.0122199539921148</v>
      </c>
      <c r="AK184">
        <f t="shared" si="184"/>
        <v>0.15554291083512689</v>
      </c>
      <c r="AL184" t="str">
        <f t="shared" si="164"/>
        <v>1-0.0109216213817323i</v>
      </c>
      <c r="AM184">
        <f t="shared" si="185"/>
        <v>1.0000596391283902</v>
      </c>
      <c r="AN184">
        <f t="shared" si="186"/>
        <v>-1.0921187162539904E-2</v>
      </c>
      <c r="AO184" s="58" t="str">
        <f t="shared" si="187"/>
        <v>0.285263304455744-1.77208390863501i</v>
      </c>
      <c r="AP184">
        <f t="shared" si="188"/>
        <v>5.0807923746135177</v>
      </c>
      <c r="AQ184" s="60">
        <f t="shared" si="189"/>
        <v>-80.855196303383181</v>
      </c>
      <c r="AR184" t="str">
        <f t="shared" si="165"/>
        <v>-1.94444444444444</v>
      </c>
      <c r="AS184" t="str">
        <f t="shared" si="166"/>
        <v>1+0.160830308636116i</v>
      </c>
      <c r="AT184">
        <f t="shared" si="190"/>
        <v>1.0128506248090032</v>
      </c>
      <c r="AU184">
        <f t="shared" si="191"/>
        <v>0.15946474045870376</v>
      </c>
      <c r="AV184" t="str">
        <f t="shared" si="167"/>
        <v>1+0.160830308636116i</v>
      </c>
      <c r="AW184">
        <f t="shared" si="192"/>
        <v>1.0128506248090032</v>
      </c>
      <c r="AX184">
        <f t="shared" si="193"/>
        <v>0.15946474045870376</v>
      </c>
      <c r="AY184" t="str">
        <f t="shared" si="168"/>
        <v>1-0.0132292202415777i</v>
      </c>
      <c r="AZ184">
        <f t="shared" si="194"/>
        <v>1.0000875023057734</v>
      </c>
      <c r="BA184">
        <f t="shared" si="195"/>
        <v>-1.322844856399424E-2</v>
      </c>
      <c r="BB184" s="58" t="str">
        <f t="shared" si="196"/>
        <v>-1.89138405446259+0.329915365031715i</v>
      </c>
      <c r="BC184">
        <f t="shared" si="197"/>
        <v>5.665762780242626</v>
      </c>
      <c r="BD184" s="60">
        <f t="shared" si="198"/>
        <v>170.10540911834443</v>
      </c>
      <c r="BE184" s="58" t="str">
        <f t="shared" si="199"/>
        <v>0.107743227131882+2.32078770184603i</v>
      </c>
      <c r="BF184" s="37">
        <f t="shared" si="200"/>
        <v>7.3220585947540187</v>
      </c>
      <c r="BG184" s="60">
        <f t="shared" si="201"/>
        <v>87.341935741329436</v>
      </c>
      <c r="BH184" s="58" t="str">
        <f t="shared" si="202"/>
        <v>0.0450952442132464+3.44580399518167i</v>
      </c>
      <c r="BI184" s="37">
        <f t="shared" si="203"/>
        <v>10.746555154856148</v>
      </c>
      <c r="BJ184" s="60">
        <f t="shared" si="204"/>
        <v>89.250212814961259</v>
      </c>
      <c r="BK184">
        <f t="shared" si="205"/>
        <v>7.3220585947540187</v>
      </c>
      <c r="BL184" s="60">
        <f t="shared" si="206"/>
        <v>87.341935741329436</v>
      </c>
      <c r="BN184">
        <f t="shared" si="207"/>
        <v>0</v>
      </c>
      <c r="BO184">
        <f t="shared" si="208"/>
        <v>0</v>
      </c>
    </row>
    <row r="185" spans="13:67" ht="14.25" x14ac:dyDescent="0.2">
      <c r="M185" s="66">
        <v>67</v>
      </c>
      <c r="N185" s="36">
        <f t="shared" si="209"/>
        <v>467.7351412871983</v>
      </c>
      <c r="O185" s="91" t="str">
        <f t="shared" si="157"/>
        <v>99.7340425531915</v>
      </c>
      <c r="P185" s="67" t="str">
        <f t="shared" si="158"/>
        <v>1+85.3521886060352i</v>
      </c>
      <c r="Q185" s="67">
        <f t="shared" si="169"/>
        <v>85.358046485613784</v>
      </c>
      <c r="R185" s="67">
        <f t="shared" si="170"/>
        <v>1.5590807016427481</v>
      </c>
      <c r="S185" s="67" t="str">
        <f t="shared" si="159"/>
        <v>1+0.160462114579346i</v>
      </c>
      <c r="T185" s="67">
        <f t="shared" si="171"/>
        <v>1.0127922246024972</v>
      </c>
      <c r="U185" s="67">
        <f t="shared" si="172"/>
        <v>0.15910580941277294</v>
      </c>
      <c r="V185" t="str">
        <f t="shared" si="160"/>
        <v>1-0.0165752074400643i</v>
      </c>
      <c r="W185" s="67">
        <f t="shared" si="173"/>
        <v>1.0001373593170495</v>
      </c>
      <c r="X185" s="67">
        <f t="shared" si="174"/>
        <v>-1.6573689746542865E-2</v>
      </c>
      <c r="Y185" t="str">
        <f t="shared" si="161"/>
        <v>0.999948218659788+0.0256208880233764i</v>
      </c>
      <c r="Z185" s="67">
        <f t="shared" si="175"/>
        <v>1.0002763967544117</v>
      </c>
      <c r="AA185" s="67">
        <f t="shared" si="176"/>
        <v>2.5616610006896481E-2</v>
      </c>
      <c r="AB185" s="92" t="str">
        <f t="shared" si="177"/>
        <v>0.151777273199008-1.17342700823427i</v>
      </c>
      <c r="AC185" s="37">
        <f t="shared" si="178"/>
        <v>1.4611788681524132</v>
      </c>
      <c r="AD185" s="60">
        <f t="shared" si="179"/>
        <v>-82.629978861323806</v>
      </c>
      <c r="AE185" t="str">
        <f t="shared" si="180"/>
        <v>118.329284003155</v>
      </c>
      <c r="AF185" t="str">
        <f t="shared" si="162"/>
        <v>1+68.2817508848282i</v>
      </c>
      <c r="AG185">
        <f t="shared" si="181"/>
        <v>68.2890730929754</v>
      </c>
      <c r="AH185">
        <f t="shared" si="182"/>
        <v>1.5561521722108982</v>
      </c>
      <c r="AI185" t="str">
        <f t="shared" si="163"/>
        <v>1+0.160462114579346i</v>
      </c>
      <c r="AJ185">
        <f t="shared" si="183"/>
        <v>1.0127922246024972</v>
      </c>
      <c r="AK185">
        <f t="shared" si="184"/>
        <v>0.15910580941277294</v>
      </c>
      <c r="AL185" t="str">
        <f t="shared" si="164"/>
        <v>1-0.0111760186242703i</v>
      </c>
      <c r="AM185">
        <f t="shared" si="185"/>
        <v>1.0000624497461597</v>
      </c>
      <c r="AN185">
        <f t="shared" si="186"/>
        <v>-1.1175553351592128E-2</v>
      </c>
      <c r="AO185" s="58" t="str">
        <f t="shared" si="187"/>
        <v>0.284070345181532-1.73190369746209i</v>
      </c>
      <c r="AP185">
        <f t="shared" si="188"/>
        <v>4.8857699592118404</v>
      </c>
      <c r="AQ185" s="60">
        <f t="shared" si="189"/>
        <v>-80.685172413204455</v>
      </c>
      <c r="AR185" t="str">
        <f t="shared" si="165"/>
        <v>-1.94444444444444</v>
      </c>
      <c r="AS185" t="str">
        <f t="shared" si="166"/>
        <v>1+0.164576527773688i</v>
      </c>
      <c r="AT185">
        <f t="shared" si="190"/>
        <v>1.0134522354280164</v>
      </c>
      <c r="AU185">
        <f t="shared" si="191"/>
        <v>0.16311434204686859</v>
      </c>
      <c r="AV185" t="str">
        <f t="shared" si="167"/>
        <v>1+0.164576527773688i</v>
      </c>
      <c r="AW185">
        <f t="shared" si="192"/>
        <v>1.0134522354280164</v>
      </c>
      <c r="AX185">
        <f t="shared" si="193"/>
        <v>0.16311434204686859</v>
      </c>
      <c r="AY185" t="str">
        <f t="shared" si="168"/>
        <v>1-0.0129280864242917i</v>
      </c>
      <c r="AZ185">
        <f t="shared" si="194"/>
        <v>1.0000835642178076</v>
      </c>
      <c r="BA185">
        <f t="shared" si="195"/>
        <v>-1.2927366249464974E-2</v>
      </c>
      <c r="BB185" s="58" t="str">
        <f t="shared" si="196"/>
        <v>-1.88913917511658+0.336045911746948i</v>
      </c>
      <c r="BC185">
        <f t="shared" si="197"/>
        <v>5.6605708848085712</v>
      </c>
      <c r="BD185" s="60">
        <f t="shared" si="198"/>
        <v>169.9135530963469</v>
      </c>
      <c r="BE185" s="58" t="str">
        <f t="shared" si="199"/>
        <v>0.107596956157961+2.26777106254983i</v>
      </c>
      <c r="BF185" s="37">
        <f t="shared" si="200"/>
        <v>7.1217497529609801</v>
      </c>
      <c r="BG185" s="60">
        <f t="shared" si="201"/>
        <v>87.28357423502311</v>
      </c>
      <c r="BH185" s="58" t="str">
        <f t="shared" si="202"/>
        <v>0.0453507395002368+3.36726780055169i</v>
      </c>
      <c r="BI185" s="37">
        <f t="shared" si="203"/>
        <v>10.54634084402042</v>
      </c>
      <c r="BJ185" s="60">
        <f t="shared" si="204"/>
        <v>89.228380683142447</v>
      </c>
      <c r="BK185">
        <f t="shared" si="205"/>
        <v>7.1217497529609801</v>
      </c>
      <c r="BL185" s="60">
        <f t="shared" si="206"/>
        <v>87.28357423502311</v>
      </c>
      <c r="BN185">
        <f t="shared" si="207"/>
        <v>0</v>
      </c>
      <c r="BO185">
        <f t="shared" si="208"/>
        <v>0</v>
      </c>
    </row>
    <row r="186" spans="13:67" ht="14.25" x14ac:dyDescent="0.2">
      <c r="M186" s="66">
        <v>68</v>
      </c>
      <c r="N186" s="36">
        <f t="shared" si="209"/>
        <v>478.63009232263886</v>
      </c>
      <c r="O186" s="91" t="str">
        <f t="shared" si="157"/>
        <v>99.7340425531915</v>
      </c>
      <c r="P186" s="67" t="str">
        <f t="shared" si="158"/>
        <v>1+87.3402964763811i</v>
      </c>
      <c r="Q186" s="67">
        <f t="shared" si="169"/>
        <v>87.346021023181976</v>
      </c>
      <c r="R186" s="67">
        <f t="shared" si="170"/>
        <v>1.5593473582546034</v>
      </c>
      <c r="S186" s="67" t="str">
        <f t="shared" si="159"/>
        <v>1+0.164199757375596i</v>
      </c>
      <c r="T186" s="67">
        <f t="shared" si="171"/>
        <v>1.0133911191253873</v>
      </c>
      <c r="U186" s="67">
        <f t="shared" si="172"/>
        <v>0.16274748538938935</v>
      </c>
      <c r="V186" t="str">
        <f t="shared" si="160"/>
        <v>1-0.0169612936190177i</v>
      </c>
      <c r="W186" s="67">
        <f t="shared" si="173"/>
        <v>1.0001438323967362</v>
      </c>
      <c r="X186" s="67">
        <f t="shared" si="174"/>
        <v>-1.6959667393740954E-2</v>
      </c>
      <c r="Y186" t="str">
        <f t="shared" si="161"/>
        <v>0.999945778280408+0.026217675170331i</v>
      </c>
      <c r="Z186" s="67">
        <f t="shared" si="175"/>
        <v>1.0002894211137834</v>
      </c>
      <c r="AA186" s="67">
        <f t="shared" si="176"/>
        <v>2.6213091264021087E-2</v>
      </c>
      <c r="AB186" s="92" t="str">
        <f t="shared" si="177"/>
        <v>0.151154368834571-1.1470323040778i</v>
      </c>
      <c r="AC186" s="37">
        <f t="shared" si="178"/>
        <v>1.2662835260321101</v>
      </c>
      <c r="AD186" s="60">
        <f t="shared" si="179"/>
        <v>-82.492895244710795</v>
      </c>
      <c r="AE186" t="str">
        <f t="shared" si="180"/>
        <v>118.329284003155</v>
      </c>
      <c r="AF186" t="str">
        <f t="shared" si="162"/>
        <v>1+69.8722371811049i</v>
      </c>
      <c r="AG186">
        <f t="shared" si="181"/>
        <v>69.879392732711821</v>
      </c>
      <c r="AH186">
        <f t="shared" si="182"/>
        <v>1.5564854678255275</v>
      </c>
      <c r="AI186" t="str">
        <f t="shared" si="163"/>
        <v>1+0.164199757375596i</v>
      </c>
      <c r="AJ186">
        <f t="shared" si="183"/>
        <v>1.0133911191253873</v>
      </c>
      <c r="AK186">
        <f t="shared" si="184"/>
        <v>0.16274748538938935</v>
      </c>
      <c r="AL186" t="str">
        <f t="shared" si="164"/>
        <v>1-0.011436341539815i</v>
      </c>
      <c r="AM186">
        <f t="shared" si="185"/>
        <v>1.0000653928157974</v>
      </c>
      <c r="AN186">
        <f t="shared" si="186"/>
        <v>-1.1435842992918777E-2</v>
      </c>
      <c r="AO186" s="58" t="str">
        <f t="shared" si="187"/>
        <v>0.282931055410214-1.69264019179857i</v>
      </c>
      <c r="AP186">
        <f t="shared" si="188"/>
        <v>4.6909721455615099</v>
      </c>
      <c r="AQ186" s="60">
        <f t="shared" si="189"/>
        <v>-80.510529679337623</v>
      </c>
      <c r="AR186" t="str">
        <f t="shared" si="165"/>
        <v>-1.94444444444444</v>
      </c>
      <c r="AS186" t="str">
        <f t="shared" si="166"/>
        <v>1+0.168410007564714i</v>
      </c>
      <c r="AT186">
        <f t="shared" si="190"/>
        <v>1.0140818165453649</v>
      </c>
      <c r="AU186">
        <f t="shared" si="191"/>
        <v>0.1668444199721662</v>
      </c>
      <c r="AV186" t="str">
        <f t="shared" si="167"/>
        <v>1+0.168410007564714i</v>
      </c>
      <c r="AW186">
        <f t="shared" si="192"/>
        <v>1.0140818165453649</v>
      </c>
      <c r="AX186">
        <f t="shared" si="193"/>
        <v>0.1668444199721662</v>
      </c>
      <c r="AY186" t="str">
        <f t="shared" si="168"/>
        <v>1-0.0126338072495514i</v>
      </c>
      <c r="AZ186">
        <f t="shared" si="194"/>
        <v>1.0000798033585214</v>
      </c>
      <c r="BA186">
        <f t="shared" si="195"/>
        <v>-1.2633135140263952E-2</v>
      </c>
      <c r="BB186" s="58" t="str">
        <f t="shared" si="196"/>
        <v>-1.88679420229282+0.342320762199764i</v>
      </c>
      <c r="BC186">
        <f t="shared" si="197"/>
        <v>5.655144011018657</v>
      </c>
      <c r="BD186" s="60">
        <f t="shared" si="198"/>
        <v>169.71669357473112</v>
      </c>
      <c r="BE186" s="58" t="str">
        <f t="shared" si="199"/>
        <v>0.107455785831365+2.21595717992584i</v>
      </c>
      <c r="BF186" s="37">
        <f t="shared" si="200"/>
        <v>6.9214275370507572</v>
      </c>
      <c r="BG186" s="60">
        <f t="shared" si="201"/>
        <v>87.223798330020344</v>
      </c>
      <c r="BH186" s="58" t="str">
        <f t="shared" si="202"/>
        <v>0.0455932055898608+3.29051687499136i</v>
      </c>
      <c r="BI186" s="37">
        <f t="shared" si="203"/>
        <v>10.346116156580177</v>
      </c>
      <c r="BJ186" s="60">
        <f t="shared" si="204"/>
        <v>89.206163895393516</v>
      </c>
      <c r="BK186">
        <f t="shared" si="205"/>
        <v>6.9214275370507572</v>
      </c>
      <c r="BL186" s="60">
        <f t="shared" si="206"/>
        <v>87.223798330020344</v>
      </c>
      <c r="BN186">
        <f t="shared" si="207"/>
        <v>0</v>
      </c>
      <c r="BO186">
        <f t="shared" si="208"/>
        <v>0</v>
      </c>
    </row>
    <row r="187" spans="13:67" ht="14.25" x14ac:dyDescent="0.2">
      <c r="M187" s="66">
        <v>69</v>
      </c>
      <c r="N187" s="36">
        <f t="shared" si="209"/>
        <v>489.77881936844625</v>
      </c>
      <c r="O187" s="91" t="str">
        <f t="shared" si="157"/>
        <v>99.7340425531915</v>
      </c>
      <c r="P187" s="67" t="str">
        <f t="shared" si="158"/>
        <v>1+89.3747133280043i</v>
      </c>
      <c r="Q187" s="67">
        <f t="shared" si="169"/>
        <v>89.380307576462002</v>
      </c>
      <c r="R187" s="67">
        <f t="shared" si="170"/>
        <v>1.5596079465942825</v>
      </c>
      <c r="S187" s="67" t="str">
        <f t="shared" si="159"/>
        <v>1+0.168024461056648i</v>
      </c>
      <c r="T187" s="67">
        <f t="shared" si="171"/>
        <v>1.01401785956332</v>
      </c>
      <c r="U187" s="67">
        <f t="shared" si="172"/>
        <v>0.16646948307191703</v>
      </c>
      <c r="V187" t="str">
        <f t="shared" si="160"/>
        <v>1-0.0173563729003571i</v>
      </c>
      <c r="W187" s="67">
        <f t="shared" si="173"/>
        <v>1.0001506104983671</v>
      </c>
      <c r="X187" s="67">
        <f t="shared" si="174"/>
        <v>-1.7354630382750241E-2</v>
      </c>
      <c r="Y187" t="str">
        <f t="shared" si="161"/>
        <v>0.999943222889491+0.0268283632756929i</v>
      </c>
      <c r="Z187" s="67">
        <f t="shared" si="175"/>
        <v>1.0003030591169231</v>
      </c>
      <c r="AA187" s="67">
        <f t="shared" si="176"/>
        <v>2.6823451611177437E-2</v>
      </c>
      <c r="AB187" s="92" t="str">
        <f t="shared" si="177"/>
        <v>0.150558778412836-1.12124511997304i</v>
      </c>
      <c r="AC187" s="37">
        <f t="shared" si="178"/>
        <v>1.0716197909174872</v>
      </c>
      <c r="AD187" s="60">
        <f t="shared" si="179"/>
        <v>-82.352171882406665</v>
      </c>
      <c r="AE187" t="str">
        <f t="shared" si="180"/>
        <v>118.329284003155</v>
      </c>
      <c r="AF187" t="str">
        <f t="shared" si="162"/>
        <v>1+71.4997706624035i</v>
      </c>
      <c r="AG187">
        <f t="shared" si="181"/>
        <v>71.506763349883897</v>
      </c>
      <c r="AH187">
        <f t="shared" si="182"/>
        <v>1.5568111797782409</v>
      </c>
      <c r="AI187" t="str">
        <f t="shared" si="163"/>
        <v>1+0.168024461056648i</v>
      </c>
      <c r="AJ187">
        <f t="shared" si="183"/>
        <v>1.01401785956332</v>
      </c>
      <c r="AK187">
        <f t="shared" si="184"/>
        <v>0.16646948307191703</v>
      </c>
      <c r="AL187" t="str">
        <f t="shared" si="164"/>
        <v>1-0.011702728155022i</v>
      </c>
      <c r="AM187">
        <f t="shared" si="185"/>
        <v>1.0000684745787511</v>
      </c>
      <c r="AN187">
        <f t="shared" si="186"/>
        <v>-1.1702193954373583E-2</v>
      </c>
      <c r="AO187" s="58" t="str">
        <f t="shared" si="187"/>
        <v>0.281843021596212-1.65427267854618i</v>
      </c>
      <c r="AP187">
        <f t="shared" si="188"/>
        <v>4.496409142947285</v>
      </c>
      <c r="AQ187" s="60">
        <f t="shared" si="189"/>
        <v>-80.331197626959423</v>
      </c>
      <c r="AR187" t="str">
        <f t="shared" si="165"/>
        <v>-1.94444444444444</v>
      </c>
      <c r="AS187" t="str">
        <f t="shared" si="166"/>
        <v>1+0.172332780570921i</v>
      </c>
      <c r="AT187">
        <f t="shared" si="190"/>
        <v>1.0147406502448324</v>
      </c>
      <c r="AU187">
        <f t="shared" si="191"/>
        <v>0.17065653657471175</v>
      </c>
      <c r="AV187" t="str">
        <f t="shared" si="167"/>
        <v>1+0.172332780570921i</v>
      </c>
      <c r="AW187">
        <f t="shared" si="192"/>
        <v>1.0147406502448324</v>
      </c>
      <c r="AX187">
        <f t="shared" si="193"/>
        <v>0.17065653657471175</v>
      </c>
      <c r="AY187" t="str">
        <f t="shared" si="168"/>
        <v>1-0.0123462266866429i</v>
      </c>
      <c r="AZ187">
        <f t="shared" si="194"/>
        <v>1.0000762117525832</v>
      </c>
      <c r="BA187">
        <f t="shared" si="195"/>
        <v>-1.2345599435056519E-2</v>
      </c>
      <c r="BB187" s="58" t="str">
        <f t="shared" si="196"/>
        <v>-1.88434494580556+0.348740955956128i</v>
      </c>
      <c r="BC187">
        <f t="shared" si="197"/>
        <v>5.6494715576619026</v>
      </c>
      <c r="BD187" s="60">
        <f t="shared" si="198"/>
        <v>169.51474996476122</v>
      </c>
      <c r="BE187" s="58" t="str">
        <f t="shared" si="199"/>
        <v>0.107319421851655+2.16531858714163i</v>
      </c>
      <c r="BF187" s="37">
        <f t="shared" si="200"/>
        <v>6.7210913485794066</v>
      </c>
      <c r="BG187" s="60">
        <f t="shared" si="201"/>
        <v>87.162578082354543</v>
      </c>
      <c r="BH187" s="58" t="str">
        <f t="shared" si="202"/>
        <v>0.0458231620729099+3.21551056558375i</v>
      </c>
      <c r="BI187" s="37">
        <f t="shared" si="203"/>
        <v>10.145880700609197</v>
      </c>
      <c r="BJ187" s="60">
        <f t="shared" si="204"/>
        <v>89.1835523378018</v>
      </c>
      <c r="BK187">
        <f t="shared" si="205"/>
        <v>6.7210913485794066</v>
      </c>
      <c r="BL187" s="60">
        <f t="shared" si="206"/>
        <v>87.162578082354543</v>
      </c>
      <c r="BN187">
        <f t="shared" si="207"/>
        <v>0</v>
      </c>
      <c r="BO187">
        <f t="shared" si="208"/>
        <v>0</v>
      </c>
    </row>
    <row r="188" spans="13:67" ht="14.25" x14ac:dyDescent="0.2">
      <c r="M188" s="66">
        <v>70</v>
      </c>
      <c r="N188" s="36">
        <f t="shared" si="209"/>
        <v>501.18723362727269</v>
      </c>
      <c r="O188" s="91" t="str">
        <f t="shared" si="157"/>
        <v>99.7340425531915</v>
      </c>
      <c r="P188" s="67" t="str">
        <f t="shared" si="158"/>
        <v>1+91.456517835648i</v>
      </c>
      <c r="Q188" s="67">
        <f t="shared" si="169"/>
        <v>91.461984751164252</v>
      </c>
      <c r="R188" s="67">
        <f t="shared" si="170"/>
        <v>1.5598626046875266</v>
      </c>
      <c r="S188" s="67" t="str">
        <f t="shared" si="159"/>
        <v>1+0.171938253531018i</v>
      </c>
      <c r="T188" s="67">
        <f t="shared" si="171"/>
        <v>1.0146737224484019</v>
      </c>
      <c r="U188" s="67">
        <f t="shared" si="172"/>
        <v>0.17027336320979575</v>
      </c>
      <c r="V188" t="str">
        <f t="shared" si="160"/>
        <v>1-0.0177606547603469i</v>
      </c>
      <c r="W188" s="67">
        <f t="shared" si="173"/>
        <v>1.0001577079928528</v>
      </c>
      <c r="X188" s="67">
        <f t="shared" si="174"/>
        <v>-1.7758787634992185E-2</v>
      </c>
      <c r="Y188" t="str">
        <f t="shared" si="161"/>
        <v>0.99994054706671+0.0274532761343788i</v>
      </c>
      <c r="Z188" s="67">
        <f t="shared" si="175"/>
        <v>1.0003173396670586</v>
      </c>
      <c r="AA188" s="67">
        <f t="shared" si="176"/>
        <v>2.7448013280326446E-2</v>
      </c>
      <c r="AB188" s="92" t="str">
        <f t="shared" si="177"/>
        <v>0.149989239626124-1.09605182426863i</v>
      </c>
      <c r="AC188" s="37">
        <f t="shared" si="178"/>
        <v>0.87719808017448997</v>
      </c>
      <c r="AD188" s="60">
        <f t="shared" si="179"/>
        <v>-82.207757691195312</v>
      </c>
      <c r="AE188" t="str">
        <f t="shared" si="180"/>
        <v>118.329284003155</v>
      </c>
      <c r="AF188" t="str">
        <f t="shared" si="162"/>
        <v>1+73.1652142685184i</v>
      </c>
      <c r="AG188">
        <f t="shared" si="181"/>
        <v>73.172047798036971</v>
      </c>
      <c r="AH188">
        <f t="shared" si="182"/>
        <v>1.5571294804892339</v>
      </c>
      <c r="AI188" t="str">
        <f t="shared" si="163"/>
        <v>1+0.171938253531018i</v>
      </c>
      <c r="AJ188">
        <f t="shared" si="183"/>
        <v>1.0146737224484019</v>
      </c>
      <c r="AK188">
        <f t="shared" si="184"/>
        <v>0.17027336320979575</v>
      </c>
      <c r="AL188" t="str">
        <f t="shared" si="164"/>
        <v>1-0.0119753197116006i</v>
      </c>
      <c r="AM188">
        <f t="shared" si="185"/>
        <v>1.0000717015705398</v>
      </c>
      <c r="AN188">
        <f t="shared" si="186"/>
        <v>-1.1974747307509425E-2</v>
      </c>
      <c r="AO188" s="58" t="str">
        <f t="shared" si="187"/>
        <v>0.280803938647254-1.61678091267452i</v>
      </c>
      <c r="AP188">
        <f t="shared" si="188"/>
        <v>4.3020915820209318</v>
      </c>
      <c r="AQ188" s="60">
        <f t="shared" si="189"/>
        <v>-80.14710479346806</v>
      </c>
      <c r="AR188" t="str">
        <f t="shared" si="165"/>
        <v>-1.94444444444444</v>
      </c>
      <c r="AS188" t="str">
        <f t="shared" si="166"/>
        <v>1+0.17634692669848i</v>
      </c>
      <c r="AT188">
        <f t="shared" si="190"/>
        <v>1.0154300756605543</v>
      </c>
      <c r="AU188">
        <f t="shared" si="191"/>
        <v>0.17455226967827042</v>
      </c>
      <c r="AV188" t="str">
        <f t="shared" si="167"/>
        <v>1+0.17634692669848i</v>
      </c>
      <c r="AW188">
        <f t="shared" si="192"/>
        <v>1.0154300756605543</v>
      </c>
      <c r="AX188">
        <f t="shared" si="193"/>
        <v>0.17455226967827042</v>
      </c>
      <c r="AY188" t="str">
        <f t="shared" si="168"/>
        <v>1-0.0120651922565454i</v>
      </c>
      <c r="AZ188">
        <f t="shared" si="194"/>
        <v>1.0000727817834998</v>
      </c>
      <c r="BA188">
        <f t="shared" si="195"/>
        <v>-1.2064606868895416E-2</v>
      </c>
      <c r="BB188" s="58" t="str">
        <f t="shared" si="196"/>
        <v>-1.88178706552976+0.355307461761518i</v>
      </c>
      <c r="BC188">
        <f t="shared" si="197"/>
        <v>5.6435424870311799</v>
      </c>
      <c r="BD188" s="60">
        <f t="shared" si="198"/>
        <v>169.30764058793349</v>
      </c>
      <c r="BE188" s="58" t="str">
        <f t="shared" si="199"/>
        <v>0.107187580542884+2.1158284420821i</v>
      </c>
      <c r="BF188" s="37">
        <f t="shared" si="200"/>
        <v>6.5207405672056549</v>
      </c>
      <c r="BG188" s="60">
        <f t="shared" si="201"/>
        <v>87.099882896738194</v>
      </c>
      <c r="BH188" s="58" t="str">
        <f t="shared" si="202"/>
        <v>0.0460411026106393+3.1422091439597i</v>
      </c>
      <c r="BI188" s="37">
        <f t="shared" si="203"/>
        <v>9.9456340690520975</v>
      </c>
      <c r="BJ188" s="60">
        <f t="shared" si="204"/>
        <v>89.160535794465432</v>
      </c>
      <c r="BK188">
        <f t="shared" si="205"/>
        <v>6.5207405672056549</v>
      </c>
      <c r="BL188" s="60">
        <f t="shared" si="206"/>
        <v>87.099882896738194</v>
      </c>
      <c r="BN188">
        <f t="shared" si="207"/>
        <v>0</v>
      </c>
      <c r="BO188">
        <f t="shared" si="208"/>
        <v>0</v>
      </c>
    </row>
    <row r="189" spans="13:67" ht="14.25" x14ac:dyDescent="0.2">
      <c r="M189" s="66">
        <v>71</v>
      </c>
      <c r="N189" s="36">
        <f t="shared" si="209"/>
        <v>512.86138399136519</v>
      </c>
      <c r="O189" s="91" t="str">
        <f t="shared" si="157"/>
        <v>99.7340425531915</v>
      </c>
      <c r="P189" s="67" t="str">
        <f t="shared" si="158"/>
        <v>1+93.5868137996184i</v>
      </c>
      <c r="Q189" s="67">
        <f t="shared" si="169"/>
        <v>93.59215628013088</v>
      </c>
      <c r="R189" s="67">
        <f t="shared" si="170"/>
        <v>1.5601114674252334</v>
      </c>
      <c r="S189" s="67" t="str">
        <f t="shared" si="159"/>
        <v>1+0.175943209943283i</v>
      </c>
      <c r="T189" s="67">
        <f t="shared" si="171"/>
        <v>1.015360041130803</v>
      </c>
      <c r="U189" s="67">
        <f t="shared" si="172"/>
        <v>0.17416070212747023</v>
      </c>
      <c r="V189" t="str">
        <f t="shared" si="160"/>
        <v>1-0.0181743535545808i</v>
      </c>
      <c r="W189" s="67">
        <f t="shared" si="173"/>
        <v>1.0001651399279656</v>
      </c>
      <c r="X189" s="67">
        <f t="shared" si="174"/>
        <v>-1.8172352911558488E-2</v>
      </c>
      <c r="Y189" t="str">
        <f t="shared" si="161"/>
        <v>0.999937745136287+0.0280927450834583i</v>
      </c>
      <c r="Z189" s="67">
        <f t="shared" si="175"/>
        <v>1.000332293027955</v>
      </c>
      <c r="AA189" s="67">
        <f t="shared" si="176"/>
        <v>2.8087105933929074E-2</v>
      </c>
      <c r="AB189" s="92" t="str">
        <f t="shared" si="177"/>
        <v>0.149444545347331-1.07143909728807i</v>
      </c>
      <c r="AC189" s="37">
        <f t="shared" si="178"/>
        <v>0.68302924088259453</v>
      </c>
      <c r="AD189" s="60">
        <f t="shared" si="179"/>
        <v>-82.059601218893931</v>
      </c>
      <c r="AE189" t="str">
        <f t="shared" si="180"/>
        <v>118.329284003155</v>
      </c>
      <c r="AF189" t="str">
        <f t="shared" si="162"/>
        <v>1+74.8694510396947i</v>
      </c>
      <c r="AG189">
        <f t="shared" si="181"/>
        <v>74.876129033125366</v>
      </c>
      <c r="AH189">
        <f t="shared" si="182"/>
        <v>1.5574405384676191</v>
      </c>
      <c r="AI189" t="str">
        <f t="shared" si="163"/>
        <v>1+0.175943209943283i</v>
      </c>
      <c r="AJ189">
        <f t="shared" si="183"/>
        <v>1.015360041130803</v>
      </c>
      <c r="AK189">
        <f t="shared" si="184"/>
        <v>0.17416070212747023</v>
      </c>
      <c r="AL189" t="str">
        <f t="shared" si="164"/>
        <v>1-0.0122542607412025i</v>
      </c>
      <c r="AM189">
        <f t="shared" si="185"/>
        <v>1.0000750806346057</v>
      </c>
      <c r="AN189">
        <f t="shared" si="186"/>
        <v>-1.2253647401655311E-2</v>
      </c>
      <c r="AO189" s="58" t="str">
        <f t="shared" si="187"/>
        <v>0.279811605058484-1.58014510695356i</v>
      </c>
      <c r="AP189">
        <f t="shared" si="188"/>
        <v>4.108030530365359</v>
      </c>
      <c r="AQ189" s="60">
        <f t="shared" si="189"/>
        <v>-79.958178787594051</v>
      </c>
      <c r="AR189" t="str">
        <f t="shared" si="165"/>
        <v>-1.94444444444444</v>
      </c>
      <c r="AS189" t="str">
        <f t="shared" si="166"/>
        <v>1+0.180454574300802i</v>
      </c>
      <c r="AT189">
        <f t="shared" si="190"/>
        <v>1.0161514913565219</v>
      </c>
      <c r="AU189">
        <f t="shared" si="191"/>
        <v>0.17853321162017091</v>
      </c>
      <c r="AV189" t="str">
        <f t="shared" si="167"/>
        <v>1+0.180454574300802i</v>
      </c>
      <c r="AW189">
        <f t="shared" si="192"/>
        <v>1.0161514913565219</v>
      </c>
      <c r="AX189">
        <f t="shared" si="193"/>
        <v>0.17853321162017091</v>
      </c>
      <c r="AY189" t="str">
        <f t="shared" si="168"/>
        <v>1-0.011790554951084i</v>
      </c>
      <c r="AZ189">
        <f t="shared" si="194"/>
        <v>1.0000695061774729</v>
      </c>
      <c r="BA189">
        <f t="shared" si="195"/>
        <v>-1.1790008633394697E-2</v>
      </c>
      <c r="BB189" s="58" t="str">
        <f t="shared" si="196"/>
        <v>-1.87911606845654+0.362021169266674i</v>
      </c>
      <c r="BC189">
        <f t="shared" si="197"/>
        <v>5.637345309174556</v>
      </c>
      <c r="BD189" s="60">
        <f t="shared" si="198"/>
        <v>169.09528273613188</v>
      </c>
      <c r="BE189" s="58" t="str">
        <f t="shared" si="199"/>
        <v>0.107059988292905+2.06746051313375i</v>
      </c>
      <c r="BF189" s="37">
        <f t="shared" si="200"/>
        <v>6.3203745500571511</v>
      </c>
      <c r="BG189" s="60">
        <f t="shared" si="201"/>
        <v>87.035681517237975</v>
      </c>
      <c r="BH189" s="58" t="str">
        <f t="shared" si="202"/>
        <v>0.0462474960243288+3.07057378540707i</v>
      </c>
      <c r="BI189" s="37">
        <f t="shared" si="203"/>
        <v>9.7453758395399177</v>
      </c>
      <c r="BJ189" s="60">
        <f t="shared" si="204"/>
        <v>89.13710394853787</v>
      </c>
      <c r="BK189">
        <f t="shared" si="205"/>
        <v>6.3203745500571511</v>
      </c>
      <c r="BL189" s="60">
        <f t="shared" si="206"/>
        <v>87.035681517237975</v>
      </c>
      <c r="BN189">
        <f t="shared" si="207"/>
        <v>0</v>
      </c>
      <c r="BO189">
        <f t="shared" si="208"/>
        <v>0</v>
      </c>
    </row>
    <row r="190" spans="13:67" ht="14.25" x14ac:dyDescent="0.2">
      <c r="M190" s="66">
        <v>72</v>
      </c>
      <c r="N190" s="36">
        <f t="shared" si="209"/>
        <v>524.80746024977248</v>
      </c>
      <c r="O190" s="91" t="str">
        <f t="shared" si="157"/>
        <v>99.7340425531915</v>
      </c>
      <c r="P190" s="67" t="str">
        <f t="shared" si="158"/>
        <v>1+95.7667307310334i</v>
      </c>
      <c r="Q190" s="67">
        <f t="shared" si="169"/>
        <v>95.771951608549031</v>
      </c>
      <c r="R190" s="67">
        <f t="shared" si="170"/>
        <v>1.5603546666343482</v>
      </c>
      <c r="S190" s="67" t="str">
        <f t="shared" si="159"/>
        <v>1+0.180041453774343i</v>
      </c>
      <c r="T190" s="67">
        <f t="shared" si="171"/>
        <v>1.0160782081499331</v>
      </c>
      <c r="U190" s="67">
        <f t="shared" si="172"/>
        <v>0.17813309076385483</v>
      </c>
      <c r="V190" t="str">
        <f t="shared" si="160"/>
        <v>1-0.0185976886316354i</v>
      </c>
      <c r="W190" s="67">
        <f t="shared" si="173"/>
        <v>1.0001729220602003</v>
      </c>
      <c r="X190" s="67">
        <f t="shared" si="174"/>
        <v>-1.8595544924031118E-2</v>
      </c>
      <c r="Y190" t="str">
        <f t="shared" si="161"/>
        <v>0.999934811154951+0.0287471091778325i</v>
      </c>
      <c r="Z190" s="67">
        <f t="shared" si="175"/>
        <v>1.0003479508878745</v>
      </c>
      <c r="AA190" s="67">
        <f t="shared" si="176"/>
        <v>2.8741066832655312E-2</v>
      </c>
      <c r="AB190" s="92" t="str">
        <f t="shared" si="177"/>
        <v>0.148923541077422-1.0473939244494i</v>
      </c>
      <c r="AC190" s="37">
        <f t="shared" si="178"/>
        <v>0.48912456524644427</v>
      </c>
      <c r="AD190" s="60">
        <f t="shared" si="179"/>
        <v>-81.907650719408423</v>
      </c>
      <c r="AE190" t="str">
        <f t="shared" si="180"/>
        <v>118.329284003155</v>
      </c>
      <c r="AF190" t="str">
        <f t="shared" si="162"/>
        <v>1+76.6133845848267i</v>
      </c>
      <c r="AG190">
        <f t="shared" si="181"/>
        <v>76.619910581666446</v>
      </c>
      <c r="AH190">
        <f t="shared" si="182"/>
        <v>1.5577445183995391</v>
      </c>
      <c r="AI190" t="str">
        <f t="shared" si="163"/>
        <v>1+0.180041453774343i</v>
      </c>
      <c r="AJ190">
        <f t="shared" si="183"/>
        <v>1.0160782081499331</v>
      </c>
      <c r="AK190">
        <f t="shared" si="184"/>
        <v>0.17813309076385483</v>
      </c>
      <c r="AL190" t="str">
        <f t="shared" si="164"/>
        <v>1-0.0125396991420537i</v>
      </c>
      <c r="AM190">
        <f t="shared" si="185"/>
        <v>1.000078618936818</v>
      </c>
      <c r="AN190">
        <f t="shared" si="186"/>
        <v>-1.2539041939678544E-2</v>
      </c>
      <c r="AO190" s="58" t="str">
        <f t="shared" si="187"/>
        <v>0.278863918264224-1.54434592189777i</v>
      </c>
      <c r="AP190">
        <f t="shared" si="188"/>
        <v>3.9142375083702383</v>
      </c>
      <c r="AQ190" s="60">
        <f t="shared" si="189"/>
        <v>-79.764346353824024</v>
      </c>
      <c r="AR190" t="str">
        <f t="shared" si="165"/>
        <v>-1.94444444444444</v>
      </c>
      <c r="AS190" t="str">
        <f t="shared" si="166"/>
        <v>1+0.184657901307018i</v>
      </c>
      <c r="AT190">
        <f t="shared" si="190"/>
        <v>1.0169063577906829</v>
      </c>
      <c r="AU190">
        <f t="shared" si="191"/>
        <v>0.18260096818207427</v>
      </c>
      <c r="AV190" t="str">
        <f t="shared" si="167"/>
        <v>1+0.184657901307018i</v>
      </c>
      <c r="AW190">
        <f t="shared" si="192"/>
        <v>1.0169063577906829</v>
      </c>
      <c r="AX190">
        <f t="shared" si="193"/>
        <v>0.18260096818207427</v>
      </c>
      <c r="AY190" t="str">
        <f t="shared" si="168"/>
        <v>1-0.0115221691539241i</v>
      </c>
      <c r="AZ190">
        <f t="shared" si="194"/>
        <v>1.0000663779879873</v>
      </c>
      <c r="BA190">
        <f t="shared" si="195"/>
        <v>-1.1521659298677137E-2</v>
      </c>
      <c r="BB190" s="58" t="str">
        <f t="shared" si="196"/>
        <v>-1.87632730594386+0.368882880279941i</v>
      </c>
      <c r="BC190">
        <f t="shared" si="197"/>
        <v>5.6308680658594765</v>
      </c>
      <c r="BD190" s="60">
        <f t="shared" si="198"/>
        <v>168.87759273736265</v>
      </c>
      <c r="BE190" s="58" t="str">
        <f t="shared" si="199"/>
        <v>0.106936381017187+2.02018916529824i</v>
      </c>
      <c r="BF190" s="37">
        <f t="shared" si="200"/>
        <v>6.1199926311059354</v>
      </c>
      <c r="BG190" s="60">
        <f t="shared" si="201"/>
        <v>86.969942017954224</v>
      </c>
      <c r="BH190" s="58" t="str">
        <f t="shared" si="202"/>
        <v>0.0464427873365698+3.00056654845529i</v>
      </c>
      <c r="BI190" s="37">
        <f t="shared" si="203"/>
        <v>9.5451055742297264</v>
      </c>
      <c r="BJ190" s="60">
        <f t="shared" si="204"/>
        <v>89.113246383538652</v>
      </c>
      <c r="BK190">
        <f t="shared" si="205"/>
        <v>6.1199926311059354</v>
      </c>
      <c r="BL190" s="60">
        <f t="shared" si="206"/>
        <v>86.969942017954224</v>
      </c>
      <c r="BN190">
        <f t="shared" si="207"/>
        <v>0</v>
      </c>
      <c r="BO190">
        <f t="shared" si="208"/>
        <v>0</v>
      </c>
    </row>
    <row r="191" spans="13:67" ht="14.25" x14ac:dyDescent="0.2">
      <c r="M191" s="66">
        <v>73</v>
      </c>
      <c r="N191" s="36">
        <f t="shared" si="209"/>
        <v>537.03179637025301</v>
      </c>
      <c r="O191" s="91" t="str">
        <f t="shared" si="157"/>
        <v>99.7340425531915</v>
      </c>
      <c r="P191" s="67" t="str">
        <f t="shared" si="158"/>
        <v>1+97.9974244507043i</v>
      </c>
      <c r="Q191" s="67">
        <f t="shared" si="169"/>
        <v>98.0025264927976</v>
      </c>
      <c r="R191" s="67">
        <f t="shared" si="170"/>
        <v>1.5605923311471706</v>
      </c>
      <c r="S191" s="67" t="str">
        <f t="shared" si="159"/>
        <v>1+0.184235157967324i</v>
      </c>
      <c r="T191" s="67">
        <f t="shared" si="171"/>
        <v>1.016829677690047</v>
      </c>
      <c r="U191" s="67">
        <f t="shared" si="172"/>
        <v>0.18219213361323194</v>
      </c>
      <c r="V191" t="str">
        <f t="shared" si="160"/>
        <v>1-0.0190308844493719i</v>
      </c>
      <c r="W191" s="67">
        <f t="shared" si="173"/>
        <v>1.0001810708881294</v>
      </c>
      <c r="X191" s="67">
        <f t="shared" si="174"/>
        <v>-1.9028587447748067E-2</v>
      </c>
      <c r="Y191" t="str">
        <f t="shared" si="161"/>
        <v>0.999931738899334+0.0294167153700057i</v>
      </c>
      <c r="Z191" s="67">
        <f t="shared" si="175"/>
        <v>1.0003643464265435</v>
      </c>
      <c r="AA191" s="67">
        <f t="shared" si="176"/>
        <v>2.9410241006618147E-2</v>
      </c>
      <c r="AB191" s="92" t="str">
        <f t="shared" si="177"/>
        <v>0.148425122503976-1.0239035895336i</v>
      </c>
      <c r="AC191" s="37">
        <f t="shared" si="178"/>
        <v>0.29549580628516969</v>
      </c>
      <c r="AD191" s="60">
        <f t="shared" si="179"/>
        <v>-81.751854233687069</v>
      </c>
      <c r="AE191" t="str">
        <f t="shared" si="180"/>
        <v>118.329284003155</v>
      </c>
      <c r="AF191" t="str">
        <f t="shared" si="162"/>
        <v>1+78.3979395605634i</v>
      </c>
      <c r="AG191">
        <f t="shared" si="181"/>
        <v>78.404317019802875</v>
      </c>
      <c r="AH191">
        <f t="shared" si="182"/>
        <v>1.5580415812343373</v>
      </c>
      <c r="AI191" t="str">
        <f t="shared" si="163"/>
        <v>1+0.184235157967324i</v>
      </c>
      <c r="AJ191">
        <f t="shared" si="183"/>
        <v>1.016829677690047</v>
      </c>
      <c r="AK191">
        <f t="shared" si="184"/>
        <v>0.18219213361323194</v>
      </c>
      <c r="AL191" t="str">
        <f t="shared" si="164"/>
        <v>1-0.0128317862573725i</v>
      </c>
      <c r="AM191">
        <f t="shared" si="185"/>
        <v>1.0000823239806587</v>
      </c>
      <c r="AN191">
        <f t="shared" si="186"/>
        <v>-1.2831082055470832E-2</v>
      </c>
      <c r="AO191" s="58" t="str">
        <f t="shared" si="187"/>
        <v>0.277958870197726-1.50936445591859i</v>
      </c>
      <c r="AP191">
        <f t="shared" si="188"/>
        <v>3.7207245054013569</v>
      </c>
      <c r="AQ191" s="60">
        <f t="shared" si="189"/>
        <v>-79.565533442459483</v>
      </c>
      <c r="AR191" t="str">
        <f t="shared" si="165"/>
        <v>-1.94444444444444</v>
      </c>
      <c r="AS191" t="str">
        <f t="shared" si="166"/>
        <v>1+0.188959136376742i</v>
      </c>
      <c r="AT191">
        <f t="shared" si="190"/>
        <v>1.017696199865286</v>
      </c>
      <c r="AU191">
        <f t="shared" si="191"/>
        <v>0.18675715741584972</v>
      </c>
      <c r="AV191" t="str">
        <f t="shared" si="167"/>
        <v>1+0.188959136376742i</v>
      </c>
      <c r="AW191">
        <f t="shared" si="192"/>
        <v>1.017696199865286</v>
      </c>
      <c r="AX191">
        <f t="shared" si="193"/>
        <v>0.18675715741584972</v>
      </c>
      <c r="AY191" t="str">
        <f t="shared" si="168"/>
        <v>1-0.0112598925633636i</v>
      </c>
      <c r="AZ191">
        <f t="shared" si="194"/>
        <v>1.0000633905810863</v>
      </c>
      <c r="BA191">
        <f t="shared" si="195"/>
        <v>-1.1259416737055879E-2</v>
      </c>
      <c r="BB191" s="58" t="str">
        <f t="shared" si="196"/>
        <v>-1.8734159711952+0.375893299531314i</v>
      </c>
      <c r="BC191">
        <f t="shared" si="197"/>
        <v>5.6240983142706416</v>
      </c>
      <c r="BD191" s="60">
        <f t="shared" si="198"/>
        <v>168.6544860273992</v>
      </c>
      <c r="BE191" s="58" t="str">
        <f t="shared" si="199"/>
        <v>0.106816503646188+1.9739893466277i</v>
      </c>
      <c r="BF191" s="37">
        <f t="shared" si="200"/>
        <v>5.9195941205558134</v>
      </c>
      <c r="BG191" s="60">
        <f t="shared" si="201"/>
        <v>86.902631793712146</v>
      </c>
      <c r="BH191" s="58" t="str">
        <f t="shared" si="202"/>
        <v>0.0466273987667319+2.93215035492486i</v>
      </c>
      <c r="BI191" s="37">
        <f t="shared" si="203"/>
        <v>9.3448228196720002</v>
      </c>
      <c r="BJ191" s="60">
        <f t="shared" si="204"/>
        <v>89.088952584939733</v>
      </c>
      <c r="BK191">
        <f t="shared" si="205"/>
        <v>5.9195941205558134</v>
      </c>
      <c r="BL191" s="60">
        <f t="shared" si="206"/>
        <v>86.902631793712146</v>
      </c>
      <c r="BN191">
        <f t="shared" si="207"/>
        <v>0</v>
      </c>
      <c r="BO191">
        <f t="shared" si="208"/>
        <v>0</v>
      </c>
    </row>
    <row r="192" spans="13:67" ht="14.25" x14ac:dyDescent="0.2">
      <c r="M192" s="66">
        <v>74</v>
      </c>
      <c r="N192" s="36">
        <f t="shared" si="209"/>
        <v>549.54087385762534</v>
      </c>
      <c r="O192" s="91" t="str">
        <f t="shared" si="157"/>
        <v>99.7340425531915</v>
      </c>
      <c r="P192" s="67" t="str">
        <f t="shared" si="158"/>
        <v>1+100.280077701968i</v>
      </c>
      <c r="Q192" s="67">
        <f t="shared" si="169"/>
        <v>100.28506361324571</v>
      </c>
      <c r="R192" s="67">
        <f t="shared" si="170"/>
        <v>1.5608245868691146</v>
      </c>
      <c r="S192" s="67" t="str">
        <f t="shared" si="159"/>
        <v>1+0.188526546079701i</v>
      </c>
      <c r="T192" s="67">
        <f t="shared" si="171"/>
        <v>1.0176159681219343</v>
      </c>
      <c r="U192" s="67">
        <f t="shared" si="172"/>
        <v>0.18633944756183449</v>
      </c>
      <c r="V192" t="str">
        <f t="shared" si="160"/>
        <v>1-0.0194741706939471i</v>
      </c>
      <c r="W192" s="67">
        <f t="shared" si="173"/>
        <v>1.0001896036873292</v>
      </c>
      <c r="X192" s="67">
        <f t="shared" si="174"/>
        <v>-1.9471709437561751E-2</v>
      </c>
      <c r="Y192" t="str">
        <f t="shared" si="161"/>
        <v>0.999928521852772+0.0301019186940445i</v>
      </c>
      <c r="Z192" s="67">
        <f t="shared" si="175"/>
        <v>1.000381514385253</v>
      </c>
      <c r="AA192" s="67">
        <f t="shared" si="176"/>
        <v>3.0094981430186369E-2</v>
      </c>
      <c r="AB192" s="92" t="str">
        <f t="shared" si="177"/>
        <v>0.147948233165638-1.00095566809892i</v>
      </c>
      <c r="AC192" s="37">
        <f t="shared" si="178"/>
        <v>0.10215519377729795</v>
      </c>
      <c r="AD192" s="60">
        <f t="shared" si="179"/>
        <v>-81.592159676909802</v>
      </c>
      <c r="AE192" t="str">
        <f t="shared" si="180"/>
        <v>118.329284003155</v>
      </c>
      <c r="AF192" t="str">
        <f t="shared" si="162"/>
        <v>1+80.2240621615748i</v>
      </c>
      <c r="AG192">
        <f t="shared" si="181"/>
        <v>80.230294463526789</v>
      </c>
      <c r="AH192">
        <f t="shared" si="182"/>
        <v>1.558331884268823</v>
      </c>
      <c r="AI192" t="str">
        <f t="shared" si="163"/>
        <v>1+0.188526546079701i</v>
      </c>
      <c r="AJ192">
        <f t="shared" si="183"/>
        <v>1.0176159681219343</v>
      </c>
      <c r="AK192">
        <f t="shared" si="184"/>
        <v>0.18633944756183449</v>
      </c>
      <c r="AL192" t="str">
        <f t="shared" si="164"/>
        <v>1-0.0131306769556138i</v>
      </c>
      <c r="AM192">
        <f t="shared" si="185"/>
        <v>1.0000862036231242</v>
      </c>
      <c r="AN192">
        <f t="shared" si="186"/>
        <v>-1.3129922393194111E-2</v>
      </c>
      <c r="AO192" s="58" t="str">
        <f t="shared" si="187"/>
        <v>0.277094543049625-1.475182235682i</v>
      </c>
      <c r="AP192">
        <f t="shared" si="188"/>
        <v>3.5275039962431305</v>
      </c>
      <c r="AQ192" s="60">
        <f t="shared" si="189"/>
        <v>-79.361665285644534</v>
      </c>
      <c r="AR192" t="str">
        <f t="shared" si="165"/>
        <v>-1.94444444444444</v>
      </c>
      <c r="AS192" t="str">
        <f t="shared" si="166"/>
        <v>1+0.193360560081744i</v>
      </c>
      <c r="AT192">
        <f t="shared" si="190"/>
        <v>1.0185226095650139</v>
      </c>
      <c r="AU192">
        <f t="shared" si="191"/>
        <v>0.19100340835865323</v>
      </c>
      <c r="AV192" t="str">
        <f t="shared" si="167"/>
        <v>1+0.193360560081744i</v>
      </c>
      <c r="AW192">
        <f t="shared" si="192"/>
        <v>1.0185226095650139</v>
      </c>
      <c r="AX192">
        <f t="shared" si="193"/>
        <v>0.19100340835865323</v>
      </c>
      <c r="AY192" t="str">
        <f t="shared" si="168"/>
        <v>1-0.0110035861168824i</v>
      </c>
      <c r="AZ192">
        <f t="shared" si="194"/>
        <v>1.0000605376213141</v>
      </c>
      <c r="BA192">
        <f t="shared" si="195"/>
        <v>-1.1003142048414061E-2</v>
      </c>
      <c r="BB192" s="58" t="str">
        <f t="shared" si="196"/>
        <v>-1.87037709700213+0.383053024934336i</v>
      </c>
      <c r="BC192">
        <f t="shared" si="197"/>
        <v>5.6170231104674597</v>
      </c>
      <c r="BD192" s="60">
        <f t="shared" si="198"/>
        <v>168.42587722767831</v>
      </c>
      <c r="BE192" s="58" t="str">
        <f t="shared" si="199"/>
        <v>0.10670010963552+1.92883657497447i</v>
      </c>
      <c r="BF192" s="37">
        <f t="shared" si="200"/>
        <v>5.7191783042447408</v>
      </c>
      <c r="BG192" s="60">
        <f t="shared" si="201"/>
        <v>86.83371755076854</v>
      </c>
      <c r="BH192" s="58" t="str">
        <f t="shared" si="202"/>
        <v>0.0468017306830973+2.86528897043197i</v>
      </c>
      <c r="BI192" s="37">
        <f t="shared" si="203"/>
        <v>9.1445271067105978</v>
      </c>
      <c r="BJ192" s="60">
        <f t="shared" si="204"/>
        <v>89.064211942033808</v>
      </c>
      <c r="BK192">
        <f t="shared" si="205"/>
        <v>5.7191783042447408</v>
      </c>
      <c r="BL192" s="60">
        <f t="shared" si="206"/>
        <v>86.83371755076854</v>
      </c>
      <c r="BN192">
        <f t="shared" si="207"/>
        <v>0</v>
      </c>
      <c r="BO192">
        <f t="shared" si="208"/>
        <v>0</v>
      </c>
    </row>
    <row r="193" spans="13:67" ht="14.25" x14ac:dyDescent="0.2">
      <c r="M193" s="66">
        <v>75</v>
      </c>
      <c r="N193" s="36">
        <f t="shared" si="209"/>
        <v>562.34132519034927</v>
      </c>
      <c r="O193" s="91" t="str">
        <f t="shared" si="157"/>
        <v>99.7340425531915</v>
      </c>
      <c r="P193" s="67" t="str">
        <f t="shared" si="158"/>
        <v>1+102.615900777794i</v>
      </c>
      <c r="Q193" s="67">
        <f t="shared" si="169"/>
        <v>102.62077320132637</v>
      </c>
      <c r="R193" s="67">
        <f t="shared" si="170"/>
        <v>1.5610515568449532</v>
      </c>
      <c r="S193" s="67" t="str">
        <f t="shared" si="159"/>
        <v>1+0.192917893462252i</v>
      </c>
      <c r="T193" s="67">
        <f t="shared" si="171"/>
        <v>1.0184386646322461</v>
      </c>
      <c r="U193" s="67">
        <f t="shared" si="172"/>
        <v>0.19057666061421069</v>
      </c>
      <c r="V193" t="str">
        <f t="shared" si="160"/>
        <v>1-0.0199277824015953i</v>
      </c>
      <c r="W193" s="67">
        <f t="shared" si="173"/>
        <v>1.0001985385469454</v>
      </c>
      <c r="X193" s="67">
        <f t="shared" si="174"/>
        <v>-1.9925145146136011E-2</v>
      </c>
      <c r="Y193" t="str">
        <f t="shared" si="161"/>
        <v>0.999925153191475+0.0308030824538207i</v>
      </c>
      <c r="Z193" s="67">
        <f t="shared" si="175"/>
        <v>1.0003994911402403</v>
      </c>
      <c r="AA193" s="67">
        <f t="shared" si="176"/>
        <v>3.0795649200429792E-2</v>
      </c>
      <c r="AB193" s="92" t="str">
        <f t="shared" si="177"/>
        <v>0.147491862217587-0.978538021038544i</v>
      </c>
      <c r="AC193" s="37">
        <f t="shared" si="178"/>
        <v>-9.088454956291997E-2</v>
      </c>
      <c r="AD193" s="60">
        <f t="shared" si="179"/>
        <v>-81.428514932260256</v>
      </c>
      <c r="AE193" t="str">
        <f t="shared" si="180"/>
        <v>118.329284003155</v>
      </c>
      <c r="AF193" t="str">
        <f t="shared" si="162"/>
        <v>1+82.092720622235i</v>
      </c>
      <c r="AG193">
        <f t="shared" si="181"/>
        <v>82.098811070321418</v>
      </c>
      <c r="AH193">
        <f t="shared" si="182"/>
        <v>1.5586155812296707</v>
      </c>
      <c r="AI193" t="str">
        <f t="shared" si="163"/>
        <v>1+0.192917893462252i</v>
      </c>
      <c r="AJ193">
        <f t="shared" si="183"/>
        <v>1.0184386646322461</v>
      </c>
      <c r="AK193">
        <f t="shared" si="184"/>
        <v>0.19057666061421069</v>
      </c>
      <c r="AL193" t="str">
        <f t="shared" si="164"/>
        <v>1-0.013436529712582i</v>
      </c>
      <c r="AM193">
        <f t="shared" si="185"/>
        <v>1.0000902660913749</v>
      </c>
      <c r="AN193">
        <f t="shared" si="186"/>
        <v>-1.3435721188323601E-2</v>
      </c>
      <c r="AO193" s="58" t="str">
        <f t="shared" si="187"/>
        <v>0.276269105216296-1.44178120666792i</v>
      </c>
      <c r="AP193">
        <f t="shared" si="188"/>
        <v>3.3345889577901748</v>
      </c>
      <c r="AQ193" s="60">
        <f t="shared" si="189"/>
        <v>-79.152666479703967</v>
      </c>
      <c r="AR193" t="str">
        <f t="shared" si="165"/>
        <v>-1.94444444444444</v>
      </c>
      <c r="AS193" t="str">
        <f t="shared" si="166"/>
        <v>1+0.19786450611513i</v>
      </c>
      <c r="AT193">
        <f t="shared" si="190"/>
        <v>1.0193872486843183</v>
      </c>
      <c r="AU193">
        <f t="shared" si="191"/>
        <v>0.19534135963110355</v>
      </c>
      <c r="AV193" t="str">
        <f t="shared" si="167"/>
        <v>1+0.19786450611513i</v>
      </c>
      <c r="AW193">
        <f t="shared" si="192"/>
        <v>1.0193872486843183</v>
      </c>
      <c r="AX193">
        <f t="shared" si="193"/>
        <v>0.19534135963110355</v>
      </c>
      <c r="AY193" t="str">
        <f t="shared" si="168"/>
        <v>1-0.0107531139174101i</v>
      </c>
      <c r="AZ193">
        <f t="shared" si="194"/>
        <v>1.0000578130582856</v>
      </c>
      <c r="BA193">
        <f t="shared" si="195"/>
        <v>-1.0752699487247259E-2</v>
      </c>
      <c r="BB193" s="58" t="str">
        <f t="shared" si="196"/>
        <v>-1.86720555378918+0.390362537333109i</v>
      </c>
      <c r="BC193">
        <f t="shared" si="197"/>
        <v>5.6096289926292506</v>
      </c>
      <c r="BD193" s="60">
        <f t="shared" si="198"/>
        <v>168.19168022979886</v>
      </c>
      <c r="BE193" s="58" t="str">
        <f t="shared" si="199"/>
        <v>0.106586960498138+1.88470692504829i</v>
      </c>
      <c r="BF193" s="37">
        <f t="shared" si="200"/>
        <v>5.5187444430663497</v>
      </c>
      <c r="BG193" s="60">
        <f t="shared" si="201"/>
        <v>86.76316529753862</v>
      </c>
      <c r="BH193" s="58" t="str">
        <f t="shared" si="202"/>
        <v>0.0469661625138457+2.79994698533819i</v>
      </c>
      <c r="BI193" s="37">
        <f t="shared" si="203"/>
        <v>8.9442179504194339</v>
      </c>
      <c r="BJ193" s="60">
        <f t="shared" si="204"/>
        <v>89.039013750094909</v>
      </c>
      <c r="BK193">
        <f t="shared" si="205"/>
        <v>5.5187444430663497</v>
      </c>
      <c r="BL193" s="60">
        <f t="shared" si="206"/>
        <v>86.76316529753862</v>
      </c>
      <c r="BN193">
        <f t="shared" si="207"/>
        <v>0</v>
      </c>
      <c r="BO193">
        <f t="shared" si="208"/>
        <v>0</v>
      </c>
    </row>
    <row r="194" spans="13:67" ht="14.25" x14ac:dyDescent="0.2">
      <c r="M194" s="66">
        <v>76</v>
      </c>
      <c r="N194" s="36">
        <f t="shared" si="209"/>
        <v>575.43993733715706</v>
      </c>
      <c r="O194" s="91" t="str">
        <f t="shared" si="157"/>
        <v>99.7340425531915</v>
      </c>
      <c r="P194" s="67" t="str">
        <f t="shared" si="158"/>
        <v>1+105.006132162494i</v>
      </c>
      <c r="Q194" s="67">
        <f t="shared" si="169"/>
        <v>105.01089368121364</v>
      </c>
      <c r="R194" s="67">
        <f t="shared" si="170"/>
        <v>1.5612733613235783</v>
      </c>
      <c r="S194" s="67" t="str">
        <f t="shared" si="159"/>
        <v>1+0.197411528465488i</v>
      </c>
      <c r="T194" s="67">
        <f t="shared" si="171"/>
        <v>1.0192994219418945</v>
      </c>
      <c r="U194" s="67">
        <f t="shared" si="172"/>
        <v>0.19490541050332888</v>
      </c>
      <c r="V194" t="str">
        <f t="shared" si="160"/>
        <v>1-0.0203919600832482i</v>
      </c>
      <c r="W194" s="67">
        <f t="shared" si="173"/>
        <v>1.000207894407976</v>
      </c>
      <c r="X194" s="67">
        <f t="shared" si="174"/>
        <v>-2.0389134244832453E-2</v>
      </c>
      <c r="Y194" t="str">
        <f t="shared" si="161"/>
        <v>0.999921625770063+0.031520578415641i</v>
      </c>
      <c r="Z194" s="67">
        <f t="shared" si="175"/>
        <v>1.000418314779524</v>
      </c>
      <c r="AA194" s="67">
        <f t="shared" si="176"/>
        <v>3.1512613719252694E-2</v>
      </c>
      <c r="AB194" s="92" t="str">
        <f t="shared" si="177"/>
        <v>0.147055042293364-0.956638788278786i</v>
      </c>
      <c r="AC194" s="37">
        <f t="shared" si="178"/>
        <v>-0.2836101917074404</v>
      </c>
      <c r="AD194" s="60">
        <f t="shared" si="179"/>
        <v>-81.26086795163296</v>
      </c>
      <c r="AE194" t="str">
        <f t="shared" si="180"/>
        <v>118.329284003155</v>
      </c>
      <c r="AF194" t="str">
        <f t="shared" si="162"/>
        <v>1+84.0049057299949i</v>
      </c>
      <c r="AG194">
        <f t="shared" si="181"/>
        <v>84.010857552493363</v>
      </c>
      <c r="AH194">
        <f t="shared" si="182"/>
        <v>1.5588928223539951</v>
      </c>
      <c r="AI194" t="str">
        <f t="shared" si="163"/>
        <v>1+0.197411528465488i</v>
      </c>
      <c r="AJ194">
        <f t="shared" si="183"/>
        <v>1.0192994219418945</v>
      </c>
      <c r="AK194">
        <f t="shared" si="184"/>
        <v>0.19490541050332888</v>
      </c>
      <c r="AL194" t="str">
        <f t="shared" si="164"/>
        <v>1-0.0137495066954573i</v>
      </c>
      <c r="AM194">
        <f t="shared" si="185"/>
        <v>1.000094520000169</v>
      </c>
      <c r="AN194">
        <f t="shared" si="186"/>
        <v>-1.3748640350527839E-2</v>
      </c>
      <c r="AO194" s="58" t="str">
        <f t="shared" si="187"/>
        <v>0.275480807429614-1.40914372392797i</v>
      </c>
      <c r="AP194">
        <f t="shared" si="188"/>
        <v>3.1419928859589334</v>
      </c>
      <c r="AQ194" s="60">
        <f t="shared" si="189"/>
        <v>-78.938461074144016</v>
      </c>
      <c r="AR194" t="str">
        <f t="shared" si="165"/>
        <v>-1.94444444444444</v>
      </c>
      <c r="AS194" t="str">
        <f t="shared" si="166"/>
        <v>1+0.202473362528705i</v>
      </c>
      <c r="AT194">
        <f t="shared" si="190"/>
        <v>1.0202918516452439</v>
      </c>
      <c r="AU194">
        <f t="shared" si="191"/>
        <v>0.19977265791237253</v>
      </c>
      <c r="AV194" t="str">
        <f t="shared" si="167"/>
        <v>1+0.202473362528705i</v>
      </c>
      <c r="AW194">
        <f t="shared" si="192"/>
        <v>1.0202918516452439</v>
      </c>
      <c r="AX194">
        <f t="shared" si="193"/>
        <v>0.19977265791237253</v>
      </c>
      <c r="AY194" t="str">
        <f t="shared" si="168"/>
        <v>1-0.0105083431612711i</v>
      </c>
      <c r="AZ194">
        <f t="shared" si="194"/>
        <v>1.0000552111138641</v>
      </c>
      <c r="BA194">
        <f t="shared" si="195"/>
        <v>-1.0507956391331673E-2</v>
      </c>
      <c r="BB194" s="58" t="str">
        <f t="shared" si="196"/>
        <v>-1.86389604800263+0.397822189723306i</v>
      </c>
      <c r="BC194">
        <f t="shared" si="197"/>
        <v>5.6019019641214243</v>
      </c>
      <c r="BD194" s="60">
        <f t="shared" si="198"/>
        <v>167.95180828697949</v>
      </c>
      <c r="BE194" s="58" t="str">
        <f t="shared" si="199"/>
        <v>0.106476825357856+1.84157701577385i</v>
      </c>
      <c r="BF194" s="37">
        <f t="shared" si="200"/>
        <v>5.3182917724139687</v>
      </c>
      <c r="BG194" s="60">
        <f t="shared" si="201"/>
        <v>86.690940335346525</v>
      </c>
      <c r="BH194" s="58" t="str">
        <f t="shared" si="202"/>
        <v>0.0471210536192477+2.73608979613545i</v>
      </c>
      <c r="BI194" s="37">
        <f t="shared" si="203"/>
        <v>8.7438948500803697</v>
      </c>
      <c r="BJ194" s="60">
        <f t="shared" si="204"/>
        <v>89.013347212835455</v>
      </c>
      <c r="BK194">
        <f t="shared" si="205"/>
        <v>5.3182917724139687</v>
      </c>
      <c r="BL194" s="60">
        <f t="shared" si="206"/>
        <v>86.690940335346525</v>
      </c>
      <c r="BN194">
        <f t="shared" si="207"/>
        <v>0</v>
      </c>
      <c r="BO194">
        <f t="shared" si="208"/>
        <v>0</v>
      </c>
    </row>
    <row r="195" spans="13:67" ht="14.25" x14ac:dyDescent="0.2">
      <c r="M195" s="66">
        <v>77</v>
      </c>
      <c r="N195" s="36">
        <f t="shared" si="209"/>
        <v>588.84365535558959</v>
      </c>
      <c r="O195" s="91" t="str">
        <f t="shared" si="157"/>
        <v>99.7340425531915</v>
      </c>
      <c r="P195" s="67" t="str">
        <f t="shared" si="158"/>
        <v>1+107.452039188386i</v>
      </c>
      <c r="Q195" s="67">
        <f t="shared" si="169"/>
        <v>107.45669232645514</v>
      </c>
      <c r="R195" s="67">
        <f t="shared" si="170"/>
        <v>1.5614901178213128</v>
      </c>
      <c r="S195" s="67" t="str">
        <f t="shared" si="159"/>
        <v>1+0.202009833674167i</v>
      </c>
      <c r="T195" s="67">
        <f t="shared" si="171"/>
        <v>1.0201999671148125</v>
      </c>
      <c r="U195" s="67">
        <f t="shared" si="172"/>
        <v>0.1993273431781877</v>
      </c>
      <c r="V195" t="str">
        <f t="shared" si="160"/>
        <v>1-0.0208669498520568i</v>
      </c>
      <c r="W195" s="67">
        <f t="shared" si="173"/>
        <v>1.0002176911033558</v>
      </c>
      <c r="X195" s="67">
        <f t="shared" si="174"/>
        <v>-2.0863921947232231E-2</v>
      </c>
      <c r="Y195" t="str">
        <f t="shared" si="161"/>
        <v>0.999917932106402+0.0322547870053614i</v>
      </c>
      <c r="Z195" s="67">
        <f t="shared" si="175"/>
        <v>1.0004380251833216</v>
      </c>
      <c r="AA195" s="67">
        <f t="shared" si="176"/>
        <v>3.2246252879264865E-2</v>
      </c>
      <c r="AB195" s="92" t="str">
        <f t="shared" si="177"/>
        <v>0.14663684745852-0.935246382615013i</v>
      </c>
      <c r="AC195" s="37">
        <f t="shared" si="178"/>
        <v>-0.47600797476901824</v>
      </c>
      <c r="AD195" s="60">
        <f t="shared" si="179"/>
        <v>-81.089166863641168</v>
      </c>
      <c r="AE195" t="str">
        <f t="shared" si="180"/>
        <v>118.329284003155</v>
      </c>
      <c r="AF195" t="str">
        <f t="shared" si="162"/>
        <v>1+85.9616313507092i</v>
      </c>
      <c r="AG195">
        <f t="shared" si="181"/>
        <v>85.967447702460191</v>
      </c>
      <c r="AH195">
        <f t="shared" si="182"/>
        <v>1.559163754468136</v>
      </c>
      <c r="AI195" t="str">
        <f t="shared" si="163"/>
        <v>1+0.202009833674167i</v>
      </c>
      <c r="AJ195">
        <f t="shared" si="183"/>
        <v>1.0201999671148125</v>
      </c>
      <c r="AK195">
        <f t="shared" si="184"/>
        <v>0.1993273431781877</v>
      </c>
      <c r="AL195" t="str">
        <f t="shared" si="164"/>
        <v>1-0.0140697738487788i</v>
      </c>
      <c r="AM195">
        <f t="shared" si="185"/>
        <v>1.000098974370115</v>
      </c>
      <c r="AN195">
        <f t="shared" si="186"/>
        <v>-1.4068845548423577E-2</v>
      </c>
      <c r="AO195" s="58" t="str">
        <f t="shared" si="187"/>
        <v>0.274727979060066-1.37725254303848i</v>
      </c>
      <c r="AP195">
        <f t="shared" si="188"/>
        <v>2.9497298127883993</v>
      </c>
      <c r="AQ195" s="60">
        <f t="shared" si="189"/>
        <v>-78.718972667676084</v>
      </c>
      <c r="AR195" t="str">
        <f t="shared" si="165"/>
        <v>-1.94444444444444</v>
      </c>
      <c r="AS195" t="str">
        <f t="shared" si="166"/>
        <v>1+0.207189572999144i</v>
      </c>
      <c r="AT195">
        <f t="shared" si="190"/>
        <v>1.0212382284068531</v>
      </c>
      <c r="AU195">
        <f t="shared" si="191"/>
        <v>0.2042989562858224</v>
      </c>
      <c r="AV195" t="str">
        <f t="shared" si="167"/>
        <v>1+0.207189572999144i</v>
      </c>
      <c r="AW195">
        <f t="shared" si="192"/>
        <v>1.0212382284068531</v>
      </c>
      <c r="AX195">
        <f t="shared" si="193"/>
        <v>0.2042989562858224</v>
      </c>
      <c r="AY195" t="str">
        <f t="shared" si="168"/>
        <v>1-0.0102691440677706i</v>
      </c>
      <c r="AZ195">
        <f t="shared" si="194"/>
        <v>1.0000527262699126</v>
      </c>
      <c r="BA195">
        <f t="shared" si="195"/>
        <v>-1.0268783111984947E-2</v>
      </c>
      <c r="BB195" s="58" t="str">
        <f t="shared" si="196"/>
        <v>-1.86044312088799+0.405432195937754i</v>
      </c>
      <c r="BC195">
        <f t="shared" si="197"/>
        <v>5.593827476420616</v>
      </c>
      <c r="BD195" s="60">
        <f t="shared" si="198"/>
        <v>167.70617411284272</v>
      </c>
      <c r="BE195" s="58" t="str">
        <f t="shared" si="199"/>
        <v>0.106369480523541+1.79942399794198i</v>
      </c>
      <c r="BF195" s="37">
        <f t="shared" si="200"/>
        <v>5.1178195016516224</v>
      </c>
      <c r="BG195" s="60">
        <f t="shared" si="201"/>
        <v>86.617007249201549</v>
      </c>
      <c r="BH195" s="58" t="str">
        <f t="shared" si="202"/>
        <v>0.0472667441271875+2.67368358725729i</v>
      </c>
      <c r="BI195" s="37">
        <f t="shared" si="203"/>
        <v>8.5435572892090015</v>
      </c>
      <c r="BJ195" s="60">
        <f t="shared" si="204"/>
        <v>88.987201445166647</v>
      </c>
      <c r="BK195">
        <f t="shared" si="205"/>
        <v>5.1178195016516224</v>
      </c>
      <c r="BL195" s="60">
        <f t="shared" si="206"/>
        <v>86.617007249201549</v>
      </c>
      <c r="BN195">
        <f t="shared" si="207"/>
        <v>0</v>
      </c>
      <c r="BO195">
        <f t="shared" si="208"/>
        <v>0</v>
      </c>
    </row>
    <row r="196" spans="13:67" ht="14.25" x14ac:dyDescent="0.2">
      <c r="M196" s="66">
        <v>78</v>
      </c>
      <c r="N196" s="36">
        <f t="shared" si="209"/>
        <v>602.55958607435832</v>
      </c>
      <c r="O196" s="91" t="str">
        <f t="shared" si="157"/>
        <v>99.7340425531915</v>
      </c>
      <c r="P196" s="67" t="str">
        <f t="shared" si="158"/>
        <v>1+109.954918707753i</v>
      </c>
      <c r="Q196" s="67">
        <f t="shared" si="169"/>
        <v>109.95946593189953</v>
      </c>
      <c r="R196" s="67">
        <f t="shared" si="170"/>
        <v>1.5617019411838029</v>
      </c>
      <c r="S196" s="67" t="str">
        <f t="shared" si="159"/>
        <v>1+0.206715247170575i</v>
      </c>
      <c r="T196" s="67">
        <f t="shared" si="171"/>
        <v>1.021142102458219</v>
      </c>
      <c r="U196" s="67">
        <f t="shared" si="172"/>
        <v>0.20384411116263298</v>
      </c>
      <c r="V196" t="str">
        <f t="shared" si="160"/>
        <v>1-0.0213530035538836i</v>
      </c>
      <c r="W196" s="67">
        <f t="shared" si="173"/>
        <v>1.0002279493999215</v>
      </c>
      <c r="X196" s="67">
        <f t="shared" si="174"/>
        <v>-2.1349759135342702E-2</v>
      </c>
      <c r="Y196" t="str">
        <f t="shared" si="161"/>
        <v>0.999914064365735+0.0330060975100947i</v>
      </c>
      <c r="Z196" s="67">
        <f t="shared" si="175"/>
        <v>1.0004586641082425</v>
      </c>
      <c r="AA196" s="67">
        <f t="shared" si="176"/>
        <v>3.2996953253444684E-2</v>
      </c>
      <c r="AB196" s="92" t="str">
        <f t="shared" si="177"/>
        <v>0.146236391251829-0.914349483682745i</v>
      </c>
      <c r="AC196" s="37">
        <f t="shared" si="178"/>
        <v>-0.66806359832511975</v>
      </c>
      <c r="AD196" s="60">
        <f t="shared" si="179"/>
        <v>-80.913360089294258</v>
      </c>
      <c r="AE196" t="str">
        <f t="shared" si="180"/>
        <v>118.329284003155</v>
      </c>
      <c r="AF196" t="str">
        <f t="shared" si="162"/>
        <v>1+87.9639349662022i</v>
      </c>
      <c r="AG196">
        <f t="shared" si="181"/>
        <v>87.969618930277576</v>
      </c>
      <c r="AH196">
        <f t="shared" si="182"/>
        <v>1.5594285210646952</v>
      </c>
      <c r="AI196" t="str">
        <f t="shared" si="163"/>
        <v>1+0.206715247170575i</v>
      </c>
      <c r="AJ196">
        <f t="shared" si="183"/>
        <v>1.021142102458219</v>
      </c>
      <c r="AK196">
        <f t="shared" si="184"/>
        <v>0.20384411116263298</v>
      </c>
      <c r="AL196" t="str">
        <f t="shared" si="164"/>
        <v>1-0.0143975009824303i</v>
      </c>
      <c r="AM196">
        <f t="shared" si="185"/>
        <v>1.000103638646785</v>
      </c>
      <c r="AN196">
        <f t="shared" si="186"/>
        <v>-1.4396506296245655E-2</v>
      </c>
      <c r="AO196" s="58" t="str">
        <f t="shared" si="187"/>
        <v>0.274009024585471-1.34609081124516i</v>
      </c>
      <c r="AP196">
        <f t="shared" si="188"/>
        <v>2.7578143236917518</v>
      </c>
      <c r="AQ196" s="60">
        <f t="shared" si="189"/>
        <v>-78.49412451162874</v>
      </c>
      <c r="AR196" t="str">
        <f t="shared" si="165"/>
        <v>-1.94444444444444</v>
      </c>
      <c r="AS196" t="str">
        <f t="shared" si="166"/>
        <v>1+0.212015638123666i</v>
      </c>
      <c r="AT196">
        <f t="shared" si="190"/>
        <v>1.0222282674671961</v>
      </c>
      <c r="AU196">
        <f t="shared" si="191"/>
        <v>0.20892191244877445</v>
      </c>
      <c r="AV196" t="str">
        <f t="shared" si="167"/>
        <v>1+0.212015638123666i</v>
      </c>
      <c r="AW196">
        <f t="shared" si="192"/>
        <v>1.0222282674671961</v>
      </c>
      <c r="AX196">
        <f t="shared" si="193"/>
        <v>0.20892191244877445</v>
      </c>
      <c r="AY196" t="str">
        <f t="shared" si="168"/>
        <v>1-0.010035389810383i</v>
      </c>
      <c r="AZ196">
        <f t="shared" si="194"/>
        <v>1.0000503532565979</v>
      </c>
      <c r="BA196">
        <f t="shared" si="195"/>
        <v>-1.0035052945884415E-2</v>
      </c>
      <c r="BB196" s="58" t="str">
        <f t="shared" si="196"/>
        <v>-1.85684114770383+0.413192618789341i</v>
      </c>
      <c r="BC196">
        <f t="shared" si="197"/>
        <v>5.5853904119402014</v>
      </c>
      <c r="BD196" s="60">
        <f t="shared" si="198"/>
        <v>167.45468998789403</v>
      </c>
      <c r="BE196" s="58" t="str">
        <f t="shared" si="199"/>
        <v>0.106264709083443+1.75822554214752i</v>
      </c>
      <c r="BF196" s="37">
        <f t="shared" si="200"/>
        <v>4.9173268136150874</v>
      </c>
      <c r="BG196" s="60">
        <f t="shared" si="201"/>
        <v>86.541329898599784</v>
      </c>
      <c r="BH196" s="58" t="str">
        <f t="shared" si="202"/>
        <v>0.0474035557341632+2.61269531330643i</v>
      </c>
      <c r="BI196" s="37">
        <f t="shared" si="203"/>
        <v>8.3432047356319678</v>
      </c>
      <c r="BJ196" s="60">
        <f t="shared" si="204"/>
        <v>88.960565476265316</v>
      </c>
      <c r="BK196">
        <f t="shared" si="205"/>
        <v>4.9173268136150874</v>
      </c>
      <c r="BL196" s="60">
        <f t="shared" si="206"/>
        <v>86.541329898599784</v>
      </c>
      <c r="BN196">
        <f t="shared" si="207"/>
        <v>0</v>
      </c>
      <c r="BO196">
        <f t="shared" si="208"/>
        <v>0</v>
      </c>
    </row>
    <row r="197" spans="13:67" ht="14.25" x14ac:dyDescent="0.2">
      <c r="M197" s="66">
        <v>79</v>
      </c>
      <c r="N197" s="36">
        <f t="shared" si="209"/>
        <v>616.59500186148273</v>
      </c>
      <c r="O197" s="91" t="str">
        <f t="shared" si="157"/>
        <v>99.7340425531915</v>
      </c>
      <c r="P197" s="67" t="str">
        <f t="shared" si="158"/>
        <v>1+112.516097780444i</v>
      </c>
      <c r="Q197" s="67">
        <f t="shared" si="169"/>
        <v>112.52054150126737</v>
      </c>
      <c r="R197" s="67">
        <f t="shared" si="170"/>
        <v>1.5619089436465206</v>
      </c>
      <c r="S197" s="67" t="str">
        <f t="shared" si="159"/>
        <v>1+0.211530263827234i</v>
      </c>
      <c r="T197" s="67">
        <f t="shared" si="171"/>
        <v>1.0221277085153397</v>
      </c>
      <c r="U197" s="67">
        <f t="shared" si="172"/>
        <v>0.20845737177894269</v>
      </c>
      <c r="V197" t="str">
        <f t="shared" si="160"/>
        <v>1-0.0218503789008351i</v>
      </c>
      <c r="W197" s="67">
        <f t="shared" si="173"/>
        <v>1.0002386910423482</v>
      </c>
      <c r="X197" s="67">
        <f t="shared" si="174"/>
        <v>-2.184690248853853E-2</v>
      </c>
      <c r="Y197" t="str">
        <f t="shared" si="161"/>
        <v>0.999910014344066+0.0337749082846152i</v>
      </c>
      <c r="Z197" s="67">
        <f t="shared" si="175"/>
        <v>1.000480275275422</v>
      </c>
      <c r="AA197" s="67">
        <f t="shared" si="176"/>
        <v>3.3765110288641827E-2</v>
      </c>
      <c r="AB197" s="92" t="str">
        <f t="shared" si="177"/>
        <v>0.14585282480998-0.893937032061361i</v>
      </c>
      <c r="AC197" s="37">
        <f t="shared" si="178"/>
        <v>-0.85976220265291348</v>
      </c>
      <c r="AD197" s="60">
        <f t="shared" si="179"/>
        <v>-80.73339646571948</v>
      </c>
      <c r="AE197" t="str">
        <f t="shared" si="180"/>
        <v>118.329284003155</v>
      </c>
      <c r="AF197" t="str">
        <f t="shared" si="162"/>
        <v>1+90.0128782243548i</v>
      </c>
      <c r="AG197">
        <f t="shared" si="181"/>
        <v>90.018432813688364</v>
      </c>
      <c r="AH197">
        <f t="shared" si="182"/>
        <v>1.5596872623778573</v>
      </c>
      <c r="AI197" t="str">
        <f t="shared" si="163"/>
        <v>1+0.211530263827234i</v>
      </c>
      <c r="AJ197">
        <f t="shared" si="183"/>
        <v>1.0221277085153397</v>
      </c>
      <c r="AK197">
        <f t="shared" si="184"/>
        <v>0.20845737177894269</v>
      </c>
      <c r="AL197" t="str">
        <f t="shared" si="164"/>
        <v>1-0.0147328618616762i</v>
      </c>
      <c r="AM197">
        <f t="shared" si="185"/>
        <v>1.0001085227207271</v>
      </c>
      <c r="AN197">
        <f t="shared" si="186"/>
        <v>-1.4731796042472932E-2</v>
      </c>
      <c r="AO197" s="58" t="str">
        <f t="shared" si="187"/>
        <v>0.273322420217923-1.31564205879634i</v>
      </c>
      <c r="AP197">
        <f t="shared" si="188"/>
        <v>2.5662615748189141</v>
      </c>
      <c r="AQ197" s="60">
        <f t="shared" si="189"/>
        <v>-78.263839621123068</v>
      </c>
      <c r="AR197" t="str">
        <f t="shared" si="165"/>
        <v>-1.94444444444444</v>
      </c>
      <c r="AS197" t="str">
        <f t="shared" si="166"/>
        <v>1+0.21695411674588i</v>
      </c>
      <c r="AT197">
        <f t="shared" si="190"/>
        <v>1.0232639389585587</v>
      </c>
      <c r="AU197">
        <f t="shared" si="191"/>
        <v>0.21364318677988589</v>
      </c>
      <c r="AV197" t="str">
        <f t="shared" si="167"/>
        <v>1+0.21695411674588i</v>
      </c>
      <c r="AW197">
        <f t="shared" si="192"/>
        <v>1.0232639389585587</v>
      </c>
      <c r="AX197">
        <f t="shared" si="193"/>
        <v>0.21364318677988589</v>
      </c>
      <c r="AY197" t="str">
        <f t="shared" si="168"/>
        <v>1-0.0098069564495069i</v>
      </c>
      <c r="AZ197">
        <f t="shared" si="194"/>
        <v>1.0000480870412194</v>
      </c>
      <c r="BA197">
        <f t="shared" si="195"/>
        <v>-9.8066420684098932E-3</v>
      </c>
      <c r="BB197" s="58" t="str">
        <f t="shared" si="196"/>
        <v>-1.8530843374232+0.421103357666426i</v>
      </c>
      <c r="BC197">
        <f t="shared" si="197"/>
        <v>5.5765750668042315</v>
      </c>
      <c r="BD197" s="60">
        <f t="shared" si="198"/>
        <v>167.19726787407208</v>
      </c>
      <c r="BE197" s="58" t="str">
        <f t="shared" si="199"/>
        <v>0.106162300519095+1.7179598270081i</v>
      </c>
      <c r="BF197" s="37">
        <f t="shared" si="200"/>
        <v>4.7168128641512936</v>
      </c>
      <c r="BG197" s="60">
        <f t="shared" si="201"/>
        <v>86.463871408352603</v>
      </c>
      <c r="BH197" s="58" t="str">
        <f t="shared" si="202"/>
        <v>0.0475317924738728+2.55309268168999i</v>
      </c>
      <c r="BI197" s="37">
        <f t="shared" si="203"/>
        <v>8.1428366416231395</v>
      </c>
      <c r="BJ197" s="60">
        <f t="shared" si="204"/>
        <v>88.933428252949028</v>
      </c>
      <c r="BK197">
        <f t="shared" si="205"/>
        <v>4.7168128641512936</v>
      </c>
      <c r="BL197" s="60">
        <f t="shared" si="206"/>
        <v>86.463871408352603</v>
      </c>
      <c r="BN197">
        <f t="shared" si="207"/>
        <v>0</v>
      </c>
      <c r="BO197">
        <f t="shared" si="208"/>
        <v>0</v>
      </c>
    </row>
    <row r="198" spans="13:67" ht="14.25" x14ac:dyDescent="0.2">
      <c r="M198" s="66">
        <v>80</v>
      </c>
      <c r="N198" s="36">
        <f t="shared" si="209"/>
        <v>630.95734448019323</v>
      </c>
      <c r="O198" s="91" t="str">
        <f t="shared" si="157"/>
        <v>99.7340425531915</v>
      </c>
      <c r="P198" s="67" t="str">
        <f t="shared" si="158"/>
        <v>1+115.136934377504i</v>
      </c>
      <c r="Q198" s="67">
        <f t="shared" si="169"/>
        <v>115.14127695075152</v>
      </c>
      <c r="R198" s="67">
        <f t="shared" si="170"/>
        <v>1.5621112348939103</v>
      </c>
      <c r="S198" s="67" t="str">
        <f t="shared" si="159"/>
        <v>1+0.216457436629707i</v>
      </c>
      <c r="T198" s="67">
        <f t="shared" si="171"/>
        <v>1.0231587471513419</v>
      </c>
      <c r="U198" s="67">
        <f t="shared" si="172"/>
        <v>0.21316878522966373</v>
      </c>
      <c r="V198" t="str">
        <f t="shared" si="160"/>
        <v>1-0.0223593396079038i</v>
      </c>
      <c r="W198" s="67">
        <f t="shared" si="173"/>
        <v>1.000249938799149</v>
      </c>
      <c r="X198" s="67">
        <f t="shared" si="174"/>
        <v>-2.2355614615284698E-2</v>
      </c>
      <c r="Y198" t="str">
        <f t="shared" si="161"/>
        <v>0.999905773450757+0.0345616269625718i</v>
      </c>
      <c r="Z198" s="67">
        <f t="shared" si="175"/>
        <v>1.0005029044627791</v>
      </c>
      <c r="AA198" s="67">
        <f t="shared" si="176"/>
        <v>3.4551128502970013E-2</v>
      </c>
      <c r="AB198" s="92" t="str">
        <f t="shared" si="177"/>
        <v>0.145485335071728-0.873998223507544i</v>
      </c>
      <c r="AC198" s="37">
        <f t="shared" si="178"/>
        <v>-1.051088351925316</v>
      </c>
      <c r="AD198" s="60">
        <f t="shared" si="179"/>
        <v>-80.549225378310993</v>
      </c>
      <c r="AE198" t="str">
        <f t="shared" si="180"/>
        <v>118.329284003155</v>
      </c>
      <c r="AF198" t="str">
        <f t="shared" si="162"/>
        <v>1+92.1095475020031i</v>
      </c>
      <c r="AG198">
        <f t="shared" si="181"/>
        <v>92.114975660984484</v>
      </c>
      <c r="AH198">
        <f t="shared" si="182"/>
        <v>1.559940115457036</v>
      </c>
      <c r="AI198" t="str">
        <f t="shared" si="163"/>
        <v>1+0.216457436629707i</v>
      </c>
      <c r="AJ198">
        <f t="shared" si="183"/>
        <v>1.0231587471513419</v>
      </c>
      <c r="AK198">
        <f t="shared" si="184"/>
        <v>0.21316878522966373</v>
      </c>
      <c r="AL198" t="str">
        <f t="shared" si="164"/>
        <v>1-0.0150760342992936i</v>
      </c>
      <c r="AM198">
        <f t="shared" si="185"/>
        <v>1.0001136369484187</v>
      </c>
      <c r="AN198">
        <f t="shared" si="186"/>
        <v>-1.5074892260449691E-2</v>
      </c>
      <c r="AO198" s="58" t="str">
        <f t="shared" si="187"/>
        <v>0.272666710681911-1.28589019046133i</v>
      </c>
      <c r="AP198">
        <f t="shared" si="188"/>
        <v>2.3750873104827681</v>
      </c>
      <c r="AQ198" s="60">
        <f t="shared" si="189"/>
        <v>-78.028040894386251</v>
      </c>
      <c r="AR198" t="str">
        <f t="shared" si="165"/>
        <v>-1.94444444444444</v>
      </c>
      <c r="AS198" t="str">
        <f t="shared" si="166"/>
        <v>1+0.222007627312519i</v>
      </c>
      <c r="AT198">
        <f t="shared" si="190"/>
        <v>1.0243472978364976</v>
      </c>
      <c r="AU198">
        <f t="shared" si="191"/>
        <v>0.21846444025759848</v>
      </c>
      <c r="AV198" t="str">
        <f t="shared" si="167"/>
        <v>1+0.222007627312519i</v>
      </c>
      <c r="AW198">
        <f t="shared" si="192"/>
        <v>1.0243472978364976</v>
      </c>
      <c r="AX198">
        <f t="shared" si="193"/>
        <v>0.21846444025759848</v>
      </c>
      <c r="AY198" t="str">
        <f t="shared" si="168"/>
        <v>1-0.0095837228667508i</v>
      </c>
      <c r="AZ198">
        <f t="shared" si="194"/>
        <v>1.0000459228175407</v>
      </c>
      <c r="BA198">
        <f t="shared" si="195"/>
        <v>-9.5834294684779778E-3</v>
      </c>
      <c r="BB198" s="58" t="str">
        <f t="shared" si="196"/>
        <v>-1.84916673297696+0.429164135578806i</v>
      </c>
      <c r="BC198">
        <f t="shared" si="197"/>
        <v>5.5673651336223742</v>
      </c>
      <c r="BD198" s="60">
        <f t="shared" si="198"/>
        <v>166.93381953774659</v>
      </c>
      <c r="BE198" s="58" t="str">
        <f t="shared" si="199"/>
        <v>0.106062050338382+1.67860552765656i</v>
      </c>
      <c r="BF198" s="37">
        <f t="shared" si="200"/>
        <v>4.5162767816970426</v>
      </c>
      <c r="BG198" s="60">
        <f t="shared" si="201"/>
        <v>86.384594159435593</v>
      </c>
      <c r="BH198" s="58" t="str">
        <f t="shared" si="202"/>
        <v>0.0476517414553596+2.49484413565342i</v>
      </c>
      <c r="BI198" s="37">
        <f t="shared" si="203"/>
        <v>7.9424524441051538</v>
      </c>
      <c r="BJ198" s="60">
        <f t="shared" si="204"/>
        <v>88.905778643360364</v>
      </c>
      <c r="BK198">
        <f t="shared" si="205"/>
        <v>4.5162767816970426</v>
      </c>
      <c r="BL198" s="60">
        <f t="shared" si="206"/>
        <v>86.384594159435593</v>
      </c>
      <c r="BN198">
        <f t="shared" si="207"/>
        <v>0</v>
      </c>
      <c r="BO198">
        <f t="shared" si="208"/>
        <v>0</v>
      </c>
    </row>
    <row r="199" spans="13:67" ht="14.25" x14ac:dyDescent="0.2">
      <c r="M199" s="66">
        <v>81</v>
      </c>
      <c r="N199" s="36">
        <f t="shared" si="209"/>
        <v>645.65422903465594</v>
      </c>
      <c r="O199" s="91" t="str">
        <f t="shared" si="157"/>
        <v>99.7340425531915</v>
      </c>
      <c r="P199" s="67" t="str">
        <f t="shared" si="158"/>
        <v>1+117.818818101189i</v>
      </c>
      <c r="Q199" s="67">
        <f t="shared" si="169"/>
        <v>117.82306182900298</v>
      </c>
      <c r="R199" s="67">
        <f t="shared" si="170"/>
        <v>1.5623089221172064</v>
      </c>
      <c r="S199" s="67" t="str">
        <f t="shared" si="159"/>
        <v>1+0.221499378030235i</v>
      </c>
      <c r="T199" s="67">
        <f t="shared" si="171"/>
        <v>1.0242372647330211</v>
      </c>
      <c r="U199" s="67">
        <f t="shared" si="172"/>
        <v>0.21798001253118779</v>
      </c>
      <c r="V199" t="str">
        <f t="shared" si="160"/>
        <v>1-0.0228801555327935i</v>
      </c>
      <c r="W199" s="67">
        <f t="shared" si="173"/>
        <v>1.0002617165108365</v>
      </c>
      <c r="X199" s="67">
        <f t="shared" si="174"/>
        <v>-2.2876164187691877E-2</v>
      </c>
      <c r="Y199" t="str">
        <f t="shared" si="161"/>
        <v>0.999901332690303+0.0353666706726213i</v>
      </c>
      <c r="Z199" s="67">
        <f t="shared" si="175"/>
        <v>1.0005265996015846</v>
      </c>
      <c r="AA199" s="67">
        <f t="shared" si="176"/>
        <v>3.5355421687136367E-2</v>
      </c>
      <c r="AB199" s="92" t="str">
        <f t="shared" si="177"/>
        <v>0.145133143057827-0.854522503316045i</v>
      </c>
      <c r="AC199" s="37">
        <f t="shared" si="178"/>
        <v>-1.2420260174195896</v>
      </c>
      <c r="AD199" s="60">
        <f t="shared" si="179"/>
        <v>-80.360796901684182</v>
      </c>
      <c r="AE199" t="str">
        <f t="shared" si="180"/>
        <v>118.329284003155</v>
      </c>
      <c r="AF199" t="str">
        <f t="shared" si="162"/>
        <v>1+94.2550544809509i</v>
      </c>
      <c r="AG199">
        <f t="shared" si="181"/>
        <v>94.260359086983229</v>
      </c>
      <c r="AH199">
        <f t="shared" si="182"/>
        <v>1.560187214238878</v>
      </c>
      <c r="AI199" t="str">
        <f t="shared" si="163"/>
        <v>1+0.221499378030235i</v>
      </c>
      <c r="AJ199">
        <f t="shared" si="183"/>
        <v>1.0242372647330211</v>
      </c>
      <c r="AK199">
        <f t="shared" si="184"/>
        <v>0.21798001253118779</v>
      </c>
      <c r="AL199" t="str">
        <f t="shared" si="164"/>
        <v>1-0.0154272002498515i</v>
      </c>
      <c r="AM199">
        <f t="shared" si="185"/>
        <v>1.0001189921742057</v>
      </c>
      <c r="AN199">
        <f t="shared" si="186"/>
        <v>-1.5425976541046226E-2</v>
      </c>
      <c r="AO199" s="58" t="str">
        <f t="shared" si="187"/>
        <v>0.272040506136851-1.25681947723071i</v>
      </c>
      <c r="AP199">
        <f t="shared" si="188"/>
        <v>2.1843078805979848</v>
      </c>
      <c r="AQ199" s="60">
        <f t="shared" si="189"/>
        <v>-77.786651240584803</v>
      </c>
      <c r="AR199" t="str">
        <f t="shared" si="165"/>
        <v>-1.94444444444444</v>
      </c>
      <c r="AS199" t="str">
        <f t="shared" si="166"/>
        <v>1+0.227178849261778i</v>
      </c>
      <c r="AT199">
        <f t="shared" si="190"/>
        <v>1.0254804871629228</v>
      </c>
      <c r="AU199">
        <f t="shared" si="191"/>
        <v>0.22338733222310556</v>
      </c>
      <c r="AV199" t="str">
        <f t="shared" si="167"/>
        <v>1+0.227178849261778i</v>
      </c>
      <c r="AW199">
        <f t="shared" si="192"/>
        <v>1.0254804871629228</v>
      </c>
      <c r="AX199">
        <f t="shared" si="193"/>
        <v>0.22338733222310556</v>
      </c>
      <c r="AY199" t="str">
        <f t="shared" si="168"/>
        <v>1-0.00936557070071421i</v>
      </c>
      <c r="AZ199">
        <f t="shared" si="194"/>
        <v>1.0000438559956009</v>
      </c>
      <c r="BA199">
        <f t="shared" si="195"/>
        <v>-9.3652968848351587E-3</v>
      </c>
      <c r="BB199" s="58" t="str">
        <f t="shared" si="196"/>
        <v>-1.84508221209675+0.43737448565557i</v>
      </c>
      <c r="BC199">
        <f t="shared" si="197"/>
        <v>5.5577436843246115</v>
      </c>
      <c r="BD199" s="60">
        <f t="shared" si="198"/>
        <v>166.66425668154122</v>
      </c>
      <c r="BE199" s="58" t="str">
        <f t="shared" si="199"/>
        <v>0.105963759727276+1.64014180450131i</v>
      </c>
      <c r="BF199" s="37">
        <f t="shared" si="200"/>
        <v>4.3157176669050008</v>
      </c>
      <c r="BG199" s="60">
        <f t="shared" si="201"/>
        <v>86.303459779857036</v>
      </c>
      <c r="BH199" s="58" t="str">
        <f t="shared" si="202"/>
        <v>0.0477636735727837+2.43791883770421i</v>
      </c>
      <c r="BI199" s="37">
        <f t="shared" si="203"/>
        <v>7.7420515649226118</v>
      </c>
      <c r="BJ199" s="60">
        <f t="shared" si="204"/>
        <v>88.877605440956444</v>
      </c>
      <c r="BK199">
        <f t="shared" si="205"/>
        <v>4.3157176669050008</v>
      </c>
      <c r="BL199" s="60">
        <f t="shared" si="206"/>
        <v>86.303459779857036</v>
      </c>
      <c r="BN199">
        <f t="shared" si="207"/>
        <v>0</v>
      </c>
      <c r="BO199">
        <f t="shared" si="208"/>
        <v>0</v>
      </c>
    </row>
    <row r="200" spans="13:67" ht="14.25" x14ac:dyDescent="0.2">
      <c r="M200" s="66">
        <v>82</v>
      </c>
      <c r="N200" s="36">
        <f t="shared" si="209"/>
        <v>660.69344800759643</v>
      </c>
      <c r="O200" s="91" t="str">
        <f t="shared" si="157"/>
        <v>99.7340425531915</v>
      </c>
      <c r="P200" s="67" t="str">
        <f t="shared" si="158"/>
        <v>1+120.563170921747i</v>
      </c>
      <c r="Q200" s="67">
        <f t="shared" si="169"/>
        <v>120.56731805388382</v>
      </c>
      <c r="R200" s="67">
        <f t="shared" si="170"/>
        <v>1.5625021100709504</v>
      </c>
      <c r="S200" s="67" t="str">
        <f t="shared" si="159"/>
        <v>1+0.226658761332885i</v>
      </c>
      <c r="T200" s="67">
        <f t="shared" si="171"/>
        <v>1.0253653954025159</v>
      </c>
      <c r="U200" s="67">
        <f t="shared" si="172"/>
        <v>0.22289271329247662</v>
      </c>
      <c r="V200" t="str">
        <f t="shared" si="160"/>
        <v>1-0.0234131028190013i</v>
      </c>
      <c r="W200" s="67">
        <f t="shared" si="173"/>
        <v>1.000274049140341</v>
      </c>
      <c r="X200" s="67">
        <f t="shared" si="174"/>
        <v>-2.3408826078952512E-2</v>
      </c>
      <c r="Y200" t="str">
        <f t="shared" si="161"/>
        <v>0.999896682643257+0.0361904662595947i</v>
      </c>
      <c r="Z200" s="67">
        <f t="shared" si="175"/>
        <v>1.0005514108775608</v>
      </c>
      <c r="AA200" s="67">
        <f t="shared" si="176"/>
        <v>3.617841310975007E-2</v>
      </c>
      <c r="AB200" s="92" t="str">
        <f t="shared" si="177"/>
        <v>0.144795502223074-0.835499560805224i</v>
      </c>
      <c r="AC200" s="37">
        <f t="shared" si="178"/>
        <v>-1.4325585607971716</v>
      </c>
      <c r="AD200" s="60">
        <f t="shared" si="179"/>
        <v>-80.168061949821791</v>
      </c>
      <c r="AE200" t="str">
        <f t="shared" si="180"/>
        <v>118.329284003155</v>
      </c>
      <c r="AF200" t="str">
        <f t="shared" si="162"/>
        <v>1+96.4505367373979i</v>
      </c>
      <c r="AG200">
        <f t="shared" si="181"/>
        <v>96.455720602420172</v>
      </c>
      <c r="AH200">
        <f t="shared" si="182"/>
        <v>1.5604286896176605</v>
      </c>
      <c r="AI200" t="str">
        <f t="shared" si="163"/>
        <v>1+0.226658761332885i</v>
      </c>
      <c r="AJ200">
        <f t="shared" si="183"/>
        <v>1.0253653954025159</v>
      </c>
      <c r="AK200">
        <f t="shared" si="184"/>
        <v>0.22289271329247662</v>
      </c>
      <c r="AL200" t="str">
        <f t="shared" si="164"/>
        <v>1-0.0157865459061849i</v>
      </c>
      <c r="AM200">
        <f t="shared" si="185"/>
        <v>1.0001245997532748</v>
      </c>
      <c r="AN200">
        <f t="shared" si="186"/>
        <v>-1.5785234687398703E-2</v>
      </c>
      <c r="AO200" s="58" t="str">
        <f t="shared" si="187"/>
        <v>0.271442479237589-1.22841454819498i</v>
      </c>
      <c r="AP200">
        <f t="shared" si="188"/>
        <v>1.9939402580729604</v>
      </c>
      <c r="AQ200" s="60">
        <f t="shared" si="189"/>
        <v>-77.539593716554464</v>
      </c>
      <c r="AR200" t="str">
        <f t="shared" si="165"/>
        <v>-1.94444444444444</v>
      </c>
      <c r="AS200" t="str">
        <f t="shared" si="166"/>
        <v>1+0.232470524443984i</v>
      </c>
      <c r="AT200">
        <f t="shared" si="190"/>
        <v>1.0266657414832059</v>
      </c>
      <c r="AU200">
        <f t="shared" si="191"/>
        <v>0.2284135179813167</v>
      </c>
      <c r="AV200" t="str">
        <f t="shared" si="167"/>
        <v>1+0.232470524443984i</v>
      </c>
      <c r="AW200">
        <f t="shared" si="192"/>
        <v>1.0266657414832059</v>
      </c>
      <c r="AX200">
        <f t="shared" si="193"/>
        <v>0.2284135179813167</v>
      </c>
      <c r="AY200" t="str">
        <f t="shared" si="168"/>
        <v>1-0.00915238428423111i</v>
      </c>
      <c r="AZ200">
        <f t="shared" si="194"/>
        <v>1.0000418821919841</v>
      </c>
      <c r="BA200">
        <f t="shared" si="195"/>
        <v>-9.1521287437791119E-3</v>
      </c>
      <c r="BB200" s="58" t="str">
        <f t="shared" si="196"/>
        <v>-1.84082448881846+0.44573373709985i</v>
      </c>
      <c r="BC200">
        <f t="shared" si="197"/>
        <v>5.5476931531198925</v>
      </c>
      <c r="BD200" s="60">
        <f t="shared" si="198"/>
        <v>166.38849108535609</v>
      </c>
      <c r="BE200" s="58" t="str">
        <f t="shared" si="199"/>
        <v>0.105867235219993+1.60254829224846i</v>
      </c>
      <c r="BF200" s="37">
        <f t="shared" si="200"/>
        <v>4.1151345923226943</v>
      </c>
      <c r="BG200" s="60">
        <f t="shared" si="201"/>
        <v>86.220429135534303</v>
      </c>
      <c r="BH200" s="58" t="str">
        <f t="shared" si="202"/>
        <v>0.0478678441886219+2.3822866534164i</v>
      </c>
      <c r="BI200" s="37">
        <f t="shared" si="203"/>
        <v>7.5416334111928425</v>
      </c>
      <c r="BJ200" s="60">
        <f t="shared" si="204"/>
        <v>88.848897368801644</v>
      </c>
      <c r="BK200">
        <f t="shared" si="205"/>
        <v>4.1151345923226943</v>
      </c>
      <c r="BL200" s="60">
        <f t="shared" si="206"/>
        <v>86.220429135534303</v>
      </c>
      <c r="BN200">
        <f t="shared" si="207"/>
        <v>0</v>
      </c>
      <c r="BO200">
        <f t="shared" si="208"/>
        <v>0</v>
      </c>
    </row>
    <row r="201" spans="13:67" ht="14.25" x14ac:dyDescent="0.2">
      <c r="M201" s="66">
        <v>83</v>
      </c>
      <c r="N201" s="36">
        <f t="shared" si="209"/>
        <v>676.08297539198213</v>
      </c>
      <c r="O201" s="91" t="str">
        <f t="shared" si="157"/>
        <v>99.7340425531915</v>
      </c>
      <c r="P201" s="67" t="str">
        <f t="shared" si="158"/>
        <v>1+123.371447931371i</v>
      </c>
      <c r="Q201" s="67">
        <f t="shared" si="169"/>
        <v>123.37550066639238</v>
      </c>
      <c r="R201" s="67">
        <f t="shared" si="170"/>
        <v>1.5626909011282388</v>
      </c>
      <c r="S201" s="67" t="str">
        <f t="shared" si="159"/>
        <v>1+0.231938322110977i</v>
      </c>
      <c r="T201" s="67">
        <f t="shared" si="171"/>
        <v>1.0265453644450668</v>
      </c>
      <c r="U201" s="67">
        <f t="shared" si="172"/>
        <v>0.22790854333245031</v>
      </c>
      <c r="V201" t="str">
        <f t="shared" si="160"/>
        <v>1-0.0239584640422328i</v>
      </c>
      <c r="W201" s="67">
        <f t="shared" si="173"/>
        <v>1.0002869628257998</v>
      </c>
      <c r="X201" s="67">
        <f t="shared" si="174"/>
        <v>-2.3953881503707457E-2</v>
      </c>
      <c r="Y201" t="str">
        <f t="shared" si="161"/>
        <v>0.999891813446245+0.0370334505108163i</v>
      </c>
      <c r="Z201" s="67">
        <f t="shared" si="175"/>
        <v>1.0005773908366895</v>
      </c>
      <c r="AA201" s="67">
        <f t="shared" si="176"/>
        <v>3.7020535726656152E-2</v>
      </c>
      <c r="AB201" s="92" t="str">
        <f t="shared" si="177"/>
        <v>0.144471696877035-0.816919323924713i</v>
      </c>
      <c r="AC201" s="37">
        <f t="shared" si="178"/>
        <v>-1.6226687175208774</v>
      </c>
      <c r="AD201" s="60">
        <f t="shared" si="179"/>
        <v>-79.970972435789207</v>
      </c>
      <c r="AE201" t="str">
        <f t="shared" si="180"/>
        <v>118.329284003155</v>
      </c>
      <c r="AF201" t="str">
        <f t="shared" si="162"/>
        <v>1+98.6971583450967i</v>
      </c>
      <c r="AG201">
        <f t="shared" si="181"/>
        <v>98.702224217071674</v>
      </c>
      <c r="AH201">
        <f t="shared" si="182"/>
        <v>1.5606646695141164</v>
      </c>
      <c r="AI201" t="str">
        <f t="shared" si="163"/>
        <v>1+0.231938322110977i</v>
      </c>
      <c r="AJ201">
        <f t="shared" si="183"/>
        <v>1.0265453644450668</v>
      </c>
      <c r="AK201">
        <f t="shared" si="184"/>
        <v>0.22790854333245031</v>
      </c>
      <c r="AL201" t="str">
        <f t="shared" si="164"/>
        <v>1-0.0161542617981175i</v>
      </c>
      <c r="AM201">
        <f t="shared" si="185"/>
        <v>1.0001304715757049</v>
      </c>
      <c r="AN201">
        <f t="shared" si="186"/>
        <v>-1.6152856811773697E-2</v>
      </c>
      <c r="AO201" s="58" t="str">
        <f t="shared" si="187"/>
        <v>0.270871362326727-1.20066038259878i</v>
      </c>
      <c r="AP201">
        <f t="shared" si="188"/>
        <v>1.8040020560943724</v>
      </c>
      <c r="AQ201" s="60">
        <f t="shared" si="189"/>
        <v>-77.286791672808292</v>
      </c>
      <c r="AR201" t="str">
        <f t="shared" si="165"/>
        <v>-1.94444444444444</v>
      </c>
      <c r="AS201" t="str">
        <f t="shared" si="166"/>
        <v>1+0.23788545857536i</v>
      </c>
      <c r="AT201">
        <f t="shared" si="190"/>
        <v>1.027905390296991</v>
      </c>
      <c r="AU201">
        <f t="shared" si="191"/>
        <v>0.23354464623340079</v>
      </c>
      <c r="AV201" t="str">
        <f t="shared" si="167"/>
        <v>1+0.23788545857536i</v>
      </c>
      <c r="AW201">
        <f t="shared" si="192"/>
        <v>1.027905390296991</v>
      </c>
      <c r="AX201">
        <f t="shared" si="193"/>
        <v>0.23354464623340079</v>
      </c>
      <c r="AY201" t="str">
        <f t="shared" si="168"/>
        <v>1-0.00894405058304165i</v>
      </c>
      <c r="AZ201">
        <f t="shared" si="194"/>
        <v>1.0000399972205272</v>
      </c>
      <c r="BA201">
        <f t="shared" si="195"/>
        <v>-8.9438120982763668E-3</v>
      </c>
      <c r="BB201" s="58" t="str">
        <f t="shared" si="196"/>
        <v>-1.83638711571066+0.454241000609739i</v>
      </c>
      <c r="BC201">
        <f t="shared" si="197"/>
        <v>5.5371953196509773</v>
      </c>
      <c r="BD201" s="60">
        <f t="shared" si="198"/>
        <v>166.10643475696097</v>
      </c>
      <c r="BE201" s="58" t="str">
        <f t="shared" si="199"/>
        <v>0.10577228838715+1.56580508917962i</v>
      </c>
      <c r="BF201" s="37">
        <f t="shared" si="200"/>
        <v>3.9145266021301142</v>
      </c>
      <c r="BG201" s="60">
        <f t="shared" si="201"/>
        <v>86.135462321171758</v>
      </c>
      <c r="BH201" s="58" t="str">
        <f t="shared" si="202"/>
        <v>0.0479644937923466+2.32791813560845i</v>
      </c>
      <c r="BI201" s="37">
        <f t="shared" si="203"/>
        <v>7.3411973757453612</v>
      </c>
      <c r="BJ201" s="60">
        <f t="shared" si="204"/>
        <v>88.819643084152673</v>
      </c>
      <c r="BK201">
        <f t="shared" si="205"/>
        <v>3.9145266021301142</v>
      </c>
      <c r="BL201" s="60">
        <f t="shared" si="206"/>
        <v>86.135462321171758</v>
      </c>
      <c r="BN201">
        <f t="shared" si="207"/>
        <v>0</v>
      </c>
      <c r="BO201">
        <f t="shared" si="208"/>
        <v>0</v>
      </c>
    </row>
    <row r="202" spans="13:67" ht="14.25" x14ac:dyDescent="0.2">
      <c r="M202" s="66">
        <v>84</v>
      </c>
      <c r="N202" s="36">
        <f t="shared" si="209"/>
        <v>691.83097091893671</v>
      </c>
      <c r="O202" s="91" t="str">
        <f t="shared" si="157"/>
        <v>99.7340425531915</v>
      </c>
      <c r="P202" s="67" t="str">
        <f t="shared" si="158"/>
        <v>1+126.245138115702i</v>
      </c>
      <c r="Q202" s="67">
        <f t="shared" si="169"/>
        <v>126.24909860213924</v>
      </c>
      <c r="R202" s="67">
        <f t="shared" si="170"/>
        <v>1.562875395334727</v>
      </c>
      <c r="S202" s="67" t="str">
        <f t="shared" si="159"/>
        <v>1+0.237340859657519i</v>
      </c>
      <c r="T202" s="67">
        <f t="shared" si="171"/>
        <v>1.0277794917505263</v>
      </c>
      <c r="U202" s="67">
        <f t="shared" si="172"/>
        <v>0.23302915212957878</v>
      </c>
      <c r="V202" t="str">
        <f t="shared" si="160"/>
        <v>1-0.0245165283602272i</v>
      </c>
      <c r="W202" s="67">
        <f t="shared" si="173"/>
        <v>1.0003004849358206</v>
      </c>
      <c r="X202" s="67">
        <f t="shared" si="174"/>
        <v>-2.4511618161391073E-2</v>
      </c>
      <c r="Y202" t="str">
        <f t="shared" si="161"/>
        <v>0.999886714771048+0.0378960703876944i</v>
      </c>
      <c r="Z202" s="67">
        <f t="shared" si="175"/>
        <v>1.0006045944959816</v>
      </c>
      <c r="AA202" s="67">
        <f t="shared" si="176"/>
        <v>3.7882232394332443E-2</v>
      </c>
      <c r="AB202" s="92" t="str">
        <f t="shared" si="177"/>
        <v>0.144161040670132-0.798771953982805i</v>
      </c>
      <c r="AC202" s="37">
        <f t="shared" si="178"/>
        <v>-1.8123385804799386</v>
      </c>
      <c r="AD202" s="60">
        <f t="shared" si="179"/>
        <v>-79.769481441395897</v>
      </c>
      <c r="AE202" t="str">
        <f t="shared" si="180"/>
        <v>118.329284003155</v>
      </c>
      <c r="AF202" t="str">
        <f t="shared" si="162"/>
        <v>1+100.996110492561i</v>
      </c>
      <c r="AG202">
        <f t="shared" si="181"/>
        <v>101.00106105692946</v>
      </c>
      <c r="AH202">
        <f t="shared" si="182"/>
        <v>1.5608952789427231</v>
      </c>
      <c r="AI202" t="str">
        <f t="shared" si="163"/>
        <v>1+0.237340859657519i</v>
      </c>
      <c r="AJ202">
        <f t="shared" si="183"/>
        <v>1.0277794917505263</v>
      </c>
      <c r="AK202">
        <f t="shared" si="184"/>
        <v>0.23302915212957878</v>
      </c>
      <c r="AL202" t="str">
        <f t="shared" si="164"/>
        <v>1-0.0165305428934823i</v>
      </c>
      <c r="AM202">
        <f t="shared" si="185"/>
        <v>1.0001366200916519</v>
      </c>
      <c r="AN202">
        <f t="shared" si="186"/>
        <v>-1.6529037434597993E-2</v>
      </c>
      <c r="AO202" s="58" t="str">
        <f t="shared" si="187"/>
        <v>0.270325944752855-1.17354230206694i</v>
      </c>
      <c r="AP202">
        <f t="shared" si="188"/>
        <v>1.6145115452310068</v>
      </c>
      <c r="AQ202" s="60">
        <f t="shared" si="189"/>
        <v>-77.028168909192757</v>
      </c>
      <c r="AR202" t="str">
        <f t="shared" si="165"/>
        <v>-1.94444444444444</v>
      </c>
      <c r="AS202" t="str">
        <f t="shared" si="166"/>
        <v>1+0.24342652272566i</v>
      </c>
      <c r="AT202">
        <f t="shared" si="190"/>
        <v>1.0292018616220562</v>
      </c>
      <c r="AU202">
        <f t="shared" si="191"/>
        <v>0.23878235633462319</v>
      </c>
      <c r="AV202" t="str">
        <f t="shared" si="167"/>
        <v>1+0.24342652272566i</v>
      </c>
      <c r="AW202">
        <f t="shared" si="192"/>
        <v>1.0292018616220562</v>
      </c>
      <c r="AX202">
        <f t="shared" si="193"/>
        <v>0.23878235633462319</v>
      </c>
      <c r="AY202" t="str">
        <f t="shared" si="168"/>
        <v>1-0.00874045913585982i</v>
      </c>
      <c r="AZ202">
        <f t="shared" si="194"/>
        <v>1.0000381970834442</v>
      </c>
      <c r="BA202">
        <f t="shared" si="195"/>
        <v>-8.7402365684461757E-3</v>
      </c>
      <c r="BB202" s="58" t="str">
        <f t="shared" si="196"/>
        <v>-1.83176348689509+0.462895153279319i</v>
      </c>
      <c r="BC202">
        <f t="shared" si="197"/>
        <v>5.5262312924222181</v>
      </c>
      <c r="BD202" s="60">
        <f t="shared" si="198"/>
        <v>165.81800009251927</v>
      </c>
      <c r="BE202" s="58" t="str">
        <f t="shared" si="199"/>
        <v>0.105678735541746+1.52989274667945i</v>
      </c>
      <c r="BF202" s="37">
        <f t="shared" si="200"/>
        <v>3.7138927119422571</v>
      </c>
      <c r="BG202" s="60">
        <f t="shared" si="201"/>
        <v>86.048518651123359</v>
      </c>
      <c r="BH202" s="58" t="str">
        <f t="shared" si="202"/>
        <v>0.0480538486363419+2.27478450888478i</v>
      </c>
      <c r="BI202" s="37">
        <f t="shared" si="203"/>
        <v>7.1407428376532325</v>
      </c>
      <c r="BJ202" s="60">
        <f t="shared" si="204"/>
        <v>88.789831183326541</v>
      </c>
      <c r="BK202">
        <f t="shared" si="205"/>
        <v>3.7138927119422571</v>
      </c>
      <c r="BL202" s="60">
        <f t="shared" si="206"/>
        <v>86.048518651123359</v>
      </c>
      <c r="BN202">
        <f t="shared" si="207"/>
        <v>0</v>
      </c>
      <c r="BO202">
        <f t="shared" si="208"/>
        <v>0</v>
      </c>
    </row>
    <row r="203" spans="13:67" ht="14.25" x14ac:dyDescent="0.2">
      <c r="M203" s="66">
        <v>85</v>
      </c>
      <c r="N203" s="36">
        <f t="shared" si="209"/>
        <v>707.94578438413873</v>
      </c>
      <c r="O203" s="91" t="str">
        <f t="shared" si="157"/>
        <v>99.7340425531915</v>
      </c>
      <c r="P203" s="67" t="str">
        <f t="shared" si="158"/>
        <v>1+129.185765143314i</v>
      </c>
      <c r="Q203" s="67">
        <f t="shared" si="169"/>
        <v>129.1896354808058</v>
      </c>
      <c r="R203" s="67">
        <f t="shared" si="170"/>
        <v>1.5630556904614177</v>
      </c>
      <c r="S203" s="67" t="str">
        <f t="shared" si="159"/>
        <v>1+0.24286923846943i</v>
      </c>
      <c r="T203" s="67">
        <f t="shared" si="171"/>
        <v>1.0290701953679937</v>
      </c>
      <c r="U203" s="67">
        <f t="shared" si="172"/>
        <v>0.23825618009738059</v>
      </c>
      <c r="V203" t="str">
        <f t="shared" si="160"/>
        <v>1-0.0250875916660729i</v>
      </c>
      <c r="W203" s="67">
        <f t="shared" si="173"/>
        <v>1.0003146441273383</v>
      </c>
      <c r="X203" s="67">
        <f t="shared" si="174"/>
        <v>-2.5082330382604753E-2</v>
      </c>
      <c r="Y203" t="str">
        <f t="shared" si="161"/>
        <v>0.999881375802692+0.038778783262706i</v>
      </c>
      <c r="Z203" s="67">
        <f t="shared" si="175"/>
        <v>1.0006330794594092</v>
      </c>
      <c r="AA203" s="67">
        <f t="shared" si="176"/>
        <v>3.8763956087387245E-2</v>
      </c>
      <c r="AB203" s="92" t="str">
        <f t="shared" si="177"/>
        <v>0.143862875141905-0.781047840491047i</v>
      </c>
      <c r="AC203" s="37">
        <f t="shared" si="178"/>
        <v>-2.0015495839016495</v>
      </c>
      <c r="AD203" s="60">
        <f t="shared" si="179"/>
        <v>-79.563543397171074</v>
      </c>
      <c r="AE203" t="str">
        <f t="shared" si="180"/>
        <v>118.329284003155</v>
      </c>
      <c r="AF203" t="str">
        <f t="shared" si="162"/>
        <v>1+103.348612114651i</v>
      </c>
      <c r="AG203">
        <f t="shared" si="181"/>
        <v>103.35344999575288</v>
      </c>
      <c r="AH203">
        <f t="shared" si="182"/>
        <v>1.5611206400774842</v>
      </c>
      <c r="AI203" t="str">
        <f t="shared" si="163"/>
        <v>1+0.24286923846943i</v>
      </c>
      <c r="AJ203">
        <f t="shared" si="183"/>
        <v>1.0290701953679937</v>
      </c>
      <c r="AK203">
        <f t="shared" si="184"/>
        <v>0.23825618009738059</v>
      </c>
      <c r="AL203" t="str">
        <f t="shared" si="164"/>
        <v>1-0.0169155887014969i</v>
      </c>
      <c r="AM203">
        <f t="shared" si="185"/>
        <v>1.0001430583377151</v>
      </c>
      <c r="AN203">
        <f t="shared" si="186"/>
        <v>-1.6913975585700791E-2</v>
      </c>
      <c r="AO203" s="58" t="str">
        <f t="shared" si="187"/>
        <v>0.269805070309075-1.1470459629995i</v>
      </c>
      <c r="AP203">
        <f t="shared" si="188"/>
        <v>1.4254876702823944</v>
      </c>
      <c r="AQ203" s="60">
        <f t="shared" si="189"/>
        <v>-76.763649840560589</v>
      </c>
      <c r="AR203" t="str">
        <f t="shared" si="165"/>
        <v>-1.94444444444444</v>
      </c>
      <c r="AS203" t="str">
        <f t="shared" si="166"/>
        <v>1+0.24909665484044i</v>
      </c>
      <c r="AT203">
        <f t="shared" si="190"/>
        <v>1.0305576856502003</v>
      </c>
      <c r="AU203">
        <f t="shared" si="191"/>
        <v>0.24412827537136156</v>
      </c>
      <c r="AV203" t="str">
        <f t="shared" si="167"/>
        <v>1+0.24909665484044i</v>
      </c>
      <c r="AW203">
        <f t="shared" si="192"/>
        <v>1.0305576856502003</v>
      </c>
      <c r="AX203">
        <f t="shared" si="193"/>
        <v>0.24412827537136156</v>
      </c>
      <c r="AY203" t="str">
        <f t="shared" si="168"/>
        <v>1-0.00854150199580546i</v>
      </c>
      <c r="AZ203">
        <f t="shared" si="194"/>
        <v>1.0000364779628512</v>
      </c>
      <c r="BA203">
        <f t="shared" si="195"/>
        <v>-8.5412942833809711E-3</v>
      </c>
      <c r="BB203" s="58" t="str">
        <f t="shared" si="196"/>
        <v>-1.82694684192984+0.471694822998984i</v>
      </c>
      <c r="BC203">
        <f t="shared" si="197"/>
        <v>5.5147814925864473</v>
      </c>
      <c r="BD203" s="60">
        <f t="shared" si="198"/>
        <v>165.52310004739647</v>
      </c>
      <c r="BE203" s="58" t="str">
        <f t="shared" si="199"/>
        <v>0.105586397462713+1.49479225900743i</v>
      </c>
      <c r="BF203" s="37">
        <f t="shared" si="200"/>
        <v>3.5132319086848223</v>
      </c>
      <c r="BG203" s="60">
        <f t="shared" si="201"/>
        <v>85.959556650225437</v>
      </c>
      <c r="BH203" s="58" t="str">
        <f t="shared" si="202"/>
        <v>0.0481361213509253+2.22285765453398i</v>
      </c>
      <c r="BI203" s="37">
        <f t="shared" si="203"/>
        <v>6.940269162868856</v>
      </c>
      <c r="BJ203" s="60">
        <f t="shared" si="204"/>
        <v>88.759450206835893</v>
      </c>
      <c r="BK203">
        <f t="shared" si="205"/>
        <v>3.5132319086848223</v>
      </c>
      <c r="BL203" s="60">
        <f t="shared" si="206"/>
        <v>85.959556650225437</v>
      </c>
      <c r="BN203">
        <f t="shared" si="207"/>
        <v>0</v>
      </c>
      <c r="BO203">
        <f t="shared" si="208"/>
        <v>0</v>
      </c>
    </row>
    <row r="204" spans="13:67" ht="14.25" x14ac:dyDescent="0.2">
      <c r="M204" s="66">
        <v>86</v>
      </c>
      <c r="N204" s="36">
        <f t="shared" si="209"/>
        <v>724.43596007499025</v>
      </c>
      <c r="O204" s="91" t="str">
        <f t="shared" si="157"/>
        <v>99.7340425531915</v>
      </c>
      <c r="P204" s="67" t="str">
        <f t="shared" si="158"/>
        <v>1+132.19488817358i</v>
      </c>
      <c r="Q204" s="67">
        <f t="shared" si="169"/>
        <v>132.19867041398459</v>
      </c>
      <c r="R204" s="67">
        <f t="shared" si="170"/>
        <v>1.563231882056261</v>
      </c>
      <c r="S204" s="67" t="str">
        <f t="shared" si="159"/>
        <v>1+0.248526389766331i</v>
      </c>
      <c r="T204" s="67">
        <f t="shared" si="171"/>
        <v>1.030419995152601</v>
      </c>
      <c r="U204" s="67">
        <f t="shared" si="172"/>
        <v>0.24359125567970669</v>
      </c>
      <c r="V204" t="str">
        <f t="shared" si="160"/>
        <v>1-0.0256719567450935i</v>
      </c>
      <c r="W204" s="67">
        <f t="shared" si="173"/>
        <v>1.0003294704061867</v>
      </c>
      <c r="X204" s="67">
        <f t="shared" si="174"/>
        <v>-2.5666319278565903E-2</v>
      </c>
      <c r="Y204" t="str">
        <f t="shared" si="161"/>
        <v>0.999875785216509+0.0396820571619012i</v>
      </c>
      <c r="Z204" s="67">
        <f t="shared" si="175"/>
        <v>1.0006629060392571</v>
      </c>
      <c r="AA204" s="67">
        <f t="shared" si="176"/>
        <v>3.9666170120191323E-2</v>
      </c>
      <c r="AB204" s="92" t="str">
        <f t="shared" si="177"/>
        <v>0.14357656832842-0.763737596123578i</v>
      </c>
      <c r="AC204" s="37">
        <f t="shared" si="178"/>
        <v>-2.1902824876351938</v>
      </c>
      <c r="AD204" s="60">
        <f t="shared" si="179"/>
        <v>-79.353114273008757</v>
      </c>
      <c r="AE204" t="str">
        <f t="shared" si="180"/>
        <v>118.329284003155</v>
      </c>
      <c r="AF204" t="str">
        <f t="shared" si="162"/>
        <v>1+105.755910538864i</v>
      </c>
      <c r="AG204">
        <f t="shared" si="181"/>
        <v>105.76063830132742</v>
      </c>
      <c r="AH204">
        <f t="shared" si="182"/>
        <v>1.5613408723162387</v>
      </c>
      <c r="AI204" t="str">
        <f t="shared" si="163"/>
        <v>1+0.248526389766331i</v>
      </c>
      <c r="AJ204">
        <f t="shared" si="183"/>
        <v>1.030419995152601</v>
      </c>
      <c r="AK204">
        <f t="shared" si="184"/>
        <v>0.24359125567970669</v>
      </c>
      <c r="AL204" t="str">
        <f t="shared" si="164"/>
        <v>1-0.0173096033785452i</v>
      </c>
      <c r="AM204">
        <f t="shared" si="185"/>
        <v>1.0001497999645466</v>
      </c>
      <c r="AN204">
        <f t="shared" si="186"/>
        <v>-1.730787490781004E-2</v>
      </c>
      <c r="AO204" s="58" t="str">
        <f t="shared" si="187"/>
        <v>0.269307634786456-1.12115734913241i</v>
      </c>
      <c r="AP204">
        <f t="shared" si="188"/>
        <v>1.2369500667877733</v>
      </c>
      <c r="AQ204" s="60">
        <f t="shared" si="189"/>
        <v>-76.493159672813391</v>
      </c>
      <c r="AR204" t="str">
        <f t="shared" si="165"/>
        <v>-1.94444444444444</v>
      </c>
      <c r="AS204" t="str">
        <f t="shared" si="166"/>
        <v>1+0.2548988612988i</v>
      </c>
      <c r="AT204">
        <f t="shared" si="190"/>
        <v>1.0319754984937506</v>
      </c>
      <c r="AU204">
        <f t="shared" si="191"/>
        <v>0.24958401505149658</v>
      </c>
      <c r="AV204" t="str">
        <f t="shared" si="167"/>
        <v>1+0.2548988612988i</v>
      </c>
      <c r="AW204">
        <f t="shared" si="192"/>
        <v>1.0319754984937506</v>
      </c>
      <c r="AX204">
        <f t="shared" si="193"/>
        <v>0.24958401505149658</v>
      </c>
      <c r="AY204" t="str">
        <f t="shared" si="168"/>
        <v>1-0.00834707367316945i</v>
      </c>
      <c r="AZ204">
        <f t="shared" si="194"/>
        <v>1.0000348362126719</v>
      </c>
      <c r="BA204">
        <f t="shared" si="195"/>
        <v>-8.3468798242740741E-3</v>
      </c>
      <c r="BB204" s="58" t="str">
        <f t="shared" si="196"/>
        <v>-1.82193027062824+0.480638372380116i</v>
      </c>
      <c r="BC204">
        <f t="shared" si="197"/>
        <v>5.5028256381826681</v>
      </c>
      <c r="BD204" s="60">
        <f t="shared" si="198"/>
        <v>165.22164831758582</v>
      </c>
      <c r="BE204" s="58" t="str">
        <f t="shared" si="199"/>
        <v>0.105495099135867+1.46048505330769i</v>
      </c>
      <c r="BF204" s="37">
        <f t="shared" si="200"/>
        <v>3.3125431505474943</v>
      </c>
      <c r="BG204" s="60">
        <f t="shared" si="201"/>
        <v>85.868534044577061</v>
      </c>
      <c r="BH204" s="58" t="str">
        <f t="shared" si="202"/>
        <v>0.048211511540268+2.17211009577495i</v>
      </c>
      <c r="BI204" s="37">
        <f t="shared" si="203"/>
        <v>6.7397757049704303</v>
      </c>
      <c r="BJ204" s="60">
        <f t="shared" si="204"/>
        <v>88.72848864477244</v>
      </c>
      <c r="BK204">
        <f t="shared" si="205"/>
        <v>3.3125431505474943</v>
      </c>
      <c r="BL204" s="60">
        <f t="shared" si="206"/>
        <v>85.868534044577061</v>
      </c>
      <c r="BN204">
        <f t="shared" si="207"/>
        <v>0</v>
      </c>
      <c r="BO204">
        <f t="shared" si="208"/>
        <v>0</v>
      </c>
    </row>
    <row r="205" spans="13:67" ht="14.25" x14ac:dyDescent="0.2">
      <c r="M205" s="66">
        <v>87</v>
      </c>
      <c r="N205" s="36">
        <f t="shared" si="209"/>
        <v>741.31024130091828</v>
      </c>
      <c r="O205" s="91" t="str">
        <f t="shared" si="157"/>
        <v>99.7340425531915</v>
      </c>
      <c r="P205" s="67" t="str">
        <f t="shared" si="158"/>
        <v>1+135.274102683362i</v>
      </c>
      <c r="Q205" s="67">
        <f t="shared" si="169"/>
        <v>135.27779883184368</v>
      </c>
      <c r="R205" s="67">
        <f t="shared" si="170"/>
        <v>1.5634040634945905</v>
      </c>
      <c r="S205" s="67" t="str">
        <f t="shared" si="159"/>
        <v>1+0.254315313044721i</v>
      </c>
      <c r="T205" s="67">
        <f t="shared" si="171"/>
        <v>1.0318315165030745</v>
      </c>
      <c r="U205" s="67">
        <f t="shared" si="172"/>
        <v>0.24903599225996129</v>
      </c>
      <c r="V205" t="str">
        <f t="shared" si="160"/>
        <v>1-0.0262699334353888i</v>
      </c>
      <c r="W205" s="67">
        <f t="shared" si="173"/>
        <v>1.0003449951905092</v>
      </c>
      <c r="X205" s="67">
        <f t="shared" si="174"/>
        <v>-2.6263892893681695E-2</v>
      </c>
      <c r="Y205" t="str">
        <f t="shared" si="161"/>
        <v>0.999869931154116+0.0406063710130578i</v>
      </c>
      <c r="Z205" s="67">
        <f t="shared" si="175"/>
        <v>1.0006941373831402</v>
      </c>
      <c r="AA205" s="67">
        <f t="shared" si="176"/>
        <v>4.0589348372676817E-2</v>
      </c>
      <c r="AB205" s="92" t="str">
        <f t="shared" si="177"/>
        <v>0.143301513425882-0.74683205178888i</v>
      </c>
      <c r="AC205" s="37">
        <f t="shared" si="178"/>
        <v>-2.3785173618996898</v>
      </c>
      <c r="AD205" s="60">
        <f t="shared" si="179"/>
        <v>-79.138151779826742</v>
      </c>
      <c r="AE205" t="str">
        <f t="shared" si="180"/>
        <v>118.329284003155</v>
      </c>
      <c r="AF205" t="str">
        <f t="shared" si="162"/>
        <v>1+108.21928214669i</v>
      </c>
      <c r="AG205">
        <f t="shared" si="181"/>
        <v>108.22390229678884</v>
      </c>
      <c r="AH205">
        <f t="shared" si="182"/>
        <v>1.5615560923435323</v>
      </c>
      <c r="AI205" t="str">
        <f t="shared" si="163"/>
        <v>1+0.254315313044721i</v>
      </c>
      <c r="AJ205">
        <f t="shared" si="183"/>
        <v>1.0318315165030745</v>
      </c>
      <c r="AK205">
        <f t="shared" si="184"/>
        <v>0.24903599225996129</v>
      </c>
      <c r="AL205" t="str">
        <f t="shared" si="164"/>
        <v>1-0.0177127958364246i</v>
      </c>
      <c r="AM205">
        <f t="shared" si="185"/>
        <v>1.0001568592657568</v>
      </c>
      <c r="AN205">
        <f t="shared" si="186"/>
        <v>-1.7710943762351043E-2</v>
      </c>
      <c r="AO205" s="58" t="str">
        <f t="shared" si="187"/>
        <v>0.268832583637243-1.09586276426055i</v>
      </c>
      <c r="AP205">
        <f t="shared" si="188"/>
        <v>1.0489190771026518</v>
      </c>
      <c r="AQ205" s="60">
        <f t="shared" si="189"/>
        <v>-76.21662458965335</v>
      </c>
      <c r="AR205" t="str">
        <f t="shared" si="165"/>
        <v>-1.94444444444444</v>
      </c>
      <c r="AS205" t="str">
        <f t="shared" si="166"/>
        <v>1+0.260836218507406i</v>
      </c>
      <c r="AT205">
        <f t="shared" si="190"/>
        <v>1.0334580460208549</v>
      </c>
      <c r="AU205">
        <f t="shared" si="191"/>
        <v>0.25515116840266561</v>
      </c>
      <c r="AV205" t="str">
        <f t="shared" si="167"/>
        <v>1+0.260836218507406i</v>
      </c>
      <c r="AW205">
        <f t="shared" si="192"/>
        <v>1.0334580460208549</v>
      </c>
      <c r="AX205">
        <f t="shared" si="193"/>
        <v>0.25515116840266561</v>
      </c>
      <c r="AY205" t="str">
        <f t="shared" si="168"/>
        <v>1-0.00815707107948153i</v>
      </c>
      <c r="AZ205">
        <f t="shared" si="194"/>
        <v>1.0000332683509063</v>
      </c>
      <c r="BA205">
        <f t="shared" si="195"/>
        <v>-8.1568901688258526E-3</v>
      </c>
      <c r="BB205" s="58" t="str">
        <f t="shared" si="196"/>
        <v>-1.81670671888936+0.489723882235533i</v>
      </c>
      <c r="BC205">
        <f t="shared" si="197"/>
        <v>5.4903427289254383</v>
      </c>
      <c r="BD205" s="60">
        <f t="shared" si="198"/>
        <v>164.91355953207008</v>
      </c>
      <c r="BE205" s="58" t="str">
        <f t="shared" si="199"/>
        <v>0.105404669512165+1.42695297985194i</v>
      </c>
      <c r="BF205" s="37">
        <f t="shared" si="200"/>
        <v>3.1118253670257836</v>
      </c>
      <c r="BG205" s="60">
        <f t="shared" si="201"/>
        <v>85.775407752243368</v>
      </c>
      <c r="BH205" s="58" t="str">
        <f t="shared" si="202"/>
        <v>0.048280206360874+2.12251498334305i</v>
      </c>
      <c r="BI205" s="37">
        <f t="shared" si="203"/>
        <v>6.5392618060281027</v>
      </c>
      <c r="BJ205" s="60">
        <f t="shared" si="204"/>
        <v>88.69693494241676</v>
      </c>
      <c r="BK205">
        <f t="shared" si="205"/>
        <v>3.1118253670257836</v>
      </c>
      <c r="BL205" s="60">
        <f t="shared" si="206"/>
        <v>85.775407752243368</v>
      </c>
      <c r="BN205">
        <f t="shared" si="207"/>
        <v>0</v>
      </c>
      <c r="BO205">
        <f t="shared" si="208"/>
        <v>0</v>
      </c>
    </row>
    <row r="206" spans="13:67" ht="14.25" x14ac:dyDescent="0.2">
      <c r="M206" s="66">
        <v>88</v>
      </c>
      <c r="N206" s="36">
        <f t="shared" si="209"/>
        <v>758.57757502918378</v>
      </c>
      <c r="O206" s="91" t="str">
        <f t="shared" si="157"/>
        <v>99.7340425531915</v>
      </c>
      <c r="P206" s="67" t="str">
        <f t="shared" si="158"/>
        <v>1+138.425041312952i</v>
      </c>
      <c r="Q206" s="67">
        <f t="shared" si="169"/>
        <v>138.42865332904336</v>
      </c>
      <c r="R206" s="67">
        <f t="shared" si="170"/>
        <v>1.5635723260284238</v>
      </c>
      <c r="S206" s="67" t="str">
        <f t="shared" si="159"/>
        <v>1+0.260239077668349i</v>
      </c>
      <c r="T206" s="67">
        <f t="shared" si="171"/>
        <v>1.0333074941882852</v>
      </c>
      <c r="U206" s="67">
        <f t="shared" si="172"/>
        <v>0.25459198487871476</v>
      </c>
      <c r="V206" t="str">
        <f t="shared" si="160"/>
        <v>1-0.0268818387921152i</v>
      </c>
      <c r="W206" s="67">
        <f t="shared" si="173"/>
        <v>1.0003612513771438</v>
      </c>
      <c r="X206" s="67">
        <f t="shared" si="174"/>
        <v>-2.6875366361294336E-2</v>
      </c>
      <c r="Y206" t="str">
        <f t="shared" si="161"/>
        <v>0.999863801198263+0.0415522148996144i</v>
      </c>
      <c r="Z206" s="67">
        <f t="shared" si="175"/>
        <v>1.0007268396069444</v>
      </c>
      <c r="AA206" s="67">
        <f t="shared" si="176"/>
        <v>4.1533975520326595E-2</v>
      </c>
      <c r="AB206" s="92" t="str">
        <f t="shared" si="177"/>
        <v>0.143037127507696-0.730322251811478i</v>
      </c>
      <c r="AC206" s="37">
        <f t="shared" si="178"/>
        <v>-2.5662335725977634</v>
      </c>
      <c r="AD206" s="60">
        <f t="shared" si="179"/>
        <v>-78.918615582557464</v>
      </c>
      <c r="AE206" t="str">
        <f t="shared" si="180"/>
        <v>118.329284003155</v>
      </c>
      <c r="AF206" t="str">
        <f t="shared" si="162"/>
        <v>1+110.740033050361i</v>
      </c>
      <c r="AG206">
        <f t="shared" si="181"/>
        <v>110.74454803734153</v>
      </c>
      <c r="AH206">
        <f t="shared" si="182"/>
        <v>1.5617664141920746</v>
      </c>
      <c r="AI206" t="str">
        <f t="shared" si="163"/>
        <v>1+0.260239077668349i</v>
      </c>
      <c r="AJ206">
        <f t="shared" si="183"/>
        <v>1.0333074941882852</v>
      </c>
      <c r="AK206">
        <f t="shared" si="184"/>
        <v>0.25459198487871476</v>
      </c>
      <c r="AL206" t="str">
        <f t="shared" si="164"/>
        <v>1-0.018125379853113i</v>
      </c>
      <c r="AM206">
        <f t="shared" si="185"/>
        <v>1.0001642512081801</v>
      </c>
      <c r="AN206">
        <f t="shared" si="186"/>
        <v>-1.8123395337589988E-2</v>
      </c>
      <c r="AO206" s="58" t="str">
        <f t="shared" si="187"/>
        <v>0.268378909742944-1.07114882512033i</v>
      </c>
      <c r="AP206">
        <f t="shared" si="188"/>
        <v>0.86141576594680402</v>
      </c>
      <c r="AQ206" s="60">
        <f t="shared" si="189"/>
        <v>-75.933971950368417</v>
      </c>
      <c r="AR206" t="str">
        <f t="shared" si="165"/>
        <v>-1.94444444444444</v>
      </c>
      <c r="AS206" t="str">
        <f t="shared" si="166"/>
        <v>1+0.26691187453164i</v>
      </c>
      <c r="AT206">
        <f t="shared" si="190"/>
        <v>1.0350081877772725</v>
      </c>
      <c r="AU206">
        <f t="shared" si="191"/>
        <v>0.2608313062733027</v>
      </c>
      <c r="AV206" t="str">
        <f t="shared" si="167"/>
        <v>1+0.26691187453164i</v>
      </c>
      <c r="AW206">
        <f t="shared" si="192"/>
        <v>1.0350081877772725</v>
      </c>
      <c r="AX206">
        <f t="shared" si="193"/>
        <v>0.2608313062733027</v>
      </c>
      <c r="AY206" t="str">
        <f t="shared" si="168"/>
        <v>1-0.00797139347285154i</v>
      </c>
      <c r="AZ206">
        <f t="shared" si="194"/>
        <v>1.0000317710522497</v>
      </c>
      <c r="BA206">
        <f t="shared" si="195"/>
        <v>-7.9712246369007169E-3</v>
      </c>
      <c r="BB206" s="58" t="str">
        <f t="shared" si="196"/>
        <v>-1.81126899561795+0.498949134654194i</v>
      </c>
      <c r="BC206">
        <f t="shared" si="197"/>
        <v>5.4773110316534233</v>
      </c>
      <c r="BD206" s="60">
        <f t="shared" si="198"/>
        <v>164.59874945641053</v>
      </c>
      <c r="BE206" s="58" t="str">
        <f t="shared" si="199"/>
        <v>0.105314941283098+1.3941783025094i</v>
      </c>
      <c r="BF206" s="37">
        <f t="shared" si="200"/>
        <v>2.9110774590556456</v>
      </c>
      <c r="BG206" s="60">
        <f t="shared" si="201"/>
        <v>85.680133873853052</v>
      </c>
      <c r="BH206" s="58" t="str">
        <f t="shared" si="202"/>
        <v>0.0483423810845027+2.07404608140873i</v>
      </c>
      <c r="BI206" s="37">
        <f t="shared" si="203"/>
        <v>6.3387267976002457</v>
      </c>
      <c r="BJ206" s="60">
        <f t="shared" si="204"/>
        <v>88.6647775060421</v>
      </c>
      <c r="BK206">
        <f t="shared" si="205"/>
        <v>2.9110774590556456</v>
      </c>
      <c r="BL206" s="60">
        <f t="shared" si="206"/>
        <v>85.680133873853052</v>
      </c>
      <c r="BN206">
        <f t="shared" si="207"/>
        <v>0</v>
      </c>
      <c r="BO206">
        <f t="shared" si="208"/>
        <v>0</v>
      </c>
    </row>
    <row r="207" spans="13:67" ht="14.25" x14ac:dyDescent="0.2">
      <c r="M207" s="66">
        <v>89</v>
      </c>
      <c r="N207" s="36">
        <f t="shared" si="209"/>
        <v>776.24711662869231</v>
      </c>
      <c r="O207" s="91" t="str">
        <f t="shared" si="157"/>
        <v>99.7340425531915</v>
      </c>
      <c r="P207" s="67" t="str">
        <f t="shared" si="158"/>
        <v>1+141.649374731718i</v>
      </c>
      <c r="Q207" s="67">
        <f t="shared" si="169"/>
        <v>141.65290453035783</v>
      </c>
      <c r="R207" s="67">
        <f t="shared" si="170"/>
        <v>1.5637367588346509</v>
      </c>
      <c r="S207" s="67" t="str">
        <f t="shared" si="159"/>
        <v>1+0.266300824495629i</v>
      </c>
      <c r="T207" s="67">
        <f t="shared" si="171"/>
        <v>1.0348507762605446</v>
      </c>
      <c r="U207" s="67">
        <f t="shared" si="172"/>
        <v>0.26026080675458702</v>
      </c>
      <c r="V207" t="str">
        <f t="shared" si="160"/>
        <v>1-0.0275079972555924i</v>
      </c>
      <c r="W207" s="67">
        <f t="shared" si="173"/>
        <v>1.00037827341112</v>
      </c>
      <c r="X207" s="67">
        <f t="shared" si="174"/>
        <v>-2.7501062062644369E-2</v>
      </c>
      <c r="Y207" t="str">
        <f t="shared" si="161"/>
        <v>0.999857382346491+0.0425200903205194i</v>
      </c>
      <c r="Z207" s="67">
        <f t="shared" si="175"/>
        <v>1.0007610819339661</v>
      </c>
      <c r="AA207" s="67">
        <f t="shared" si="176"/>
        <v>4.2500547268379055E-2</v>
      </c>
      <c r="AB207" s="92" t="str">
        <f t="shared" si="177"/>
        <v>0.142782850292225-0.714199449221302i</v>
      </c>
      <c r="AC207" s="37">
        <f t="shared" si="178"/>
        <v>-2.7534097673026832</v>
      </c>
      <c r="AD207" s="60">
        <f t="shared" si="179"/>
        <v>-78.694467524775746</v>
      </c>
      <c r="AE207" t="str">
        <f t="shared" si="180"/>
        <v>118.329284003155</v>
      </c>
      <c r="AF207" t="str">
        <f t="shared" si="162"/>
        <v>1+113.319499785374i</v>
      </c>
      <c r="AG207">
        <f t="shared" si="181"/>
        <v>113.32391200275156</v>
      </c>
      <c r="AH207">
        <f t="shared" si="182"/>
        <v>1.5619719493028219</v>
      </c>
      <c r="AI207" t="str">
        <f t="shared" si="163"/>
        <v>1+0.266300824495629i</v>
      </c>
      <c r="AJ207">
        <f t="shared" si="183"/>
        <v>1.0348507762605446</v>
      </c>
      <c r="AK207">
        <f t="shared" si="184"/>
        <v>0.26026080675458702</v>
      </c>
      <c r="AL207" t="str">
        <f t="shared" si="164"/>
        <v>1-0.0185475741861173i</v>
      </c>
      <c r="AM207">
        <f t="shared" si="185"/>
        <v>1.0001719914635629</v>
      </c>
      <c r="AN207">
        <f t="shared" si="186"/>
        <v>-1.8545447759171659E-2</v>
      </c>
      <c r="AO207" s="58" t="str">
        <f t="shared" si="187"/>
        <v>0.267945651282574-1.04700245442851i</v>
      </c>
      <c r="AP207">
        <f t="shared" si="188"/>
        <v>0.67446193531506837</v>
      </c>
      <c r="AQ207" s="60">
        <f t="shared" si="189"/>
        <v>-75.64513049894704</v>
      </c>
      <c r="AR207" t="str">
        <f t="shared" si="165"/>
        <v>-1.94444444444444</v>
      </c>
      <c r="AS207" t="str">
        <f t="shared" si="166"/>
        <v>1+0.273129050764747i</v>
      </c>
      <c r="AT207">
        <f t="shared" si="190"/>
        <v>1.036628900991889</v>
      </c>
      <c r="AU207">
        <f t="shared" si="191"/>
        <v>0.26662597363188956</v>
      </c>
      <c r="AV207" t="str">
        <f t="shared" si="167"/>
        <v>1+0.273129050764747i</v>
      </c>
      <c r="AW207">
        <f t="shared" si="192"/>
        <v>1.036628900991889</v>
      </c>
      <c r="AX207">
        <f t="shared" si="193"/>
        <v>0.26662597363188956</v>
      </c>
      <c r="AY207" t="str">
        <f t="shared" si="168"/>
        <v>1-0.00778994240455472i</v>
      </c>
      <c r="AZ207">
        <f t="shared" si="194"/>
        <v>1.0000303411410407</v>
      </c>
      <c r="BA207">
        <f t="shared" si="195"/>
        <v>-7.7897848374071229E-3</v>
      </c>
      <c r="BB207" s="58" t="str">
        <f t="shared" si="196"/>
        <v>-1.80560978081374+0.508311595716278i</v>
      </c>
      <c r="BC207">
        <f t="shared" si="197"/>
        <v>5.4637080665539131</v>
      </c>
      <c r="BD207" s="60">
        <f t="shared" si="198"/>
        <v>164.27713520782794</v>
      </c>
      <c r="BE207" s="58" t="str">
        <f t="shared" si="199"/>
        <v>0.105225750673261+1.36214368943873i</v>
      </c>
      <c r="BF207" s="37">
        <f t="shared" si="200"/>
        <v>2.7102982992512414</v>
      </c>
      <c r="BG207" s="60">
        <f t="shared" si="201"/>
        <v>85.582667683052208</v>
      </c>
      <c r="BH207" s="58" t="str">
        <f t="shared" si="202"/>
        <v>0.0483981996470923+2.02667775382079i</v>
      </c>
      <c r="BI207" s="37">
        <f t="shared" si="203"/>
        <v>6.1381700018689731</v>
      </c>
      <c r="BJ207" s="60">
        <f t="shared" si="204"/>
        <v>88.632004708880885</v>
      </c>
      <c r="BK207">
        <f t="shared" si="205"/>
        <v>2.7102982992512414</v>
      </c>
      <c r="BL207" s="60">
        <f t="shared" si="206"/>
        <v>85.582667683052208</v>
      </c>
      <c r="BN207">
        <f t="shared" si="207"/>
        <v>0</v>
      </c>
      <c r="BO207">
        <f t="shared" si="208"/>
        <v>0</v>
      </c>
    </row>
    <row r="208" spans="13:67" ht="14.25" x14ac:dyDescent="0.2">
      <c r="M208" s="66">
        <v>90</v>
      </c>
      <c r="N208" s="36">
        <f t="shared" si="209"/>
        <v>794.32823472428208</v>
      </c>
      <c r="O208" s="91" t="str">
        <f t="shared" si="157"/>
        <v>99.7340425531915</v>
      </c>
      <c r="P208" s="67" t="str">
        <f t="shared" si="158"/>
        <v>1+144.948812523917i</v>
      </c>
      <c r="Q208" s="67">
        <f t="shared" si="169"/>
        <v>144.95226197646465</v>
      </c>
      <c r="R208" s="67">
        <f t="shared" si="170"/>
        <v>1.5638974490621338</v>
      </c>
      <c r="S208" s="67" t="str">
        <f t="shared" si="159"/>
        <v>1+0.272503767544964i</v>
      </c>
      <c r="T208" s="67">
        <f t="shared" si="171"/>
        <v>1.0364643280529242</v>
      </c>
      <c r="U208" s="67">
        <f t="shared" si="172"/>
        <v>0.266044005603772</v>
      </c>
      <c r="V208" t="str">
        <f t="shared" si="160"/>
        <v>1-0.028148740823326i</v>
      </c>
      <c r="W208" s="67">
        <f t="shared" si="173"/>
        <v>1.0003960973584107</v>
      </c>
      <c r="X208" s="67">
        <f t="shared" si="174"/>
        <v>-2.8141309789098342E-2</v>
      </c>
      <c r="Y208" t="str">
        <f t="shared" si="161"/>
        <v>0.999850660983555+0.0435105104561322i</v>
      </c>
      <c r="Z208" s="67">
        <f t="shared" si="175"/>
        <v>1.0007969368405387</v>
      </c>
      <c r="AA208" s="67">
        <f t="shared" si="176"/>
        <v>4.3489570590264474E-2</v>
      </c>
      <c r="AB208" s="92" t="str">
        <f t="shared" si="177"/>
        <v>0.142538142958731-0.698455101148396i</v>
      </c>
      <c r="AC208" s="37">
        <f t="shared" si="178"/>
        <v>-2.9400238620354031</v>
      </c>
      <c r="AD208" s="60">
        <f t="shared" si="179"/>
        <v>-78.465671865228956</v>
      </c>
      <c r="AE208" t="str">
        <f t="shared" si="180"/>
        <v>118.329284003155</v>
      </c>
      <c r="AF208" t="str">
        <f t="shared" si="162"/>
        <v>1+115.959050019134i</v>
      </c>
      <c r="AG208">
        <f t="shared" si="181"/>
        <v>115.96336180596018</v>
      </c>
      <c r="AH208">
        <f t="shared" si="182"/>
        <v>1.5621728065837086</v>
      </c>
      <c r="AI208" t="str">
        <f t="shared" si="163"/>
        <v>1+0.272503767544964i</v>
      </c>
      <c r="AJ208">
        <f t="shared" si="183"/>
        <v>1.0364643280529242</v>
      </c>
      <c r="AK208">
        <f t="shared" si="184"/>
        <v>0.266044005603772</v>
      </c>
      <c r="AL208" t="str">
        <f t="shared" si="164"/>
        <v>1-0.0189796026884613i</v>
      </c>
      <c r="AM208">
        <f t="shared" si="185"/>
        <v>1.0001800964417418</v>
      </c>
      <c r="AN208">
        <f t="shared" si="186"/>
        <v>-1.8977324203095905E-2</v>
      </c>
      <c r="AO208" s="58" t="str">
        <f t="shared" si="187"/>
        <v>0.267531889696605-1.02341087407421i</v>
      </c>
      <c r="AP208">
        <f t="shared" si="188"/>
        <v>0.48808013863616001</v>
      </c>
      <c r="AQ208" s="60">
        <f t="shared" si="189"/>
        <v>-75.350030584791</v>
      </c>
      <c r="AR208" t="str">
        <f t="shared" si="165"/>
        <v>-1.94444444444444</v>
      </c>
      <c r="AS208" t="str">
        <f t="shared" si="166"/>
        <v>1+0.27949104363586i</v>
      </c>
      <c r="AT208">
        <f t="shared" si="190"/>
        <v>1.0383232846626633</v>
      </c>
      <c r="AU208">
        <f t="shared" si="191"/>
        <v>0.27253668566043293</v>
      </c>
      <c r="AV208" t="str">
        <f t="shared" si="167"/>
        <v>1+0.27949104363586i</v>
      </c>
      <c r="AW208">
        <f t="shared" si="192"/>
        <v>1.0383232846626633</v>
      </c>
      <c r="AX208">
        <f t="shared" si="193"/>
        <v>0.27253668566043293</v>
      </c>
      <c r="AY208" t="str">
        <f t="shared" si="168"/>
        <v>1-0.00761262166683288i</v>
      </c>
      <c r="AZ208">
        <f t="shared" si="194"/>
        <v>1.0000289755845289</v>
      </c>
      <c r="BA208">
        <f t="shared" si="195"/>
        <v>-7.6124746163737586E-3</v>
      </c>
      <c r="BB208" s="58" t="str">
        <f t="shared" si="196"/>
        <v>-1.7997216349111+0.51780839790307i</v>
      </c>
      <c r="BC208">
        <f t="shared" si="197"/>
        <v>5.4495105942874815</v>
      </c>
      <c r="BD208" s="60">
        <f t="shared" si="198"/>
        <v>163.94863548200493</v>
      </c>
      <c r="BE208" s="58" t="str">
        <f t="shared" si="199"/>
        <v>0.105136937249998+1.33083220399633i</v>
      </c>
      <c r="BF208" s="37">
        <f t="shared" si="200"/>
        <v>2.50948673225209</v>
      </c>
      <c r="BG208" s="60">
        <f t="shared" si="201"/>
        <v>85.48296361677599</v>
      </c>
      <c r="BH208" s="58" t="str">
        <f t="shared" si="202"/>
        <v>0.0484478151853171+1.98038495066642i</v>
      </c>
      <c r="BI208" s="37">
        <f t="shared" si="203"/>
        <v>5.9375907329236624</v>
      </c>
      <c r="BJ208" s="60">
        <f t="shared" si="204"/>
        <v>88.598604897213946</v>
      </c>
      <c r="BK208">
        <f t="shared" si="205"/>
        <v>2.50948673225209</v>
      </c>
      <c r="BL208" s="60">
        <f t="shared" si="206"/>
        <v>85.48296361677599</v>
      </c>
      <c r="BN208">
        <f t="shared" si="207"/>
        <v>0</v>
      </c>
      <c r="BO208">
        <f t="shared" si="208"/>
        <v>0</v>
      </c>
    </row>
    <row r="209" spans="13:67" ht="14.25" x14ac:dyDescent="0.2">
      <c r="M209" s="66">
        <v>91</v>
      </c>
      <c r="N209" s="36">
        <f t="shared" si="209"/>
        <v>812.83051616409978</v>
      </c>
      <c r="O209" s="91" t="str">
        <f t="shared" si="157"/>
        <v>99.7340425531915</v>
      </c>
      <c r="P209" s="67" t="str">
        <f t="shared" si="158"/>
        <v>1+148.325104095141i</v>
      </c>
      <c r="Q209" s="67">
        <f t="shared" si="169"/>
        <v>148.32847503036768</v>
      </c>
      <c r="R209" s="67">
        <f t="shared" si="170"/>
        <v>1.5640544818777451</v>
      </c>
      <c r="S209" s="67" t="str">
        <f t="shared" si="159"/>
        <v>1+0.278851195698865i</v>
      </c>
      <c r="T209" s="67">
        <f t="shared" si="171"/>
        <v>1.0381512362573608</v>
      </c>
      <c r="U209" s="67">
        <f t="shared" si="172"/>
        <v>0.27194309975416037</v>
      </c>
      <c r="V209" t="str">
        <f t="shared" si="160"/>
        <v>1-0.0288044092260366i</v>
      </c>
      <c r="W209" s="67">
        <f t="shared" si="173"/>
        <v>1.0004147609820944</v>
      </c>
      <c r="X209" s="67">
        <f t="shared" si="174"/>
        <v>-2.8796446907685139E-2</v>
      </c>
      <c r="Y209" t="str">
        <f t="shared" si="161"/>
        <v>0.999843622852543+0.0445240004403185i</v>
      </c>
      <c r="Z209" s="67">
        <f t="shared" si="175"/>
        <v>1.0008344802084448</v>
      </c>
      <c r="AA209" s="67">
        <f t="shared" si="176"/>
        <v>4.4501563970286241E-2</v>
      </c>
      <c r="AB209" s="92" t="str">
        <f t="shared" si="177"/>
        <v>0.142302487008975-0.683080864320617i</v>
      </c>
      <c r="AC209" s="37">
        <f t="shared" si="178"/>
        <v>-3.1260530289575605</v>
      </c>
      <c r="AD209" s="60">
        <f t="shared" si="179"/>
        <v>-78.232195526508718</v>
      </c>
      <c r="AE209" t="str">
        <f t="shared" si="180"/>
        <v>118.329284003155</v>
      </c>
      <c r="AF209" t="str">
        <f t="shared" si="162"/>
        <v>1+118.660083276113i</v>
      </c>
      <c r="AG209">
        <f t="shared" si="181"/>
        <v>118.66429691821408</v>
      </c>
      <c r="AH209">
        <f t="shared" si="182"/>
        <v>1.5623690924670597</v>
      </c>
      <c r="AI209" t="str">
        <f t="shared" si="163"/>
        <v>1+0.278851195698865i</v>
      </c>
      <c r="AJ209">
        <f t="shared" si="183"/>
        <v>1.0381512362573608</v>
      </c>
      <c r="AK209">
        <f t="shared" si="184"/>
        <v>0.27194309975416037</v>
      </c>
      <c r="AL209" t="str">
        <f t="shared" si="164"/>
        <v>1-0.0194216944273754i</v>
      </c>
      <c r="AM209">
        <f t="shared" si="185"/>
        <v>1.0001885833253799</v>
      </c>
      <c r="AN209">
        <f t="shared" si="186"/>
        <v>-1.9419253011180807E-2</v>
      </c>
      <c r="AO209" s="58" t="str">
        <f t="shared" si="187"/>
        <v>0.267136747742308-1.00036159846128i</v>
      </c>
      <c r="AP209">
        <f t="shared" si="188"/>
        <v>0.30229369405778983</v>
      </c>
      <c r="AQ209" s="60">
        <f t="shared" si="189"/>
        <v>-75.048604395266068</v>
      </c>
      <c r="AR209" t="str">
        <f t="shared" si="165"/>
        <v>-1.94444444444444</v>
      </c>
      <c r="AS209" t="str">
        <f t="shared" si="166"/>
        <v>1+0.28600122635781i</v>
      </c>
      <c r="AT209">
        <f t="shared" si="190"/>
        <v>1.0400945637191703</v>
      </c>
      <c r="AU209">
        <f t="shared" si="191"/>
        <v>0.27856492363888574</v>
      </c>
      <c r="AV209" t="str">
        <f t="shared" si="167"/>
        <v>1+0.28600122635781i</v>
      </c>
      <c r="AW209">
        <f t="shared" si="192"/>
        <v>1.0400945637191703</v>
      </c>
      <c r="AX209">
        <f t="shared" si="193"/>
        <v>0.27856492363888574</v>
      </c>
      <c r="AY209" t="str">
        <f t="shared" si="168"/>
        <v>1-0.00743933724188376i</v>
      </c>
      <c r="AZ209">
        <f t="shared" si="194"/>
        <v>1.0000276714864436</v>
      </c>
      <c r="BA209">
        <f t="shared" si="195"/>
        <v>-7.4392000061955926E-3</v>
      </c>
      <c r="BB209" s="58" t="str">
        <f t="shared" si="196"/>
        <v>-1.79359700945099+0.527436322265014i</v>
      </c>
      <c r="BC209">
        <f t="shared" si="197"/>
        <v>5.4346946041460047</v>
      </c>
      <c r="BD209" s="60">
        <f t="shared" si="198"/>
        <v>163.61317079179906</v>
      </c>
      <c r="BE209" s="58" t="str">
        <f t="shared" si="199"/>
        <v>0.105048343750137+1.30022729585583i</v>
      </c>
      <c r="BF209" s="37">
        <f t="shared" si="200"/>
        <v>2.3086415751884126</v>
      </c>
      <c r="BG209" s="60">
        <f t="shared" si="201"/>
        <v>85.38097526529036</v>
      </c>
      <c r="BH209" s="58" t="str">
        <f t="shared" si="202"/>
        <v>0.048491370562501+1.9351431951408i</v>
      </c>
      <c r="BI209" s="37">
        <f t="shared" si="203"/>
        <v>5.7369882982037765</v>
      </c>
      <c r="BJ209" s="60">
        <f t="shared" si="204"/>
        <v>88.564566396532996</v>
      </c>
      <c r="BK209">
        <f t="shared" si="205"/>
        <v>2.3086415751884126</v>
      </c>
      <c r="BL209" s="60">
        <f t="shared" si="206"/>
        <v>85.38097526529036</v>
      </c>
      <c r="BN209">
        <f t="shared" si="207"/>
        <v>0</v>
      </c>
      <c r="BO209">
        <f t="shared" si="208"/>
        <v>0</v>
      </c>
    </row>
    <row r="210" spans="13:67" ht="14.25" x14ac:dyDescent="0.2">
      <c r="M210" s="66">
        <v>92</v>
      </c>
      <c r="N210" s="36">
        <f t="shared" si="209"/>
        <v>831.7637711026714</v>
      </c>
      <c r="O210" s="91" t="str">
        <f t="shared" si="157"/>
        <v>99.7340425531915</v>
      </c>
      <c r="P210" s="67" t="str">
        <f t="shared" si="158"/>
        <v>1+151.780039599871i</v>
      </c>
      <c r="Q210" s="67">
        <f t="shared" si="169"/>
        <v>151.7833338049287</v>
      </c>
      <c r="R210" s="67">
        <f t="shared" si="170"/>
        <v>1.564207940511366</v>
      </c>
      <c r="S210" s="67" t="str">
        <f t="shared" si="159"/>
        <v>1+0.285346474447758i</v>
      </c>
      <c r="T210" s="67">
        <f t="shared" si="171"/>
        <v>1.0399147130797626</v>
      </c>
      <c r="U210" s="67">
        <f t="shared" si="172"/>
        <v>0.27795957405069394</v>
      </c>
      <c r="V210" t="str">
        <f t="shared" si="160"/>
        <v>1-0.0294753501077904i</v>
      </c>
      <c r="W210" s="67">
        <f t="shared" si="173"/>
        <v>1.0004343038220835</v>
      </c>
      <c r="X210" s="67">
        <f t="shared" si="174"/>
        <v>-2.9466818529986418E-2</v>
      </c>
      <c r="Y210" t="str">
        <f t="shared" si="161"/>
        <v>0.999836253024635+0.0455610976388832i</v>
      </c>
      <c r="Z210" s="67">
        <f t="shared" si="175"/>
        <v>1.0008737914844217</v>
      </c>
      <c r="AA210" s="67">
        <f t="shared" si="176"/>
        <v>4.5537057650553048E-2</v>
      </c>
      <c r="AB210" s="92" t="str">
        <f t="shared" si="177"/>
        <v>0.142075383172136-0.668068590662192i</v>
      </c>
      <c r="AC210" s="37">
        <f t="shared" si="178"/>
        <v>-3.3114736851122184</v>
      </c>
      <c r="AD210" s="60">
        <f t="shared" si="179"/>
        <v>-77.994008356059624</v>
      </c>
      <c r="AE210" t="str">
        <f t="shared" si="180"/>
        <v>118.329284003155</v>
      </c>
      <c r="AF210" t="str">
        <f t="shared" si="162"/>
        <v>1+121.424031679897i</v>
      </c>
      <c r="AG210">
        <f t="shared" si="181"/>
        <v>121.42814941108436</v>
      </c>
      <c r="AH210">
        <f t="shared" si="182"/>
        <v>1.5625609109657137</v>
      </c>
      <c r="AI210" t="str">
        <f t="shared" si="163"/>
        <v>1+0.285346474447758i</v>
      </c>
      <c r="AJ210">
        <f t="shared" si="183"/>
        <v>1.0399147130797626</v>
      </c>
      <c r="AK210">
        <f t="shared" si="184"/>
        <v>0.27795957405069394</v>
      </c>
      <c r="AL210" t="str">
        <f t="shared" si="164"/>
        <v>1-0.0198740838057514i</v>
      </c>
      <c r="AM210">
        <f t="shared" si="185"/>
        <v>1.0001974701063376</v>
      </c>
      <c r="AN210">
        <f t="shared" si="186"/>
        <v>-1.9871467809060735E-2</v>
      </c>
      <c r="AO210" s="58" t="str">
        <f t="shared" si="187"/>
        <v>0.266759387636401-0.977842427997745i</v>
      </c>
      <c r="AP210">
        <f t="shared" si="188"/>
        <v>0.11712669672413248</v>
      </c>
      <c r="AQ210" s="60">
        <f t="shared" si="189"/>
        <v>-74.740786200283011</v>
      </c>
      <c r="AR210" t="str">
        <f t="shared" si="165"/>
        <v>-1.94444444444444</v>
      </c>
      <c r="AS210" t="str">
        <f t="shared" si="166"/>
        <v>1+0.292663050715648i</v>
      </c>
      <c r="AT210">
        <f t="shared" si="190"/>
        <v>1.0419460932573192</v>
      </c>
      <c r="AU210">
        <f t="shared" si="191"/>
        <v>0.28471213061804046</v>
      </c>
      <c r="AV210" t="str">
        <f t="shared" si="167"/>
        <v>1+0.292663050715648i</v>
      </c>
      <c r="AW210">
        <f t="shared" si="192"/>
        <v>1.0419460932573192</v>
      </c>
      <c r="AX210">
        <f t="shared" si="193"/>
        <v>0.28471213061804046</v>
      </c>
      <c r="AY210" t="str">
        <f t="shared" si="168"/>
        <v>1-0.00726999725201155i</v>
      </c>
      <c r="AZ210">
        <f t="shared" si="194"/>
        <v>1.0000264260808533</v>
      </c>
      <c r="BA210">
        <f t="shared" si="195"/>
        <v>-7.2698691760239402E-3</v>
      </c>
      <c r="BB210" s="58" t="str">
        <f t="shared" si="196"/>
        <v>-1.7872282591671+0.537191780420861i</v>
      </c>
      <c r="BC210">
        <f t="shared" si="197"/>
        <v>5.419235303385511</v>
      </c>
      <c r="BD210" s="60">
        <f t="shared" si="198"/>
        <v>163.27066371801041</v>
      </c>
      <c r="BE210" s="58" t="str">
        <f t="shared" si="199"/>
        <v>0.104959815923843+1.27031279233362i</v>
      </c>
      <c r="BF210" s="37">
        <f t="shared" si="200"/>
        <v>2.1077616182732717</v>
      </c>
      <c r="BG210" s="60">
        <f t="shared" si="201"/>
        <v>85.276655361950787</v>
      </c>
      <c r="BH210" s="58" t="str">
        <f t="shared" si="202"/>
        <v>0.0485289988852796+1.89092857071852i</v>
      </c>
      <c r="BI210" s="37">
        <f t="shared" si="203"/>
        <v>5.5363620001096567</v>
      </c>
      <c r="BJ210" s="60">
        <f t="shared" si="204"/>
        <v>88.529877517727414</v>
      </c>
      <c r="BK210">
        <f t="shared" si="205"/>
        <v>2.1077616182732717</v>
      </c>
      <c r="BL210" s="60">
        <f t="shared" si="206"/>
        <v>85.276655361950787</v>
      </c>
      <c r="BN210">
        <f t="shared" si="207"/>
        <v>0</v>
      </c>
      <c r="BO210">
        <f t="shared" si="208"/>
        <v>0</v>
      </c>
    </row>
    <row r="211" spans="13:67" ht="14.25" x14ac:dyDescent="0.2">
      <c r="M211" s="66">
        <v>93</v>
      </c>
      <c r="N211" s="36">
        <f t="shared" si="209"/>
        <v>851.13803820237763</v>
      </c>
      <c r="O211" s="91" t="str">
        <f t="shared" ref="O211:O274" si="210">COMPLEX(adc,0)</f>
        <v>99.7340425531915</v>
      </c>
      <c r="P211" s="67" t="str">
        <f t="shared" ref="P211:P274" si="211">IMSUM(COMPLEX(1,0),IMDIV(COMPLEX(0,2*PI()*N211),COMPLEX(wp_lf,0)))</f>
        <v>1+155.315450890644i</v>
      </c>
      <c r="Q211" s="67">
        <f t="shared" si="169"/>
        <v>155.31867011201211</v>
      </c>
      <c r="R211" s="67">
        <f t="shared" si="170"/>
        <v>1.5643579062998676</v>
      </c>
      <c r="S211" s="67" t="str">
        <f t="shared" ref="S211:S274" si="212">IMSUM(COMPLEX(1,0),IMDIV(COMPLEX(0,2*PI()*N211),COMPLEX(wz_esr,0)))</f>
        <v>1+0.291993047674411i</v>
      </c>
      <c r="T211" s="67">
        <f t="shared" si="171"/>
        <v>1.0417581004677576</v>
      </c>
      <c r="U211" s="67">
        <f t="shared" si="172"/>
        <v>0.28409487554939855</v>
      </c>
      <c r="V211" t="str">
        <f t="shared" ref="V211:V274" si="213">IMSUB(COMPLEX(1,0),IMDIV(COMPLEX(0,2*PI()*N211),COMPLEX(wz_rhp,0)))</f>
        <v>1-0.0301619192103237i</v>
      </c>
      <c r="W211" s="67">
        <f t="shared" si="173"/>
        <v>1.0004547672785862</v>
      </c>
      <c r="X211" s="67">
        <f t="shared" si="174"/>
        <v>-3.0152777684420456E-2</v>
      </c>
      <c r="Y211" t="str">
        <f t="shared" ref="Y211:Y274" si="214">IMSUM(COMPLEX(1,0),IMDIV(COMPLEX(0,2*PI()*N211),COMPLEX(Q*(wsl/2),0)),IMDIV(IMPOWER(COMPLEX(0,2*PI()*N211),2),IMPOWER(COMPLEX(wsl/2,0),2)))</f>
        <v>0.999828535867438+0.0466223519344884i</v>
      </c>
      <c r="Z211" s="67">
        <f t="shared" si="175"/>
        <v>1.0009149538470929</v>
      </c>
      <c r="AA211" s="67">
        <f t="shared" si="176"/>
        <v>4.6596593882162085E-2</v>
      </c>
      <c r="AB211" s="92" t="str">
        <f t="shared" si="177"/>
        <v>0.141856350350737-0.653410322990789i</v>
      </c>
      <c r="AC211" s="37">
        <f t="shared" si="178"/>
        <v>-3.4962614823558309</v>
      </c>
      <c r="AD211" s="60">
        <f t="shared" si="179"/>
        <v>-77.751083399676048</v>
      </c>
      <c r="AE211" t="str">
        <f t="shared" si="180"/>
        <v>118.329284003155</v>
      </c>
      <c r="AF211" t="str">
        <f t="shared" ref="AF211:AF274" si="215">IMSUM(COMPLEX(1,0),IMDIV(COMPLEX(0,2*PI()*N211),COMPLEX(wp_lf_DCM,0)))</f>
        <v>1+124.252360712515i</v>
      </c>
      <c r="AG211">
        <f t="shared" si="181"/>
        <v>124.25638471576799</v>
      </c>
      <c r="AH211">
        <f t="shared" si="182"/>
        <v>1.5627483637278827</v>
      </c>
      <c r="AI211" t="str">
        <f t="shared" ref="AI211:AI274" si="216">IMSUM(COMPLEX(1,0),IMDIV(COMPLEX(0,2*PI()*N211),COMPLEX(wz1_dcm,0)))</f>
        <v>1+0.291993047674411i</v>
      </c>
      <c r="AJ211">
        <f t="shared" si="183"/>
        <v>1.0417581004677576</v>
      </c>
      <c r="AK211">
        <f t="shared" si="184"/>
        <v>0.28409487554939855</v>
      </c>
      <c r="AL211" t="str">
        <f t="shared" ref="AL211:AL274" si="217">IMSUB(COMPLEX(1,0),IMDIV(COMPLEX(0,2*PI()*N211),COMPLEX(wz2_dcm,0)))</f>
        <v>1-0.0203370106864258i</v>
      </c>
      <c r="AM211">
        <f t="shared" si="185"/>
        <v>1.0002067756237507</v>
      </c>
      <c r="AN211">
        <f t="shared" si="186"/>
        <v>-2.0334207626766038E-2</v>
      </c>
      <c r="AO211" s="58" t="str">
        <f t="shared" si="187"/>
        <v>0.266399009281107-0.9558414427298i</v>
      </c>
      <c r="AP211">
        <f t="shared" si="188"/>
        <v>-6.7395970091024743E-2</v>
      </c>
      <c r="AQ211" s="60">
        <f t="shared" si="189"/>
        <v>-74.42651260906446</v>
      </c>
      <c r="AR211" t="str">
        <f t="shared" ref="AR211:AR274" si="218">COMPLEX(adc_ea,0)</f>
        <v>-1.94444444444444</v>
      </c>
      <c r="AS211" t="str">
        <f t="shared" ref="AS211:AS274" si="219">IMSUM(COMPLEX(1,0), IMDIV(COMPLEX(0,2*PI()*N211), COMPLEX(wp0_ea,0)))</f>
        <v>1+0.29948004889683i</v>
      </c>
      <c r="AT211">
        <f t="shared" si="190"/>
        <v>1.0438813628412222</v>
      </c>
      <c r="AU211">
        <f t="shared" si="191"/>
        <v>0.29097970687934616</v>
      </c>
      <c r="AV211" t="str">
        <f t="shared" ref="AV211:AV274" si="220">IMSUM(COMPLEX(1,0),IMDIV(COMPLEX(0,2*PI()*N211),COMPLEX(wp1_ea,0)))</f>
        <v>1+0.29948004889683i</v>
      </c>
      <c r="AW211">
        <f t="shared" si="192"/>
        <v>1.0438813628412222</v>
      </c>
      <c r="AX211">
        <f t="shared" si="193"/>
        <v>0.29097970687934616</v>
      </c>
      <c r="AY211" t="str">
        <f t="shared" ref="AY211:AY274" si="221">IMSUM(COMPLEX(1,0),IMDIV(COMPLEX(wz_ea,0),COMPLEX(0,2*PI()*N211)))</f>
        <v>1-0.00710451191091214i</v>
      </c>
      <c r="AZ211">
        <f t="shared" si="194"/>
        <v>1.0000252367262998</v>
      </c>
      <c r="BA211">
        <f t="shared" si="195"/>
        <v>-7.1043923832752849E-3</v>
      </c>
      <c r="BB211" s="58" t="str">
        <f t="shared" si="196"/>
        <v>-1.78060765556727+0.547070796471019i</v>
      </c>
      <c r="BC211">
        <f t="shared" si="197"/>
        <v>5.4031071078832866</v>
      </c>
      <c r="BD211" s="60">
        <f t="shared" si="198"/>
        <v>162.92103917229306</v>
      </c>
      <c r="BE211" s="58" t="str">
        <f t="shared" si="199"/>
        <v>0.104871202395602+1.24107288991493i</v>
      </c>
      <c r="BF211" s="37">
        <f t="shared" si="200"/>
        <v>1.9068456255274489</v>
      </c>
      <c r="BG211" s="60">
        <f t="shared" si="201"/>
        <v>85.169955772617001</v>
      </c>
      <c r="BH211" s="58" t="str">
        <f t="shared" si="202"/>
        <v>0.0485608240127242+1.84771770861965i</v>
      </c>
      <c r="BI211" s="37">
        <f t="shared" si="203"/>
        <v>5.3357111377922539</v>
      </c>
      <c r="BJ211" s="60">
        <f t="shared" si="204"/>
        <v>88.494526563228618</v>
      </c>
      <c r="BK211">
        <f t="shared" si="205"/>
        <v>1.9068456255274489</v>
      </c>
      <c r="BL211" s="60">
        <f t="shared" si="206"/>
        <v>85.169955772617001</v>
      </c>
      <c r="BN211">
        <f t="shared" si="207"/>
        <v>0</v>
      </c>
      <c r="BO211">
        <f t="shared" si="208"/>
        <v>0</v>
      </c>
    </row>
    <row r="212" spans="13:67" ht="14.25" x14ac:dyDescent="0.2">
      <c r="M212" s="66">
        <v>94</v>
      </c>
      <c r="N212" s="36">
        <f t="shared" si="209"/>
        <v>870.96358995608091</v>
      </c>
      <c r="O212" s="91" t="str">
        <f t="shared" si="210"/>
        <v>99.7340425531915</v>
      </c>
      <c r="P212" s="67" t="str">
        <f t="shared" si="211"/>
        <v>1+158.933212489321i</v>
      </c>
      <c r="Q212" s="67">
        <f t="shared" ref="Q212:Q275" si="222">IMABS(P212)</f>
        <v>158.93635843373175</v>
      </c>
      <c r="R212" s="67">
        <f t="shared" ref="R212:R275" si="223">IMARGUMENT(P212)</f>
        <v>1.5645044587300989</v>
      </c>
      <c r="S212" s="67" t="str">
        <f t="shared" si="212"/>
        <v>1+0.298794439479924i</v>
      </c>
      <c r="T212" s="67">
        <f t="shared" ref="T212:T275" si="224">IMABS(S212)</f>
        <v>1.0436848744061216</v>
      </c>
      <c r="U212" s="67">
        <f t="shared" ref="U212:U275" si="225">IMARGUMENT(S212)</f>
        <v>0.29035040899844716</v>
      </c>
      <c r="V212" t="str">
        <f t="shared" si="213"/>
        <v>1-0.0308644805616624i</v>
      </c>
      <c r="W212" s="67">
        <f t="shared" ref="W212:W275" si="226">IMABS(V212)</f>
        <v>1.0004761946994747</v>
      </c>
      <c r="X212" s="67">
        <f t="shared" ref="X212:X275" si="227">IMARGUMENT(V212)</f>
        <v>-3.0854685491963664E-2</v>
      </c>
      <c r="Y212" t="str">
        <f t="shared" si="214"/>
        <v>0.999820455011827+0.047708326018209i</v>
      </c>
      <c r="Z212" s="67">
        <f t="shared" ref="Z212:Z275" si="228">IMABS(Y212)</f>
        <v>1.0009580543816592</v>
      </c>
      <c r="AA212" s="67">
        <f t="shared" ref="AA212:AA275" si="229">IMARGUMENT(Y212)</f>
        <v>4.7680727180628553E-2</v>
      </c>
      <c r="AB212" s="92" t="str">
        <f t="shared" ref="AB212:AB275" si="230">(IMDIV(IMPRODUCT(O212,S212,V212),IMPRODUCT(P212,Y212)))</f>
        <v>0.141644924605408-0.63909829081098i</v>
      </c>
      <c r="AC212" s="37">
        <f t="shared" ref="AC212:AC275" si="231">20*LOG(IMABS(AB212))</f>
        <v>-3.6803912986308287</v>
      </c>
      <c r="AD212" s="60">
        <f t="shared" ref="AD212:AD275" si="232">(180/PI())*IMARGUMENT(AB212)</f>
        <v>-77.503397187583403</v>
      </c>
      <c r="AE212" t="str">
        <f t="shared" ref="AE212:AE275" si="233">COMPLEX($B$67,0)</f>
        <v>118.329284003155</v>
      </c>
      <c r="AF212" t="str">
        <f t="shared" si="215"/>
        <v>1+127.146569991457i</v>
      </c>
      <c r="AG212">
        <f t="shared" ref="AG212:AG275" si="234">IMABS(AF212)</f>
        <v>127.15050240007889</v>
      </c>
      <c r="AH212">
        <f t="shared" ref="AH212:AH275" si="235">IMARGUMENT(AF212)</f>
        <v>1.5629315500907777</v>
      </c>
      <c r="AI212" t="str">
        <f t="shared" si="216"/>
        <v>1+0.298794439479924i</v>
      </c>
      <c r="AJ212">
        <f t="shared" ref="AJ212:AJ275" si="236">IMABS(AI212)</f>
        <v>1.0436848744061216</v>
      </c>
      <c r="AK212">
        <f t="shared" ref="AK212:AK275" si="237">IMARGUMENT(AI212)</f>
        <v>0.29035040899844716</v>
      </c>
      <c r="AL212" t="str">
        <f t="shared" si="217"/>
        <v>1-0.0208107205193583i</v>
      </c>
      <c r="AM212">
        <f t="shared" ref="AM212:AM275" si="238">IMABS(AL212)</f>
        <v>1.0002165196038979</v>
      </c>
      <c r="AN212">
        <f t="shared" ref="AN212:AN275" si="239">IMARGUMENT(AL212)</f>
        <v>-2.0807717021933677E-2</v>
      </c>
      <c r="AO212" s="58" t="str">
        <f t="shared" ref="AO212:AO275" si="240">(IMDIV(IMPRODUCT(AE212,AI212,AL212),IMPRODUCT(AF212)))</f>
        <v>0.266054848569867-0.93434699611709i</v>
      </c>
      <c r="AP212">
        <f t="shared" ref="AP212:AP275" si="241">20*LOG(IMABS(AO212))</f>
        <v>-0.25124862514679414</v>
      </c>
      <c r="AQ212" s="60">
        <f t="shared" ref="AQ212:AQ275" si="242">(180/PI())*IMARGUMENT(AO212)</f>
        <v>-74.105722839192168</v>
      </c>
      <c r="AR212" t="str">
        <f t="shared" si="218"/>
        <v>-1.94444444444444</v>
      </c>
      <c r="AS212" t="str">
        <f t="shared" si="219"/>
        <v>1+0.306455835364023i</v>
      </c>
      <c r="AT212">
        <f t="shared" ref="AT212:AT275" si="243">IMABS(AS212)</f>
        <v>1.0459040008665523</v>
      </c>
      <c r="AU212">
        <f t="shared" ref="AU212:AU275" si="244">IMARGUMENT(AS212)</f>
        <v>0.29736900518114234</v>
      </c>
      <c r="AV212" t="str">
        <f t="shared" si="220"/>
        <v>1+0.306455835364023i</v>
      </c>
      <c r="AW212">
        <f t="shared" ref="AW212:AW275" si="245">IMABS(AV212)</f>
        <v>1.0459040008665523</v>
      </c>
      <c r="AX212">
        <f t="shared" ref="AX212:AX275" si="246">IMARGUMENT(AV212)</f>
        <v>0.29736900518114234</v>
      </c>
      <c r="AY212" t="str">
        <f t="shared" si="221"/>
        <v>1-0.00694279347606725i</v>
      </c>
      <c r="AZ212">
        <f t="shared" ref="AZ212:AZ275" si="247">IMABS(AY212)</f>
        <v>1.0000241009001989</v>
      </c>
      <c r="BA212">
        <f t="shared" ref="BA212:BA275" si="248">IMARGUMENT(AY212)</f>
        <v>-6.9426819262340522E-3</v>
      </c>
      <c r="BB212" s="58" t="str">
        <f t="shared" ref="BB212:BB275" si="249">IMDIV(IMPRODUCT(AR212,AY212), AS212)</f>
        <v>-1.77372740208988+0.557068988918977i</v>
      </c>
      <c r="BC212">
        <f t="shared" ref="BC212:BC275" si="250">20*LOG(IMABS(BB212))</f>
        <v>5.386283634278076</v>
      </c>
      <c r="BD212" s="60">
        <f t="shared" ref="BD212:BD275" si="251">(180/PI())*IMARGUMENT(BB212)</f>
        <v>162.56422467224166</v>
      </c>
      <c r="BE212" s="58" t="str">
        <f t="shared" ref="BE212:BE275" si="252">IMPRODUCT(AB212,BB212)</f>
        <v>0.104782354542352+1.21249214597568i</v>
      </c>
      <c r="BF212" s="37">
        <f t="shared" ref="BF212:BF275" si="253">20*LOG(IMABS(BE212))</f>
        <v>1.7058923356472362</v>
      </c>
      <c r="BG212" s="60">
        <f t="shared" ref="BG212:BG275" si="254">(180/PI())*IMARGUMENT(BE212)</f>
        <v>85.060827484658247</v>
      </c>
      <c r="BH212" s="58" t="str">
        <f t="shared" ref="BH212:BH275" si="255">IMPRODUCT(AO212,BB212)</f>
        <v>0.0485869610591842+1.80548777556306i</v>
      </c>
      <c r="BI212" s="37">
        <f t="shared" ref="BI212:BI275" si="256">20*LOG(IMABS(BH212))</f>
        <v>5.1350350091313004</v>
      </c>
      <c r="BJ212" s="60">
        <f t="shared" ref="BJ212:BJ275" si="257">(180/PI())*IMARGUMENT(BH212)</f>
        <v>88.458501833049496</v>
      </c>
      <c r="BK212">
        <f t="shared" ref="BK212:BK275" si="258">IF($B$19=0,BF212,BI212)</f>
        <v>1.7058923356472362</v>
      </c>
      <c r="BL212" s="60">
        <f t="shared" ref="BL212:BL275" si="259">IF($B$19=0,BG212,BJ212)</f>
        <v>85.060827484658247</v>
      </c>
      <c r="BN212">
        <f t="shared" si="207"/>
        <v>0</v>
      </c>
      <c r="BO212">
        <f t="shared" si="208"/>
        <v>0</v>
      </c>
    </row>
    <row r="213" spans="13:67" ht="14.25" x14ac:dyDescent="0.2">
      <c r="M213" s="66">
        <v>95</v>
      </c>
      <c r="N213" s="36">
        <f t="shared" si="209"/>
        <v>891.25093813374656</v>
      </c>
      <c r="O213" s="91" t="str">
        <f t="shared" si="210"/>
        <v>99.7340425531915</v>
      </c>
      <c r="P213" s="67" t="str">
        <f t="shared" si="211"/>
        <v>1+162.635242580991i</v>
      </c>
      <c r="Q213" s="67">
        <f t="shared" si="222"/>
        <v>162.63831691633365</v>
      </c>
      <c r="R213" s="67">
        <f t="shared" si="223"/>
        <v>1.5646476754809033</v>
      </c>
      <c r="S213" s="67" t="str">
        <f t="shared" si="212"/>
        <v>1+0.305754256052262i</v>
      </c>
      <c r="T213" s="67">
        <f t="shared" si="224"/>
        <v>1.0456986492742888</v>
      </c>
      <c r="U213" s="67">
        <f t="shared" si="225"/>
        <v>0.29672753210565506</v>
      </c>
      <c r="V213" t="str">
        <f t="shared" si="213"/>
        <v>1-0.0315834066691348i</v>
      </c>
      <c r="W213" s="67">
        <f t="shared" si="226"/>
        <v>1.0004986314717417</v>
      </c>
      <c r="X213" s="67">
        <f t="shared" si="227"/>
        <v>-3.1572911345347204E-2</v>
      </c>
      <c r="Y213" t="str">
        <f t="shared" si="214"/>
        <v>0.999811993317225+0.0488195956878789i</v>
      </c>
      <c r="Z213" s="67">
        <f t="shared" si="228"/>
        <v>1.001003184262713</v>
      </c>
      <c r="AA213" s="67">
        <f t="shared" si="229"/>
        <v>4.8790024585545842E-2</v>
      </c>
      <c r="AB213" s="92" t="str">
        <f t="shared" si="230"/>
        <v>0.141440658176347-0.625124906201942i</v>
      </c>
      <c r="AC213" s="37">
        <f t="shared" si="231"/>
        <v>-3.8638372307375244</v>
      </c>
      <c r="AD213" s="60">
        <f t="shared" si="232"/>
        <v>-77.250930033144343</v>
      </c>
      <c r="AE213" t="str">
        <f t="shared" si="233"/>
        <v>118.329284003155</v>
      </c>
      <c r="AF213" t="str">
        <f t="shared" si="215"/>
        <v>1+130.108194064793i</v>
      </c>
      <c r="AG213">
        <f t="shared" si="234"/>
        <v>130.1120369635409</v>
      </c>
      <c r="AH213">
        <f t="shared" si="235"/>
        <v>1.5631105671330268</v>
      </c>
      <c r="AI213" t="str">
        <f t="shared" si="216"/>
        <v>1+0.305754256052262i</v>
      </c>
      <c r="AJ213">
        <f t="shared" si="236"/>
        <v>1.0456986492742888</v>
      </c>
      <c r="AK213">
        <f t="shared" si="237"/>
        <v>0.29672753210565506</v>
      </c>
      <c r="AL213" t="str">
        <f t="shared" si="217"/>
        <v>1-0.0212954644717727i</v>
      </c>
      <c r="AM213">
        <f t="shared" si="238"/>
        <v>1.0002267227019426</v>
      </c>
      <c r="AN213">
        <f t="shared" si="239"/>
        <v>-2.129224620569703E-2</v>
      </c>
      <c r="AO213" s="58" t="str">
        <f t="shared" si="240"/>
        <v>0.265726175769156-0.913347708946666i</v>
      </c>
      <c r="AP213">
        <f t="shared" si="241"/>
        <v>-0.43440478084801137</v>
      </c>
      <c r="AQ213" s="60">
        <f t="shared" si="242"/>
        <v>-73.778358997976156</v>
      </c>
      <c r="AR213" t="str">
        <f t="shared" si="218"/>
        <v>-1.94444444444444</v>
      </c>
      <c r="AS213" t="str">
        <f t="shared" si="219"/>
        <v>1+0.31359410877155i</v>
      </c>
      <c r="AT213">
        <f t="shared" si="243"/>
        <v>1.0480177789790699</v>
      </c>
      <c r="AU213">
        <f t="shared" si="244"/>
        <v>0.30388132579201454</v>
      </c>
      <c r="AV213" t="str">
        <f t="shared" si="220"/>
        <v>1+0.31359410877155i</v>
      </c>
      <c r="AW213">
        <f t="shared" si="245"/>
        <v>1.0480177789790699</v>
      </c>
      <c r="AX213">
        <f t="shared" si="246"/>
        <v>0.30388132579201454</v>
      </c>
      <c r="AY213" t="str">
        <f t="shared" si="221"/>
        <v>1-0.00678475620222208i</v>
      </c>
      <c r="AZ213">
        <f t="shared" si="247"/>
        <v>1.0000230161934891</v>
      </c>
      <c r="BA213">
        <f t="shared" si="248"/>
        <v>-6.7846520977249891E-3</v>
      </c>
      <c r="BB213" s="58" t="str">
        <f t="shared" si="249"/>
        <v>-1.76657965091194+0.567181552706005i</v>
      </c>
      <c r="BC213">
        <f t="shared" si="250"/>
        <v>5.3687376937589724</v>
      </c>
      <c r="BD213" s="60">
        <f t="shared" si="251"/>
        <v>162.20015062861341</v>
      </c>
      <c r="BE213" s="58" t="str">
        <f t="shared" si="252"/>
        <v>0.104693126388887+1.18455547069481i</v>
      </c>
      <c r="BF213" s="37">
        <f t="shared" si="253"/>
        <v>1.5049004630214802</v>
      </c>
      <c r="BG213" s="60">
        <f t="shared" si="254"/>
        <v>84.9492205954691</v>
      </c>
      <c r="BH213" s="58" t="str">
        <f t="shared" si="255"/>
        <v>0.0486075168924018+1.7642164617996i</v>
      </c>
      <c r="BI213" s="37">
        <f t="shared" si="256"/>
        <v>4.9343329129109605</v>
      </c>
      <c r="BJ213" s="60">
        <f t="shared" si="257"/>
        <v>88.421791630637273</v>
      </c>
      <c r="BK213">
        <f t="shared" si="258"/>
        <v>1.5049004630214802</v>
      </c>
      <c r="BL213" s="60">
        <f t="shared" si="259"/>
        <v>84.9492205954691</v>
      </c>
      <c r="BN213">
        <f t="shared" ref="BN213:BN276" si="260">SUM((BK214&lt;0)*(BK213&gt;0))*N213</f>
        <v>0</v>
      </c>
      <c r="BO213">
        <f t="shared" ref="BO213:BO276" si="261">IF(BN213&gt;0,BL213,0)</f>
        <v>0</v>
      </c>
    </row>
    <row r="214" spans="13:67" ht="14.25" x14ac:dyDescent="0.2">
      <c r="M214" s="66">
        <v>96</v>
      </c>
      <c r="N214" s="36">
        <f t="shared" si="209"/>
        <v>912.01083935590987</v>
      </c>
      <c r="O214" s="91" t="str">
        <f t="shared" si="210"/>
        <v>99.7340425531915</v>
      </c>
      <c r="P214" s="67" t="str">
        <f t="shared" si="211"/>
        <v>1+166.423504031008i</v>
      </c>
      <c r="Q214" s="67">
        <f t="shared" si="222"/>
        <v>166.42650838721258</v>
      </c>
      <c r="R214" s="67">
        <f t="shared" si="223"/>
        <v>1.5647876324641836</v>
      </c>
      <c r="S214" s="67" t="str">
        <f t="shared" si="212"/>
        <v>1+0.312876187578295i</v>
      </c>
      <c r="T214" s="67">
        <f t="shared" si="224"/>
        <v>1.0478031822596878</v>
      </c>
      <c r="U214" s="67">
        <f t="shared" si="225"/>
        <v>0.3032275505929441</v>
      </c>
      <c r="V214" t="str">
        <f t="shared" si="213"/>
        <v>1-0.0323190787168788i</v>
      </c>
      <c r="W214" s="67">
        <f t="shared" si="226"/>
        <v>1.0005221251172349</v>
      </c>
      <c r="X214" s="67">
        <f t="shared" si="227"/>
        <v>-3.2307833091764729E-2</v>
      </c>
      <c r="Y214" t="str">
        <f t="shared" si="214"/>
        <v>0.999803132835242+0.0499567501533861i</v>
      </c>
      <c r="Z214" s="67">
        <f t="shared" si="228"/>
        <v>1.001050438945537</v>
      </c>
      <c r="AA214" s="67">
        <f t="shared" si="229"/>
        <v>4.9925065924454684E-2</v>
      </c>
      <c r="AB214" s="92" t="str">
        <f t="shared" si="230"/>
        <v>0.141243118539489-0.611482759797189i</v>
      </c>
      <c r="AC214" s="37">
        <f t="shared" si="231"/>
        <v>-4.0465725887729382</v>
      </c>
      <c r="AD214" s="60">
        <f t="shared" si="232"/>
        <v>-76.9936663441555</v>
      </c>
      <c r="AE214" t="str">
        <f t="shared" si="233"/>
        <v>118.329284003155</v>
      </c>
      <c r="AF214" t="str">
        <f t="shared" si="215"/>
        <v>1+133.138803224806i</v>
      </c>
      <c r="AG214">
        <f t="shared" si="234"/>
        <v>133.14255865099489</v>
      </c>
      <c r="AH214">
        <f t="shared" si="235"/>
        <v>1.5632855097259128</v>
      </c>
      <c r="AI214" t="str">
        <f t="shared" si="216"/>
        <v>1+0.312876187578295i</v>
      </c>
      <c r="AJ214">
        <f t="shared" si="236"/>
        <v>1.0478031822596878</v>
      </c>
      <c r="AK214">
        <f t="shared" si="237"/>
        <v>0.3032275505929441</v>
      </c>
      <c r="AL214" t="str">
        <f t="shared" si="217"/>
        <v>1-0.0217914995613287i</v>
      </c>
      <c r="AM214">
        <f t="shared" si="238"/>
        <v>1.0002374065456316</v>
      </c>
      <c r="AN214">
        <f t="shared" si="239"/>
        <v>-2.1788051171303242E-2</v>
      </c>
      <c r="AO214" s="58" t="str">
        <f t="shared" si="240"/>
        <v>0.265412293972974-0.892832463382722i</v>
      </c>
      <c r="AP214">
        <f t="shared" si="241"/>
        <v>-0.61683713647380123</v>
      </c>
      <c r="AQ214" s="60">
        <f t="shared" si="242"/>
        <v>-73.44436637611777</v>
      </c>
      <c r="AR214" t="str">
        <f t="shared" si="218"/>
        <v>-1.94444444444444</v>
      </c>
      <c r="AS214" t="str">
        <f t="shared" si="219"/>
        <v>1+0.320898653926455i</v>
      </c>
      <c r="AT214">
        <f t="shared" si="243"/>
        <v>1.0502266165413114</v>
      </c>
      <c r="AU214">
        <f t="shared" si="244"/>
        <v>0.31051791131324125</v>
      </c>
      <c r="AV214" t="str">
        <f t="shared" si="220"/>
        <v>1+0.320898653926455i</v>
      </c>
      <c r="AW214">
        <f t="shared" si="245"/>
        <v>1.0502266165413114</v>
      </c>
      <c r="AX214">
        <f t="shared" si="246"/>
        <v>0.31051791131324125</v>
      </c>
      <c r="AY214" t="str">
        <f t="shared" si="221"/>
        <v>1-0.00663031629592222i</v>
      </c>
      <c r="AZ214">
        <f t="shared" si="247"/>
        <v>1.000021980305525</v>
      </c>
      <c r="BA214">
        <f t="shared" si="248"/>
        <v>-6.6302191398318082E-3</v>
      </c>
      <c r="BB214" s="58" t="str">
        <f t="shared" si="249"/>
        <v>-1.75915652148201+0.577403241476037i</v>
      </c>
      <c r="BC214">
        <f t="shared" si="250"/>
        <v>5.3504412876771426</v>
      </c>
      <c r="BD214" s="60">
        <f t="shared" si="251"/>
        <v>161.82875064457448</v>
      </c>
      <c r="BE214" s="58" t="str">
        <f t="shared" si="252"/>
        <v>0.104603374520411+1.15724811915193i</v>
      </c>
      <c r="BF214" s="37">
        <f t="shared" si="253"/>
        <v>1.3038686989042205</v>
      </c>
      <c r="BG214" s="60">
        <f t="shared" si="254"/>
        <v>84.835084300418998</v>
      </c>
      <c r="BH214" s="58" t="str">
        <f t="shared" si="255"/>
        <v>0.0486225906281613+1.72388196941815i</v>
      </c>
      <c r="BI214" s="37">
        <f t="shared" si="256"/>
        <v>4.7336041512033447</v>
      </c>
      <c r="BJ214" s="60">
        <f t="shared" si="257"/>
        <v>88.384384268456699</v>
      </c>
      <c r="BK214">
        <f t="shared" si="258"/>
        <v>1.3038686989042205</v>
      </c>
      <c r="BL214" s="60">
        <f t="shared" si="259"/>
        <v>84.835084300418998</v>
      </c>
      <c r="BN214">
        <f t="shared" si="260"/>
        <v>0</v>
      </c>
      <c r="BO214">
        <f t="shared" si="261"/>
        <v>0</v>
      </c>
    </row>
    <row r="215" spans="13:67" ht="14.25" x14ac:dyDescent="0.2">
      <c r="M215" s="66">
        <v>97</v>
      </c>
      <c r="N215" s="36">
        <f t="shared" si="209"/>
        <v>933.25430079699106</v>
      </c>
      <c r="O215" s="91" t="str">
        <f t="shared" si="210"/>
        <v>99.7340425531915</v>
      </c>
      <c r="P215" s="67" t="str">
        <f t="shared" si="211"/>
        <v>1+170.300005425738i</v>
      </c>
      <c r="Q215" s="67">
        <f t="shared" si="222"/>
        <v>170.30294139563881</v>
      </c>
      <c r="R215" s="67">
        <f t="shared" si="223"/>
        <v>1.5649244038650409</v>
      </c>
      <c r="S215" s="67" t="str">
        <f t="shared" si="212"/>
        <v>1+0.320164010200388i</v>
      </c>
      <c r="T215" s="67">
        <f t="shared" si="224"/>
        <v>1.0500023778199714</v>
      </c>
      <c r="U215" s="67">
        <f t="shared" si="225"/>
        <v>0.3098517130396638</v>
      </c>
      <c r="V215" t="str">
        <f t="shared" si="213"/>
        <v>1-0.0330718867679521i</v>
      </c>
      <c r="W215" s="67">
        <f t="shared" si="226"/>
        <v>1.0005467253928686</v>
      </c>
      <c r="X215" s="67">
        <f t="shared" si="227"/>
        <v>-3.3059837219129945E-2</v>
      </c>
      <c r="Y215" t="str">
        <f t="shared" si="214"/>
        <v>0.999793854771608+0.0511203923490805i</v>
      </c>
      <c r="Z215" s="67">
        <f t="shared" si="228"/>
        <v>1.0010999183662914</v>
      </c>
      <c r="AA215" s="67">
        <f t="shared" si="229"/>
        <v>5.1086444080892017E-2</v>
      </c>
      <c r="AB215" s="92" t="str">
        <f t="shared" si="230"/>
        <v>0.14105188749539-0.59816461685429i</v>
      </c>
      <c r="AC215" s="37">
        <f t="shared" si="231"/>
        <v>-4.2285698924106176</v>
      </c>
      <c r="AD215" s="60">
        <f t="shared" si="232"/>
        <v>-76.731594946633635</v>
      </c>
      <c r="AE215" t="str">
        <f t="shared" si="233"/>
        <v>118.329284003155</v>
      </c>
      <c r="AF215" t="str">
        <f t="shared" si="215"/>
        <v>1+136.240004340591i</v>
      </c>
      <c r="AG215">
        <f t="shared" si="234"/>
        <v>136.2436742851728</v>
      </c>
      <c r="AH215">
        <f t="shared" si="235"/>
        <v>1.5634564705834575</v>
      </c>
      <c r="AI215" t="str">
        <f t="shared" si="216"/>
        <v>1+0.320164010200388i</v>
      </c>
      <c r="AJ215">
        <f t="shared" si="236"/>
        <v>1.0500023778199714</v>
      </c>
      <c r="AK215">
        <f t="shared" si="237"/>
        <v>0.3098517130396638</v>
      </c>
      <c r="AL215" t="str">
        <f t="shared" si="217"/>
        <v>1-0.0222990887923968i</v>
      </c>
      <c r="AM215">
        <f t="shared" si="238"/>
        <v>1.0002485937810517</v>
      </c>
      <c r="AN215">
        <f t="shared" si="239"/>
        <v>-2.2295393825508703E-2</v>
      </c>
      <c r="AO215" s="58" t="str">
        <f t="shared" si="240"/>
        <v>0.265112537626746-0.872790397149325i</v>
      </c>
      <c r="AP215">
        <f t="shared" si="241"/>
        <v>-0.7985175731946148</v>
      </c>
      <c r="AQ215" s="60">
        <f t="shared" si="242"/>
        <v>-73.103693753563846</v>
      </c>
      <c r="AR215" t="str">
        <f t="shared" si="218"/>
        <v>-1.94444444444444</v>
      </c>
      <c r="AS215" t="str">
        <f t="shared" si="219"/>
        <v>1+0.328373343795269i</v>
      </c>
      <c r="AT215">
        <f t="shared" si="243"/>
        <v>1.0525345851397405</v>
      </c>
      <c r="AU215">
        <f t="shared" si="244"/>
        <v>0.3172799412938313</v>
      </c>
      <c r="AV215" t="str">
        <f t="shared" si="220"/>
        <v>1+0.328373343795269i</v>
      </c>
      <c r="AW215">
        <f t="shared" si="245"/>
        <v>1.0525345851397405</v>
      </c>
      <c r="AX215">
        <f t="shared" si="246"/>
        <v>0.3172799412938313</v>
      </c>
      <c r="AY215" t="str">
        <f t="shared" si="221"/>
        <v>1-0.00647939187108506i</v>
      </c>
      <c r="AZ215">
        <f t="shared" si="247"/>
        <v>1.0000209910391977</v>
      </c>
      <c r="BA215">
        <f t="shared" si="248"/>
        <v>-6.479301199638199E-3</v>
      </c>
      <c r="BB215" s="58" t="str">
        <f t="shared" si="249"/>
        <v>-1.75145012084601+0.587728350199942i</v>
      </c>
      <c r="BC215">
        <f t="shared" si="250"/>
        <v>5.3313656051620217</v>
      </c>
      <c r="BD215" s="60">
        <f t="shared" si="251"/>
        <v>161.44996182677161</v>
      </c>
      <c r="BE215" s="58" t="str">
        <f t="shared" si="252"/>
        <v>0.104512958012394+1.13055568360551i</v>
      </c>
      <c r="BF215" s="37">
        <f t="shared" si="253"/>
        <v>1.1027957127514254</v>
      </c>
      <c r="BG215" s="60">
        <f t="shared" si="254"/>
        <v>84.718366880137992</v>
      </c>
      <c r="BH215" s="58" t="str">
        <f t="shared" si="255"/>
        <v>0.0486322741227683+1.68446300091711i</v>
      </c>
      <c r="BI215" s="37">
        <f t="shared" si="256"/>
        <v>4.5328480319674043</v>
      </c>
      <c r="BJ215" s="60">
        <f t="shared" si="257"/>
        <v>88.346268073207767</v>
      </c>
      <c r="BK215">
        <f t="shared" si="258"/>
        <v>1.1027957127514254</v>
      </c>
      <c r="BL215" s="60">
        <f t="shared" si="259"/>
        <v>84.718366880137992</v>
      </c>
      <c r="BN215">
        <f t="shared" si="260"/>
        <v>0</v>
      </c>
      <c r="BO215">
        <f t="shared" si="261"/>
        <v>0</v>
      </c>
    </row>
    <row r="216" spans="13:67" ht="14.25" x14ac:dyDescent="0.2">
      <c r="M216" s="66">
        <v>98</v>
      </c>
      <c r="N216" s="36">
        <f t="shared" si="209"/>
        <v>954.99258602143675</v>
      </c>
      <c r="O216" s="91" t="str">
        <f t="shared" si="210"/>
        <v>99.7340425531915</v>
      </c>
      <c r="P216" s="67" t="str">
        <f t="shared" si="211"/>
        <v>1+174.266802137533i</v>
      </c>
      <c r="Q216" s="67">
        <f t="shared" si="222"/>
        <v>174.2696712777128</v>
      </c>
      <c r="R216" s="67">
        <f t="shared" si="223"/>
        <v>1.5650580621810024</v>
      </c>
      <c r="S216" s="67" t="str">
        <f t="shared" si="212"/>
        <v>1+0.327621588018561i</v>
      </c>
      <c r="T216" s="67">
        <f t="shared" si="224"/>
        <v>1.052300292186505</v>
      </c>
      <c r="U216" s="67">
        <f t="shared" si="225"/>
        <v>0.31660120551806642</v>
      </c>
      <c r="V216" t="str">
        <f t="shared" si="213"/>
        <v>1-0.0338422299711481i</v>
      </c>
      <c r="W216" s="67">
        <f t="shared" si="226"/>
        <v>1.0005724843955184</v>
      </c>
      <c r="X216" s="67">
        <f t="shared" si="227"/>
        <v>-3.3829319045912291E-2</v>
      </c>
      <c r="Y216" t="str">
        <f t="shared" si="214"/>
        <v>0.999784139446306+0.0523111392534568i</v>
      </c>
      <c r="Z216" s="67">
        <f t="shared" si="228"/>
        <v>1.0011517271514769</v>
      </c>
      <c r="AA216" s="67">
        <f t="shared" si="229"/>
        <v>5.2274765266576234E-2</v>
      </c>
      <c r="AB216" s="92" t="str">
        <f t="shared" si="230"/>
        <v>0.140866560288968-0.585163413412427i</v>
      </c>
      <c r="AC216" s="37">
        <f t="shared" si="231"/>
        <v>-4.4098008692042887</v>
      </c>
      <c r="AD216" s="60">
        <f t="shared" si="232"/>
        <v>-76.464709420899567</v>
      </c>
      <c r="AE216" t="str">
        <f t="shared" si="233"/>
        <v>118.329284003155</v>
      </c>
      <c r="AF216" t="str">
        <f t="shared" si="215"/>
        <v>1+139.413441710026i</v>
      </c>
      <c r="AG216">
        <f t="shared" si="234"/>
        <v>139.41702811864417</v>
      </c>
      <c r="AH216">
        <f t="shared" si="235"/>
        <v>1.563623540311373</v>
      </c>
      <c r="AI216" t="str">
        <f t="shared" si="216"/>
        <v>1+0.327621588018561i</v>
      </c>
      <c r="AJ216">
        <f t="shared" si="236"/>
        <v>1.052300292186505</v>
      </c>
      <c r="AK216">
        <f t="shared" si="237"/>
        <v>0.31660120551806642</v>
      </c>
      <c r="AL216" t="str">
        <f t="shared" si="217"/>
        <v>1-0.022818501295506i</v>
      </c>
      <c r="AM216">
        <f t="shared" si="238"/>
        <v>1.0002603081205277</v>
      </c>
      <c r="AN216">
        <f t="shared" si="239"/>
        <v>-2.2814542122799188E-2</v>
      </c>
      <c r="AO216" s="58" t="str">
        <f t="shared" si="240"/>
        <v>0.26482627111758-0.853210897843598i</v>
      </c>
      <c r="AP216">
        <f t="shared" si="241"/>
        <v>-0.97941715105570937</v>
      </c>
      <c r="AQ216" s="60">
        <f t="shared" si="242"/>
        <v>-72.756293717366233</v>
      </c>
      <c r="AR216" t="str">
        <f t="shared" si="218"/>
        <v>-1.94444444444444</v>
      </c>
      <c r="AS216" t="str">
        <f t="shared" si="219"/>
        <v>1+0.336022141557498i</v>
      </c>
      <c r="AT216">
        <f t="shared" si="243"/>
        <v>1.0549459131239323</v>
      </c>
      <c r="AU216">
        <f t="shared" si="244"/>
        <v>0.32416852664318224</v>
      </c>
      <c r="AV216" t="str">
        <f t="shared" si="220"/>
        <v>1+0.336022141557498i</v>
      </c>
      <c r="AW216">
        <f t="shared" si="245"/>
        <v>1.0549459131239323</v>
      </c>
      <c r="AX216">
        <f t="shared" si="246"/>
        <v>0.32416852664318224</v>
      </c>
      <c r="AY216" t="str">
        <f t="shared" si="221"/>
        <v>1-0.00633190290558282i</v>
      </c>
      <c r="AZ216">
        <f t="shared" si="247"/>
        <v>1.0000200462962758</v>
      </c>
      <c r="BA216">
        <f t="shared" si="248"/>
        <v>-6.3318182859691463E-3</v>
      </c>
      <c r="BB216" s="58" t="str">
        <f t="shared" si="249"/>
        <v>-1.74345256582732+0.598150698300731i</v>
      </c>
      <c r="BC216">
        <f t="shared" si="250"/>
        <v>5.3114810229292653</v>
      </c>
      <c r="BD216" s="60">
        <f t="shared" si="251"/>
        <v>161.06372510794174</v>
      </c>
      <c r="BE216" s="58" t="str">
        <f t="shared" si="252"/>
        <v>0.104421738377612+1.10446408594624i</v>
      </c>
      <c r="BF216" s="37">
        <f t="shared" si="253"/>
        <v>0.90168015372500132</v>
      </c>
      <c r="BG216" s="60">
        <f t="shared" si="254"/>
        <v>84.599015687042211</v>
      </c>
      <c r="BH216" s="58" t="str">
        <f t="shared" si="255"/>
        <v>0.0486366524645155+1.64593874803461i</v>
      </c>
      <c r="BI216" s="37">
        <f t="shared" si="256"/>
        <v>4.3320638718735456</v>
      </c>
      <c r="BJ216" s="60">
        <f t="shared" si="257"/>
        <v>88.307431390575516</v>
      </c>
      <c r="BK216">
        <f t="shared" si="258"/>
        <v>0.90168015372500132</v>
      </c>
      <c r="BL216" s="60">
        <f t="shared" si="259"/>
        <v>84.599015687042211</v>
      </c>
      <c r="BN216">
        <f t="shared" si="260"/>
        <v>0</v>
      </c>
      <c r="BO216">
        <f t="shared" si="261"/>
        <v>0</v>
      </c>
    </row>
    <row r="217" spans="13:67" ht="14.25" x14ac:dyDescent="0.2">
      <c r="M217" s="66">
        <v>99</v>
      </c>
      <c r="N217" s="36">
        <f t="shared" si="209"/>
        <v>977.23722095581138</v>
      </c>
      <c r="O217" s="91" t="str">
        <f t="shared" si="210"/>
        <v>99.7340425531915</v>
      </c>
      <c r="P217" s="67" t="str">
        <f t="shared" si="211"/>
        <v>1+178.325997414514i</v>
      </c>
      <c r="Q217" s="67">
        <f t="shared" si="222"/>
        <v>178.32880124612865</v>
      </c>
      <c r="R217" s="67">
        <f t="shared" si="223"/>
        <v>1.5651886782603635</v>
      </c>
      <c r="S217" s="67" t="str">
        <f t="shared" si="212"/>
        <v>1+0.335252875139286i</v>
      </c>
      <c r="T217" s="67">
        <f t="shared" si="224"/>
        <v>1.0547011379007598</v>
      </c>
      <c r="U217" s="67">
        <f t="shared" si="225"/>
        <v>0.32347714602584043</v>
      </c>
      <c r="V217" t="str">
        <f t="shared" si="213"/>
        <v>1-0.0346305167726296i</v>
      </c>
      <c r="W217" s="67">
        <f t="shared" si="226"/>
        <v>1.000599456671819</v>
      </c>
      <c r="X217" s="67">
        <f t="shared" si="227"/>
        <v>-3.4616682914582614E-2</v>
      </c>
      <c r="Y217" t="str">
        <f t="shared" si="214"/>
        <v>0.999773966251829+0.0535296222162851i</v>
      </c>
      <c r="Z217" s="67">
        <f t="shared" si="228"/>
        <v>1.0012059748371118</v>
      </c>
      <c r="AA217" s="67">
        <f t="shared" si="229"/>
        <v>5.3490649297680763E-2</v>
      </c>
      <c r="AB217" s="92" t="str">
        <f t="shared" si="230"/>
        <v>0.140686744758303-0.572472252535874i</v>
      </c>
      <c r="AC217" s="37">
        <f t="shared" si="231"/>
        <v>-4.5902364551022901</v>
      </c>
      <c r="AD217" s="60">
        <f t="shared" si="232"/>
        <v>-76.193008449680633</v>
      </c>
      <c r="AE217" t="str">
        <f t="shared" si="233"/>
        <v>118.329284003155</v>
      </c>
      <c r="AF217" t="str">
        <f t="shared" si="215"/>
        <v>1+142.660797931611i</v>
      </c>
      <c r="AG217">
        <f t="shared" si="234"/>
        <v>142.66430270563112</v>
      </c>
      <c r="AH217">
        <f t="shared" si="235"/>
        <v>1.5637868074549122</v>
      </c>
      <c r="AI217" t="str">
        <f t="shared" si="216"/>
        <v>1+0.335252875139286i</v>
      </c>
      <c r="AJ217">
        <f t="shared" si="236"/>
        <v>1.0547011379007598</v>
      </c>
      <c r="AK217">
        <f t="shared" si="237"/>
        <v>0.32347714602584043</v>
      </c>
      <c r="AL217" t="str">
        <f t="shared" si="217"/>
        <v>1-0.0233500124700406i</v>
      </c>
      <c r="AM217">
        <f t="shared" si="238"/>
        <v>1.0002725743927758</v>
      </c>
      <c r="AN217">
        <f t="shared" si="239"/>
        <v>-2.3345770202486182E-2</v>
      </c>
      <c r="AO217" s="58" t="str">
        <f t="shared" si="240"/>
        <v>0.264552887427807-0.834083597376382i</v>
      </c>
      <c r="AP217">
        <f t="shared" si="241"/>
        <v>-1.1595061081164713</v>
      </c>
      <c r="AQ217" s="60">
        <f t="shared" si="242"/>
        <v>-72.402122991270602</v>
      </c>
      <c r="AR217" t="str">
        <f t="shared" si="218"/>
        <v>-1.94444444444444</v>
      </c>
      <c r="AS217" t="str">
        <f t="shared" si="219"/>
        <v>1+0.343849102706959i</v>
      </c>
      <c r="AT217">
        <f t="shared" si="243"/>
        <v>1.057464990168649</v>
      </c>
      <c r="AU217">
        <f t="shared" si="244"/>
        <v>0.33118470384821724</v>
      </c>
      <c r="AV217" t="str">
        <f t="shared" si="220"/>
        <v>1+0.343849102706959i</v>
      </c>
      <c r="AW217">
        <f t="shared" si="245"/>
        <v>1.057464990168649</v>
      </c>
      <c r="AX217">
        <f t="shared" si="246"/>
        <v>0.33118470384821724</v>
      </c>
      <c r="AY217" t="str">
        <f t="shared" si="221"/>
        <v>1-0.00618777119881378i</v>
      </c>
      <c r="AZ217">
        <f t="shared" si="247"/>
        <v>1.0000191440729567</v>
      </c>
      <c r="BA217">
        <f t="shared" si="248"/>
        <v>-6.1876922271098872E-3</v>
      </c>
      <c r="BB217" s="58" t="str">
        <f t="shared" si="249"/>
        <v>-1.73515600711477+0.608663613434031i</v>
      </c>
      <c r="BC217">
        <f t="shared" si="250"/>
        <v>5.2907571074747555</v>
      </c>
      <c r="BD217" s="60">
        <f t="shared" si="251"/>
        <v>160.66998558066777</v>
      </c>
      <c r="BE217" s="58" t="str">
        <f t="shared" si="252"/>
        <v>0.104329579530412+1.07895957032101i</v>
      </c>
      <c r="BF217" s="37">
        <f t="shared" si="253"/>
        <v>0.70052065237250183</v>
      </c>
      <c r="BG217" s="60">
        <f t="shared" si="254"/>
        <v>84.476977130987166</v>
      </c>
      <c r="BH217" s="58" t="str">
        <f t="shared" si="255"/>
        <v>0.0486358044652473+1.60828888082974i</v>
      </c>
      <c r="BI217" s="37">
        <f t="shared" si="256"/>
        <v>4.131250999358274</v>
      </c>
      <c r="BJ217" s="60">
        <f t="shared" si="257"/>
        <v>88.267862589397168</v>
      </c>
      <c r="BK217">
        <f t="shared" si="258"/>
        <v>0.70052065237250183</v>
      </c>
      <c r="BL217" s="60">
        <f t="shared" si="259"/>
        <v>84.476977130987166</v>
      </c>
      <c r="BN217">
        <f t="shared" si="260"/>
        <v>0</v>
      </c>
      <c r="BO217">
        <f t="shared" si="261"/>
        <v>0</v>
      </c>
    </row>
    <row r="218" spans="13:67" ht="14.25" x14ac:dyDescent="0.2">
      <c r="M218" s="66">
        <v>100</v>
      </c>
      <c r="N218" s="36">
        <f t="shared" si="209"/>
        <v>1000</v>
      </c>
      <c r="O218" s="91" t="str">
        <f t="shared" si="210"/>
        <v>99.7340425531915</v>
      </c>
      <c r="P218" s="67" t="str">
        <f t="shared" si="211"/>
        <v>1+182.479743495748i</v>
      </c>
      <c r="Q218" s="67">
        <f t="shared" si="222"/>
        <v>182.4824835053326</v>
      </c>
      <c r="R218" s="67">
        <f t="shared" si="223"/>
        <v>1.565316321339661</v>
      </c>
      <c r="S218" s="67" t="str">
        <f t="shared" si="212"/>
        <v>1+0.343061917772006i</v>
      </c>
      <c r="T218" s="67">
        <f t="shared" si="224"/>
        <v>1.0572092883745425</v>
      </c>
      <c r="U218" s="67">
        <f t="shared" si="225"/>
        <v>0.33048057872234665</v>
      </c>
      <c r="V218" t="str">
        <f t="shared" si="213"/>
        <v>1-0.0354371651324929i</v>
      </c>
      <c r="W218" s="67">
        <f t="shared" si="226"/>
        <v>1.0006276993330874</v>
      </c>
      <c r="X218" s="67">
        <f t="shared" si="227"/>
        <v>-3.5422342388696161E-2</v>
      </c>
      <c r="Y218" t="str">
        <f t="shared" si="214"/>
        <v>0.999763313609467+0.0547764872933606i</v>
      </c>
      <c r="Z218" s="67">
        <f t="shared" si="228"/>
        <v>1.0012627760980539</v>
      </c>
      <c r="AA218" s="67">
        <f t="shared" si="229"/>
        <v>5.4734729875131845E-2</v>
      </c>
      <c r="AB218" s="92" t="str">
        <f t="shared" si="230"/>
        <v>0.140512060510707-0.560084400641086i</v>
      </c>
      <c r="AC218" s="37">
        <f t="shared" si="231"/>
        <v>-4.7698467973718088</v>
      </c>
      <c r="AD218" s="60">
        <f t="shared" si="232"/>
        <v>-75.916496177848146</v>
      </c>
      <c r="AE218" t="str">
        <f t="shared" si="233"/>
        <v>118.329284003155</v>
      </c>
      <c r="AF218" t="str">
        <f t="shared" si="215"/>
        <v>1+145.983794796598i</v>
      </c>
      <c r="AG218">
        <f t="shared" si="234"/>
        <v>145.98721979411496</v>
      </c>
      <c r="AH218">
        <f t="shared" si="235"/>
        <v>1.5639463585456397</v>
      </c>
      <c r="AI218" t="str">
        <f t="shared" si="216"/>
        <v>1+0.343061917772006i</v>
      </c>
      <c r="AJ218">
        <f t="shared" si="236"/>
        <v>1.0572092883745425</v>
      </c>
      <c r="AK218">
        <f t="shared" si="237"/>
        <v>0.33048057872234665</v>
      </c>
      <c r="AL218" t="str">
        <f t="shared" si="217"/>
        <v>1-0.0238939041302608i</v>
      </c>
      <c r="AM218">
        <f t="shared" si="238"/>
        <v>1.0002854185954058</v>
      </c>
      <c r="AN218">
        <f t="shared" si="239"/>
        <v>-2.3889358528727506E-2</v>
      </c>
      <c r="AO218" s="58" t="str">
        <f t="shared" si="240"/>
        <v>0.264291806849058-0.815398366538078i</v>
      </c>
      <c r="AP218">
        <f t="shared" si="241"/>
        <v>-1.3387538619348489</v>
      </c>
      <c r="AQ218" s="60">
        <f t="shared" si="242"/>
        <v>-72.041142776658432</v>
      </c>
      <c r="AR218" t="str">
        <f t="shared" si="218"/>
        <v>-1.94444444444444</v>
      </c>
      <c r="AS218" t="str">
        <f t="shared" si="219"/>
        <v>1+0.351858377202056i</v>
      </c>
      <c r="AT218">
        <f t="shared" si="243"/>
        <v>1.0600963718489298</v>
      </c>
      <c r="AU218">
        <f t="shared" si="244"/>
        <v>0.33832942900371199</v>
      </c>
      <c r="AV218" t="str">
        <f t="shared" si="220"/>
        <v>1+0.351858377202056i</v>
      </c>
      <c r="AW218">
        <f t="shared" si="245"/>
        <v>1.0600963718489298</v>
      </c>
      <c r="AX218">
        <f t="shared" si="246"/>
        <v>0.33832942900371199</v>
      </c>
      <c r="AY218" t="str">
        <f t="shared" si="221"/>
        <v>1-0.00604692033023918i</v>
      </c>
      <c r="AZ218">
        <f t="shared" si="247"/>
        <v>1.0000182824556161</v>
      </c>
      <c r="BA218">
        <f t="shared" si="248"/>
        <v>-6.0468466294806801E-3</v>
      </c>
      <c r="BB218" s="58" t="str">
        <f t="shared" si="249"/>
        <v>-1.72655265530246+0.619259916090758i</v>
      </c>
      <c r="BC218">
        <f t="shared" si="250"/>
        <v>5.2691626198537511</v>
      </c>
      <c r="BD218" s="60">
        <f t="shared" si="251"/>
        <v>160.26869284178406</v>
      </c>
      <c r="BE218" s="58" t="str">
        <f t="shared" si="252"/>
        <v>0.10423634776796+1.05402869592195i</v>
      </c>
      <c r="BF218" s="37">
        <f t="shared" si="253"/>
        <v>0.49931582248190909</v>
      </c>
      <c r="BG218" s="60">
        <f t="shared" si="254"/>
        <v>84.352196663935914</v>
      </c>
      <c r="BH218" s="58" t="str">
        <f t="shared" si="255"/>
        <v>0.0486298031529853+1.57149353700843i</v>
      </c>
      <c r="BI218" s="37">
        <f t="shared" si="256"/>
        <v>3.930408757918904</v>
      </c>
      <c r="BJ218" s="60">
        <f t="shared" si="257"/>
        <v>88.227550065125641</v>
      </c>
      <c r="BK218">
        <f t="shared" si="258"/>
        <v>0.49931582248190909</v>
      </c>
      <c r="BL218" s="60">
        <f t="shared" si="259"/>
        <v>84.352196663935914</v>
      </c>
      <c r="BN218">
        <f t="shared" si="260"/>
        <v>0</v>
      </c>
      <c r="BO218">
        <f t="shared" si="261"/>
        <v>0</v>
      </c>
    </row>
    <row r="219" spans="13:67" ht="14.25" x14ac:dyDescent="0.2">
      <c r="M219" s="66">
        <v>1</v>
      </c>
      <c r="N219" s="36">
        <f>10^(3+(M219/100))</f>
        <v>1023.2929922807547</v>
      </c>
      <c r="O219" s="91" t="str">
        <f t="shared" si="210"/>
        <v>99.7340425531915</v>
      </c>
      <c r="P219" s="67" t="str">
        <f t="shared" si="211"/>
        <v>1+186.730242752388i</v>
      </c>
      <c r="Q219" s="67">
        <f t="shared" si="222"/>
        <v>186.73292039264459</v>
      </c>
      <c r="R219" s="67">
        <f t="shared" si="223"/>
        <v>1.5654410590802983</v>
      </c>
      <c r="S219" s="67" t="str">
        <f t="shared" si="212"/>
        <v>1+0.35105285637449i</v>
      </c>
      <c r="T219" s="67">
        <f t="shared" si="224"/>
        <v>1.0598292824642506</v>
      </c>
      <c r="U219" s="67">
        <f t="shared" si="225"/>
        <v>0.33761246797709227</v>
      </c>
      <c r="V219" t="str">
        <f t="shared" si="213"/>
        <v>1-0.0362626027463759i</v>
      </c>
      <c r="W219" s="67">
        <f t="shared" si="226"/>
        <v>1.0006572721756144</v>
      </c>
      <c r="X219" s="67">
        <f t="shared" si="227"/>
        <v>-3.6246720453634688E-2</v>
      </c>
      <c r="Y219" t="str">
        <f t="shared" si="214"/>
        <v>0.999752158923538+0.0560523955890517i</v>
      </c>
      <c r="Z219" s="67">
        <f t="shared" si="228"/>
        <v>1.0013222509879358</v>
      </c>
      <c r="AA219" s="67">
        <f t="shared" si="229"/>
        <v>5.6007654868857573E-2</v>
      </c>
      <c r="AB219" s="92" t="str">
        <f t="shared" si="230"/>
        <v>0.140342138124434-0.547993283905754i</v>
      </c>
      <c r="AC219" s="37">
        <f t="shared" si="231"/>
        <v>-4.9486012601277656</v>
      </c>
      <c r="AD219" s="60">
        <f t="shared" si="232"/>
        <v>-75.635182583302523</v>
      </c>
      <c r="AE219" t="str">
        <f t="shared" si="233"/>
        <v>118.329284003155</v>
      </c>
      <c r="AF219" t="str">
        <f t="shared" si="215"/>
        <v>1+149.384194201911i</v>
      </c>
      <c r="AG219">
        <f t="shared" si="234"/>
        <v>149.38754123873335</v>
      </c>
      <c r="AH219">
        <f t="shared" si="235"/>
        <v>1.5641022781471439</v>
      </c>
      <c r="AI219" t="str">
        <f t="shared" si="216"/>
        <v>1+0.35105285637449i</v>
      </c>
      <c r="AJ219">
        <f t="shared" si="236"/>
        <v>1.0598292824642506</v>
      </c>
      <c r="AK219">
        <f t="shared" si="237"/>
        <v>0.33761246797709227</v>
      </c>
      <c r="AL219" t="str">
        <f t="shared" si="217"/>
        <v>1-0.024450464654724i</v>
      </c>
      <c r="AM219">
        <f t="shared" si="238"/>
        <v>1.0002988679498903</v>
      </c>
      <c r="AN219">
        <f t="shared" si="239"/>
        <v>-2.4445594033520757E-2</v>
      </c>
      <c r="AO219" s="58" t="str">
        <f t="shared" si="240"/>
        <v>0.264042475754106-0.797145309686857i</v>
      </c>
      <c r="AP219">
        <f t="shared" si="241"/>
        <v>-1.5171290135966162</v>
      </c>
      <c r="AQ219" s="60">
        <f t="shared" si="242"/>
        <v>-71.673319104356395</v>
      </c>
      <c r="AR219" t="str">
        <f t="shared" si="218"/>
        <v>-1.94444444444444</v>
      </c>
      <c r="AS219" t="str">
        <f t="shared" si="219"/>
        <v>1+0.360054211666142i</v>
      </c>
      <c r="AT219">
        <f t="shared" si="243"/>
        <v>1.0628447842175861</v>
      </c>
      <c r="AU219">
        <f t="shared" si="244"/>
        <v>0.3456035716666066</v>
      </c>
      <c r="AV219" t="str">
        <f t="shared" si="220"/>
        <v>1+0.360054211666142i</v>
      </c>
      <c r="AW219">
        <f t="shared" si="245"/>
        <v>1.0628447842175861</v>
      </c>
      <c r="AX219">
        <f t="shared" si="246"/>
        <v>0.3456035716666066</v>
      </c>
      <c r="AY219" t="str">
        <f t="shared" si="221"/>
        <v>1-0.00590927561886414i</v>
      </c>
      <c r="AZ219">
        <f t="shared" si="247"/>
        <v>1.0000174596167508</v>
      </c>
      <c r="BA219">
        <f t="shared" si="248"/>
        <v>-5.9092068372463835E-3</v>
      </c>
      <c r="BB219" s="58" t="str">
        <f t="shared" si="249"/>
        <v>-1.71763480891374+0.629931905201554i</v>
      </c>
      <c r="BC219">
        <f t="shared" si="250"/>
        <v>5.2466655232474153</v>
      </c>
      <c r="BD219" s="60">
        <f t="shared" si="251"/>
        <v>159.85980134681225</v>
      </c>
      <c r="BE219" s="58" t="str">
        <f t="shared" si="252"/>
        <v>0.1041419117685+1.02965832993626i</v>
      </c>
      <c r="BF219" s="37">
        <f t="shared" si="253"/>
        <v>0.29806426311967521</v>
      </c>
      <c r="BG219" s="60">
        <f t="shared" si="254"/>
        <v>84.224618763509753</v>
      </c>
      <c r="BH219" s="58" t="str">
        <f t="shared" si="255"/>
        <v>0.0486187162665099+1.53553331148639i</v>
      </c>
      <c r="BI219" s="37">
        <f t="shared" si="256"/>
        <v>3.7295365096508117</v>
      </c>
      <c r="BJ219" s="60">
        <f t="shared" si="257"/>
        <v>88.186482242455867</v>
      </c>
      <c r="BK219">
        <f t="shared" si="258"/>
        <v>0.29806426311967521</v>
      </c>
      <c r="BL219" s="60">
        <f t="shared" si="259"/>
        <v>84.224618763509753</v>
      </c>
      <c r="BN219">
        <f t="shared" si="260"/>
        <v>0</v>
      </c>
      <c r="BO219">
        <f t="shared" si="261"/>
        <v>0</v>
      </c>
    </row>
    <row r="220" spans="13:67" ht="14.25" x14ac:dyDescent="0.2">
      <c r="M220" s="66">
        <v>2</v>
      </c>
      <c r="N220" s="36">
        <f t="shared" ref="N220:N283" si="262">10^(3+(M220/100))</f>
        <v>1047.1285480509</v>
      </c>
      <c r="O220" s="91" t="str">
        <f t="shared" si="210"/>
        <v>99.7340425531915</v>
      </c>
      <c r="P220" s="67" t="str">
        <f t="shared" si="211"/>
        <v>1+191.079748855403i</v>
      </c>
      <c r="Q220" s="67">
        <f t="shared" si="222"/>
        <v>191.08236554597045</v>
      </c>
      <c r="R220" s="67">
        <f t="shared" si="223"/>
        <v>1.5655629576043411</v>
      </c>
      <c r="S220" s="67" t="str">
        <f t="shared" si="212"/>
        <v>1+0.359229927848158i</v>
      </c>
      <c r="T220" s="67">
        <f t="shared" si="224"/>
        <v>1.0625658290486255</v>
      </c>
      <c r="U220" s="67">
        <f t="shared" si="225"/>
        <v>0.34487369224101816</v>
      </c>
      <c r="V220" t="str">
        <f t="shared" si="213"/>
        <v>1-0.0371072672722273i</v>
      </c>
      <c r="W220" s="67">
        <f t="shared" si="226"/>
        <v>1.0006882378065671</v>
      </c>
      <c r="X220" s="67">
        <f t="shared" si="227"/>
        <v>-3.7090249721027028E-2</v>
      </c>
      <c r="Y220" t="str">
        <f t="shared" si="214"/>
        <v>0.999740478533457+0.0573580236068253i</v>
      </c>
      <c r="Z220" s="67">
        <f t="shared" si="228"/>
        <v>1.0013845251901923</v>
      </c>
      <c r="AA220" s="67">
        <f t="shared" si="229"/>
        <v>5.731008660589796E-2</v>
      </c>
      <c r="AB220" s="92" t="str">
        <f t="shared" si="230"/>
        <v>0.140176618374372-0.536192484757456i</v>
      </c>
      <c r="AC220" s="37">
        <f t="shared" si="231"/>
        <v>-5.1264684326762104</v>
      </c>
      <c r="AD220" s="60">
        <f t="shared" si="232"/>
        <v>-75.349083858391651</v>
      </c>
      <c r="AE220" t="str">
        <f t="shared" si="233"/>
        <v>118.329284003155</v>
      </c>
      <c r="AF220" t="str">
        <f t="shared" si="215"/>
        <v>1+152.863799084322i</v>
      </c>
      <c r="AG220">
        <f t="shared" si="234"/>
        <v>152.86706993493391</v>
      </c>
      <c r="AH220">
        <f t="shared" si="235"/>
        <v>1.5642546488997193</v>
      </c>
      <c r="AI220" t="str">
        <f t="shared" si="216"/>
        <v>1+0.359229927848158i</v>
      </c>
      <c r="AJ220">
        <f t="shared" si="236"/>
        <v>1.0625658290486255</v>
      </c>
      <c r="AK220">
        <f t="shared" si="237"/>
        <v>0.34487369224101816</v>
      </c>
      <c r="AL220" t="str">
        <f t="shared" si="217"/>
        <v>1-0.0250199891391873i</v>
      </c>
      <c r="AM220">
        <f t="shared" si="238"/>
        <v>1.0003129509591111</v>
      </c>
      <c r="AN220">
        <f t="shared" si="239"/>
        <v>-2.5014770262719529E-2</v>
      </c>
      <c r="AO220" s="58" t="str">
        <f t="shared" si="240"/>
        <v>0.26380436542391-0.779314759556805i</v>
      </c>
      <c r="AP220">
        <f t="shared" si="241"/>
        <v>-1.6945993544900291</v>
      </c>
      <c r="AQ220" s="60">
        <f t="shared" si="242"/>
        <v>-71.298623196711461</v>
      </c>
      <c r="AR220" t="str">
        <f t="shared" si="218"/>
        <v>-1.94444444444444</v>
      </c>
      <c r="AS220" t="str">
        <f t="shared" si="219"/>
        <v>1+0.368440951639135i</v>
      </c>
      <c r="AT220">
        <f t="shared" si="243"/>
        <v>1.0657151283737842</v>
      </c>
      <c r="AU220">
        <f t="shared" si="244"/>
        <v>0.35300790854729391</v>
      </c>
      <c r="AV220" t="str">
        <f t="shared" si="220"/>
        <v>1+0.368440951639135i</v>
      </c>
      <c r="AW220">
        <f t="shared" si="245"/>
        <v>1.0657151283737842</v>
      </c>
      <c r="AX220">
        <f t="shared" si="246"/>
        <v>0.35300790854729391</v>
      </c>
      <c r="AY220" t="str">
        <f t="shared" si="221"/>
        <v>1-0.00577476408364071i</v>
      </c>
      <c r="AZ220">
        <f t="shared" si="247"/>
        <v>1.0000166738111029</v>
      </c>
      <c r="BA220">
        <f t="shared" si="248"/>
        <v>-5.7746998928395934E-3</v>
      </c>
      <c r="BB220" s="58" t="str">
        <f t="shared" si="249"/>
        <v>-1.70839488442875+0.640671344934771i</v>
      </c>
      <c r="BC220">
        <f t="shared" si="250"/>
        <v>5.2232329935230233</v>
      </c>
      <c r="BD220" s="60">
        <f t="shared" si="251"/>
        <v>159.44327077368555</v>
      </c>
      <c r="BE220" s="58" t="str">
        <f t="shared" si="252"/>
        <v>0.104046142606178+1.0058356406511i</v>
      </c>
      <c r="BF220" s="37">
        <f t="shared" si="253"/>
        <v>9.6764560846854031E-2</v>
      </c>
      <c r="BG220" s="60">
        <f t="shared" si="254"/>
        <v>84.094186915293932</v>
      </c>
      <c r="BH220" s="58" t="str">
        <f t="shared" si="255"/>
        <v>0.0486026067525954+1.50038924618247i</v>
      </c>
      <c r="BI220" s="37">
        <f t="shared" si="256"/>
        <v>3.528633639033012</v>
      </c>
      <c r="BJ220" s="60">
        <f t="shared" si="257"/>
        <v>88.144647576974108</v>
      </c>
      <c r="BK220">
        <f t="shared" si="258"/>
        <v>9.6764560846854031E-2</v>
      </c>
      <c r="BL220" s="60">
        <f t="shared" si="259"/>
        <v>84.094186915293932</v>
      </c>
      <c r="BN220">
        <f t="shared" si="260"/>
        <v>1047.1285480509</v>
      </c>
      <c r="BO220">
        <f t="shared" si="261"/>
        <v>84.094186915293932</v>
      </c>
    </row>
    <row r="221" spans="13:67" ht="14.25" x14ac:dyDescent="0.2">
      <c r="M221" s="66">
        <v>3</v>
      </c>
      <c r="N221" s="36">
        <f t="shared" si="262"/>
        <v>1071.5193052376069</v>
      </c>
      <c r="O221" s="91" t="str">
        <f t="shared" si="210"/>
        <v>99.7340425531915</v>
      </c>
      <c r="P221" s="67" t="str">
        <f t="shared" si="211"/>
        <v>1+195.5305679705i</v>
      </c>
      <c r="Q221" s="67">
        <f t="shared" si="222"/>
        <v>195.53312509870628</v>
      </c>
      <c r="R221" s="67">
        <f t="shared" si="223"/>
        <v>1.5656820815295009</v>
      </c>
      <c r="S221" s="67" t="str">
        <f t="shared" si="212"/>
        <v>1+0.367597467784541i</v>
      </c>
      <c r="T221" s="67">
        <f t="shared" si="224"/>
        <v>1.0654238115987491</v>
      </c>
      <c r="U221" s="67">
        <f t="shared" si="225"/>
        <v>0.35226503775336593</v>
      </c>
      <c r="V221" t="str">
        <f t="shared" si="213"/>
        <v>1-0.0379716065623591i</v>
      </c>
      <c r="W221" s="67">
        <f t="shared" si="226"/>
        <v>1.0007206617757658</v>
      </c>
      <c r="X221" s="67">
        <f t="shared" si="227"/>
        <v>-3.7953372636865157E-2</v>
      </c>
      <c r="Y221" t="str">
        <f t="shared" si="214"/>
        <v>0.999728247663551+0.0586940636079383i</v>
      </c>
      <c r="Z221" s="67">
        <f t="shared" si="228"/>
        <v>1.00144973028068</v>
      </c>
      <c r="AA221" s="67">
        <f t="shared" si="229"/>
        <v>5.8642702162276711E-2</v>
      </c>
      <c r="AB221" s="92" t="str">
        <f t="shared" si="230"/>
        <v>0.140015151480169-0.524675738440293i</v>
      </c>
      <c r="AC221" s="37">
        <f t="shared" si="231"/>
        <v>-5.3034161408741953</v>
      </c>
      <c r="AD221" s="60">
        <f t="shared" si="232"/>
        <v>-75.058222801134434</v>
      </c>
      <c r="AE221" t="str">
        <f t="shared" si="233"/>
        <v>118.329284003155</v>
      </c>
      <c r="AF221" t="str">
        <f t="shared" si="215"/>
        <v>1+156.4244543764i</v>
      </c>
      <c r="AG221">
        <f t="shared" si="234"/>
        <v>156.4276507749012</v>
      </c>
      <c r="AH221">
        <f t="shared" si="235"/>
        <v>1.5644035515640393</v>
      </c>
      <c r="AI221" t="str">
        <f t="shared" si="216"/>
        <v>1+0.367597467784541i</v>
      </c>
      <c r="AJ221">
        <f t="shared" si="236"/>
        <v>1.0654238115987491</v>
      </c>
      <c r="AK221">
        <f t="shared" si="237"/>
        <v>0.35226503775336593</v>
      </c>
      <c r="AL221" t="str">
        <f t="shared" si="217"/>
        <v>1-0.025602779553071i</v>
      </c>
      <c r="AM221">
        <f t="shared" si="238"/>
        <v>1.0003276974676065</v>
      </c>
      <c r="AN221">
        <f t="shared" si="239"/>
        <v>-2.559718752511965E-2</v>
      </c>
      <c r="AO221" s="58" t="str">
        <f t="shared" si="240"/>
        <v>0.263576970927354-0.761897272183488i</v>
      </c>
      <c r="AP221">
        <f t="shared" si="241"/>
        <v>-1.8711318760304763</v>
      </c>
      <c r="AQ221" s="60">
        <f t="shared" si="242"/>
        <v>-70.917031839205919</v>
      </c>
      <c r="AR221" t="str">
        <f t="shared" si="218"/>
        <v>-1.94444444444444</v>
      </c>
      <c r="AS221" t="str">
        <f t="shared" si="219"/>
        <v>1+0.377023043881579i</v>
      </c>
      <c r="AT221">
        <f t="shared" si="243"/>
        <v>1.068712485010693</v>
      </c>
      <c r="AU221">
        <f t="shared" si="244"/>
        <v>0.36054311705322356</v>
      </c>
      <c r="AV221" t="str">
        <f t="shared" si="220"/>
        <v>1+0.377023043881579i</v>
      </c>
      <c r="AW221">
        <f t="shared" si="245"/>
        <v>1.068712485010693</v>
      </c>
      <c r="AX221">
        <f t="shared" si="246"/>
        <v>0.36054311705322356</v>
      </c>
      <c r="AY221" t="str">
        <f t="shared" si="221"/>
        <v>1-0.00564331440477248i</v>
      </c>
      <c r="AZ221">
        <f t="shared" si="247"/>
        <v>1.0000159233719588</v>
      </c>
      <c r="BA221">
        <f t="shared" si="248"/>
        <v>-5.6432544983773206E-3</v>
      </c>
      <c r="BB221" s="58" t="str">
        <f t="shared" si="249"/>
        <v>-1.69882544831942+0.65146945289149i</v>
      </c>
      <c r="BC221">
        <f t="shared" si="250"/>
        <v>5.1988314329941172</v>
      </c>
      <c r="BD221" s="60">
        <f t="shared" si="251"/>
        <v>159.01906639488379</v>
      </c>
      <c r="BE221" s="58" t="str">
        <f t="shared" si="252"/>
        <v>0.103948913782327+0.982548090709458i</v>
      </c>
      <c r="BF221" s="37">
        <f t="shared" si="253"/>
        <v>-0.10458470788007859</v>
      </c>
      <c r="BG221" s="60">
        <f t="shared" si="254"/>
        <v>83.960843593749345</v>
      </c>
      <c r="BH221" s="58" t="str">
        <f t="shared" si="255"/>
        <v>0.0485815332665587+1.4660428200353i</v>
      </c>
      <c r="BI221" s="37">
        <f t="shared" si="256"/>
        <v>3.3276995569636614</v>
      </c>
      <c r="BJ221" s="60">
        <f t="shared" si="257"/>
        <v>88.102034555677889</v>
      </c>
      <c r="BK221">
        <f t="shared" si="258"/>
        <v>-0.10458470788007859</v>
      </c>
      <c r="BL221" s="60">
        <f t="shared" si="259"/>
        <v>83.960843593749345</v>
      </c>
      <c r="BN221">
        <f t="shared" si="260"/>
        <v>0</v>
      </c>
      <c r="BO221">
        <f t="shared" si="261"/>
        <v>0</v>
      </c>
    </row>
    <row r="222" spans="13:67" ht="14.25" x14ac:dyDescent="0.2">
      <c r="M222" s="66">
        <v>4</v>
      </c>
      <c r="N222" s="36">
        <f t="shared" si="262"/>
        <v>1096.4781961431863</v>
      </c>
      <c r="O222" s="91" t="str">
        <f t="shared" si="210"/>
        <v>99.7340425531915</v>
      </c>
      <c r="P222" s="67" t="str">
        <f t="shared" si="211"/>
        <v>1+200.085059980889i</v>
      </c>
      <c r="Q222" s="67">
        <f t="shared" si="222"/>
        <v>200.08755890248636</v>
      </c>
      <c r="R222" s="67">
        <f t="shared" si="223"/>
        <v>1.5657984940033289</v>
      </c>
      <c r="S222" s="67" t="str">
        <f t="shared" si="212"/>
        <v>1+0.376159912764071i</v>
      </c>
      <c r="T222" s="67">
        <f t="shared" si="224"/>
        <v>1.068408292728334</v>
      </c>
      <c r="U222" s="67">
        <f t="shared" si="225"/>
        <v>0.35978719209922794</v>
      </c>
      <c r="V222" t="str">
        <f t="shared" si="213"/>
        <v>1-0.038856078900904i</v>
      </c>
      <c r="W222" s="67">
        <f t="shared" si="226"/>
        <v>1.0007546127136029</v>
      </c>
      <c r="X222" s="67">
        <f t="shared" si="227"/>
        <v>-3.8836541693325372E-2</v>
      </c>
      <c r="Y222" t="str">
        <f t="shared" si="214"/>
        <v>0.999715440370505+0.0600612239784841i</v>
      </c>
      <c r="Z222" s="67">
        <f t="shared" si="228"/>
        <v>1.0015180040024174</v>
      </c>
      <c r="AA222" s="67">
        <f t="shared" si="229"/>
        <v>6.0006193658515915E-2</v>
      </c>
      <c r="AB222" s="92" t="str">
        <f t="shared" si="230"/>
        <v>0.139857396375267-0.513436929657226i</v>
      </c>
      <c r="AC222" s="37">
        <f t="shared" si="231"/>
        <v>-5.47941146171972</v>
      </c>
      <c r="AD222" s="60">
        <f t="shared" si="232"/>
        <v>-74.762629215371859</v>
      </c>
      <c r="AE222" t="str">
        <f t="shared" si="233"/>
        <v>118.329284003155</v>
      </c>
      <c r="AF222" t="str">
        <f t="shared" si="215"/>
        <v>1+160.068047984711i</v>
      </c>
      <c r="AG222">
        <f t="shared" si="234"/>
        <v>160.07117162573573</v>
      </c>
      <c r="AH222">
        <f t="shared" si="235"/>
        <v>1.5645490650638403</v>
      </c>
      <c r="AI222" t="str">
        <f t="shared" si="216"/>
        <v>1+0.376159912764071i</v>
      </c>
      <c r="AJ222">
        <f t="shared" si="236"/>
        <v>1.068408292728334</v>
      </c>
      <c r="AK222">
        <f t="shared" si="237"/>
        <v>0.35978719209922794</v>
      </c>
      <c r="AL222" t="str">
        <f t="shared" si="217"/>
        <v>1-0.0261991448995665i</v>
      </c>
      <c r="AM222">
        <f t="shared" si="238"/>
        <v>1.0003431387246422</v>
      </c>
      <c r="AN222">
        <f t="shared" si="239"/>
        <v>-2.6193153044663884E-2</v>
      </c>
      <c r="AO222" s="58" t="str">
        <f t="shared" si="240"/>
        <v>0.263359810051361-0.744883621944488i</v>
      </c>
      <c r="AP222">
        <f t="shared" si="241"/>
        <v>-2.0466927825407111</v>
      </c>
      <c r="AQ222" s="60">
        <f t="shared" si="242"/>
        <v>-70.528527760748005</v>
      </c>
      <c r="AR222" t="str">
        <f t="shared" si="218"/>
        <v>-1.94444444444444</v>
      </c>
      <c r="AS222" t="str">
        <f t="shared" si="219"/>
        <v>1+0.385805038732379i</v>
      </c>
      <c r="AT222">
        <f t="shared" si="243"/>
        <v>1.0718421189295055</v>
      </c>
      <c r="AU222">
        <f t="shared" si="244"/>
        <v>0.36820976870264599</v>
      </c>
      <c r="AV222" t="str">
        <f t="shared" si="220"/>
        <v>1+0.385805038732379i</v>
      </c>
      <c r="AW222">
        <f t="shared" si="245"/>
        <v>1.0718421189295055</v>
      </c>
      <c r="AX222">
        <f t="shared" si="246"/>
        <v>0.36820976870264599</v>
      </c>
      <c r="AY222" t="str">
        <f t="shared" si="221"/>
        <v>1-0.00551485688589975i</v>
      </c>
      <c r="AZ222">
        <f t="shared" si="247"/>
        <v>1.000015206707614</v>
      </c>
      <c r="BA222">
        <f t="shared" si="248"/>
        <v>-5.5148009779507415E-3</v>
      </c>
      <c r="BB222" s="58" t="str">
        <f t="shared" si="249"/>
        <v>-1.68891925107882+0.66231688991202i</v>
      </c>
      <c r="BC222">
        <f t="shared" si="250"/>
        <v>5.1734264875874096</v>
      </c>
      <c r="BD222" s="60">
        <f t="shared" si="251"/>
        <v>158.58715945695891</v>
      </c>
      <c r="BE222" s="58" t="str">
        <f t="shared" si="252"/>
        <v>0.103850101272601+0.95978343051135i</v>
      </c>
      <c r="BF222" s="37">
        <f t="shared" si="253"/>
        <v>-0.30598497413231512</v>
      </c>
      <c r="BG222" s="60">
        <f t="shared" si="254"/>
        <v>83.824530241587055</v>
      </c>
      <c r="BH222" s="58" t="str">
        <f t="shared" si="255"/>
        <v>0.0485555506764693+1.4324759392364i</v>
      </c>
      <c r="BI222" s="37">
        <f t="shared" si="256"/>
        <v>3.1267337050466888</v>
      </c>
      <c r="BJ222" s="60">
        <f t="shared" si="257"/>
        <v>88.058631696210895</v>
      </c>
      <c r="BK222">
        <f t="shared" si="258"/>
        <v>-0.30598497413231512</v>
      </c>
      <c r="BL222" s="60">
        <f t="shared" si="259"/>
        <v>83.824530241587055</v>
      </c>
      <c r="BN222">
        <f t="shared" si="260"/>
        <v>0</v>
      </c>
      <c r="BO222">
        <f t="shared" si="261"/>
        <v>0</v>
      </c>
    </row>
    <row r="223" spans="13:67" ht="14.25" x14ac:dyDescent="0.2">
      <c r="M223" s="66">
        <v>5</v>
      </c>
      <c r="N223" s="36">
        <f t="shared" si="262"/>
        <v>1122.0184543019636</v>
      </c>
      <c r="O223" s="91" t="str">
        <f t="shared" si="210"/>
        <v>99.7340425531915</v>
      </c>
      <c r="P223" s="67" t="str">
        <f t="shared" si="211"/>
        <v>1+204.745639738518i</v>
      </c>
      <c r="Q223" s="67">
        <f t="shared" si="222"/>
        <v>204.74808177840154</v>
      </c>
      <c r="R223" s="67">
        <f t="shared" si="223"/>
        <v>1.5659122567366315</v>
      </c>
      <c r="S223" s="67" t="str">
        <f t="shared" si="212"/>
        <v>1+0.384921802708413i</v>
      </c>
      <c r="T223" s="67">
        <f t="shared" si="224"/>
        <v>1.0715245187116786</v>
      </c>
      <c r="U223" s="67">
        <f t="shared" si="225"/>
        <v>0.36744073763534191</v>
      </c>
      <c r="V223" t="str">
        <f t="shared" si="213"/>
        <v>1-0.0397611532468031i</v>
      </c>
      <c r="W223" s="67">
        <f t="shared" si="226"/>
        <v>1.0007901624753892</v>
      </c>
      <c r="X223" s="67">
        <f t="shared" si="227"/>
        <v>-3.9740219644299683E-2</v>
      </c>
      <c r="Y223" t="str">
        <f t="shared" si="214"/>
        <v>0.999702029488333+0.0614602296049876i</v>
      </c>
      <c r="Z223" s="67">
        <f t="shared" si="228"/>
        <v>1.0015894905529856</v>
      </c>
      <c r="AA223" s="67">
        <f t="shared" si="229"/>
        <v>6.1401268558658247E-2</v>
      </c>
      <c r="AB223" s="92" t="str">
        <f t="shared" si="230"/>
        <v>0.139703019995403-0.50247008928644i</v>
      </c>
      <c r="AC223" s="37">
        <f t="shared" si="231"/>
        <v>-5.6544207413762448</v>
      </c>
      <c r="AD223" s="60">
        <f t="shared" si="232"/>
        <v>-74.462340318838059</v>
      </c>
      <c r="AE223" t="str">
        <f t="shared" si="233"/>
        <v>118.329284003155</v>
      </c>
      <c r="AF223" t="str">
        <f t="shared" si="215"/>
        <v>1+163.796511790814i</v>
      </c>
      <c r="AG223">
        <f t="shared" si="234"/>
        <v>163.79956433042875</v>
      </c>
      <c r="AH223">
        <f t="shared" si="235"/>
        <v>1.5646912665276429</v>
      </c>
      <c r="AI223" t="str">
        <f t="shared" si="216"/>
        <v>1+0.384921802708413i</v>
      </c>
      <c r="AJ223">
        <f t="shared" si="236"/>
        <v>1.0715245187116786</v>
      </c>
      <c r="AK223">
        <f t="shared" si="237"/>
        <v>0.36744073763534191</v>
      </c>
      <c r="AL223" t="str">
        <f t="shared" si="217"/>
        <v>1-0.0268094013794745i</v>
      </c>
      <c r="AM223">
        <f t="shared" si="238"/>
        <v>1.000359307450241</v>
      </c>
      <c r="AN223">
        <f t="shared" si="239"/>
        <v>-2.6802981115813609E-2</v>
      </c>
      <c r="AO223" s="58" t="str">
        <f t="shared" si="240"/>
        <v>0.263152422279078-0.728264796712544i</v>
      </c>
      <c r="AP223">
        <f t="shared" si="241"/>
        <v>-2.2212475074916971</v>
      </c>
      <c r="AQ223" s="60">
        <f t="shared" si="242"/>
        <v>-70.13310002163945</v>
      </c>
      <c r="AR223" t="str">
        <f t="shared" si="218"/>
        <v>-1.94444444444444</v>
      </c>
      <c r="AS223" t="str">
        <f t="shared" si="219"/>
        <v>1+0.394791592521448i</v>
      </c>
      <c r="AT223">
        <f t="shared" si="243"/>
        <v>1.0751094835065036</v>
      </c>
      <c r="AU223">
        <f t="shared" si="244"/>
        <v>0.3760083224289128</v>
      </c>
      <c r="AV223" t="str">
        <f t="shared" si="220"/>
        <v>1+0.394791592521448i</v>
      </c>
      <c r="AW223">
        <f t="shared" si="245"/>
        <v>1.0751094835065036</v>
      </c>
      <c r="AX223">
        <f t="shared" si="246"/>
        <v>0.3760083224289128</v>
      </c>
      <c r="AY223" t="str">
        <f t="shared" si="221"/>
        <v>1-0.00538932341714569i</v>
      </c>
      <c r="AZ223">
        <f t="shared" si="247"/>
        <v>1.0000145222979988</v>
      </c>
      <c r="BA223">
        <f t="shared" si="248"/>
        <v>-5.3892712407689778E-3</v>
      </c>
      <c r="BB223" s="58" t="str">
        <f t="shared" si="249"/>
        <v>-1.67866926321222+0.673203751718142i</v>
      </c>
      <c r="BC223">
        <f t="shared" si="250"/>
        <v>5.1469830676197894</v>
      </c>
      <c r="BD223" s="60">
        <f t="shared" si="251"/>
        <v>158.14752756628172</v>
      </c>
      <c r="BE223" s="58" t="str">
        <f t="shared" si="252"/>
        <v>0.103749583589576+0.937529691755907i</v>
      </c>
      <c r="BF223" s="37">
        <f t="shared" si="253"/>
        <v>-0.50743767375645132</v>
      </c>
      <c r="BG223" s="60">
        <f t="shared" si="254"/>
        <v>83.685187247443679</v>
      </c>
      <c r="BH223" s="58" t="str">
        <f t="shared" si="255"/>
        <v>0.0485247105714037+1.39967092767284i</v>
      </c>
      <c r="BI223" s="37">
        <f t="shared" si="256"/>
        <v>2.9257355601281181</v>
      </c>
      <c r="BJ223" s="60">
        <f t="shared" si="257"/>
        <v>88.014427544642317</v>
      </c>
      <c r="BK223">
        <f t="shared" si="258"/>
        <v>-0.50743767375645132</v>
      </c>
      <c r="BL223" s="60">
        <f t="shared" si="259"/>
        <v>83.685187247443679</v>
      </c>
      <c r="BN223">
        <f t="shared" si="260"/>
        <v>0</v>
      </c>
      <c r="BO223">
        <f t="shared" si="261"/>
        <v>0</v>
      </c>
    </row>
    <row r="224" spans="13:67" ht="14.25" x14ac:dyDescent="0.2">
      <c r="M224" s="66">
        <v>6</v>
      </c>
      <c r="N224" s="36">
        <f t="shared" si="262"/>
        <v>1148.1536214968839</v>
      </c>
      <c r="O224" s="91" t="str">
        <f t="shared" si="210"/>
        <v>99.7340425531915</v>
      </c>
      <c r="P224" s="67" t="str">
        <f t="shared" si="211"/>
        <v>1+209.514778344465i</v>
      </c>
      <c r="Q224" s="67">
        <f t="shared" si="222"/>
        <v>209.51716479737476</v>
      </c>
      <c r="R224" s="67">
        <f t="shared" si="223"/>
        <v>1.5660234300361302</v>
      </c>
      <c r="S224" s="67" t="str">
        <f t="shared" si="212"/>
        <v>1+0.393887783287594i</v>
      </c>
      <c r="T224" s="67">
        <f t="shared" si="224"/>
        <v>1.0747779239560211</v>
      </c>
      <c r="U224" s="67">
        <f t="shared" si="225"/>
        <v>0.37522614480429745</v>
      </c>
      <c r="V224" t="str">
        <f t="shared" si="213"/>
        <v>1-0.0406873094824548i</v>
      </c>
      <c r="W224" s="67">
        <f t="shared" si="226"/>
        <v>1.0008273862924222</v>
      </c>
      <c r="X224" s="67">
        <f t="shared" si="227"/>
        <v>-4.0664879724639835E-2</v>
      </c>
      <c r="Y224" t="str">
        <f t="shared" si="214"/>
        <v>0.999687986570756+0.06289182225875i</v>
      </c>
      <c r="Z224" s="67">
        <f t="shared" si="228"/>
        <v>1.001664340885168</v>
      </c>
      <c r="AA224" s="67">
        <f t="shared" si="229"/>
        <v>6.2828649972646325E-2</v>
      </c>
      <c r="AB224" s="92" t="str">
        <f t="shared" si="230"/>
        <v>0.13955169658515-0.49176939116969i</v>
      </c>
      <c r="AC224" s="37">
        <f t="shared" si="231"/>
        <v>-5.8284096168400854</v>
      </c>
      <c r="AD224" s="60">
        <f t="shared" si="232"/>
        <v>-74.157401157986456</v>
      </c>
      <c r="AE224" t="str">
        <f t="shared" si="233"/>
        <v>118.329284003155</v>
      </c>
      <c r="AF224" t="str">
        <f t="shared" si="215"/>
        <v>1+167.611822675572i</v>
      </c>
      <c r="AG224">
        <f t="shared" si="234"/>
        <v>167.614805732153</v>
      </c>
      <c r="AH224">
        <f t="shared" si="235"/>
        <v>1.5648302313295286</v>
      </c>
      <c r="AI224" t="str">
        <f t="shared" si="216"/>
        <v>1+0.393887783287594i</v>
      </c>
      <c r="AJ224">
        <f t="shared" si="236"/>
        <v>1.0747779239560211</v>
      </c>
      <c r="AK224">
        <f t="shared" si="237"/>
        <v>0.37522614480429745</v>
      </c>
      <c r="AL224" t="str">
        <f t="shared" si="217"/>
        <v>1-0.0274338725588582i</v>
      </c>
      <c r="AM224">
        <f t="shared" si="238"/>
        <v>1.0003762379043075</v>
      </c>
      <c r="AN224">
        <f t="shared" si="239"/>
        <v>-2.7426993262132032E-2</v>
      </c>
      <c r="AO224" s="58" t="str">
        <f t="shared" si="240"/>
        <v>0.262954367813994-0.712031993118857i</v>
      </c>
      <c r="AP224">
        <f t="shared" si="241"/>
        <v>-2.3947607333080558</v>
      </c>
      <c r="AQ224" s="60">
        <f t="shared" si="242"/>
        <v>-69.730744408065163</v>
      </c>
      <c r="AR224" t="str">
        <f t="shared" si="218"/>
        <v>-1.94444444444444</v>
      </c>
      <c r="AS224" t="str">
        <f t="shared" si="219"/>
        <v>1+0.403987470038557i</v>
      </c>
      <c r="AT224">
        <f t="shared" si="243"/>
        <v>1.078520225099258</v>
      </c>
      <c r="AU224">
        <f t="shared" si="244"/>
        <v>0.3839391177984815</v>
      </c>
      <c r="AV224" t="str">
        <f t="shared" si="220"/>
        <v>1+0.403987470038557i</v>
      </c>
      <c r="AW224">
        <f t="shared" si="245"/>
        <v>1.078520225099258</v>
      </c>
      <c r="AX224">
        <f t="shared" si="246"/>
        <v>0.3839391177984815</v>
      </c>
      <c r="AY224" t="str">
        <f t="shared" si="221"/>
        <v>1-0.00526664743900353i</v>
      </c>
      <c r="AZ224">
        <f t="shared" si="247"/>
        <v>1.000013868691453</v>
      </c>
      <c r="BA224">
        <f t="shared" si="248"/>
        <v>-5.266598745137371E-3</v>
      </c>
      <c r="BB224" s="58" t="str">
        <f t="shared" si="249"/>
        <v>-1.66806871313611+0.684119562623946i</v>
      </c>
      <c r="BC224">
        <f t="shared" si="250"/>
        <v>5.1194653723856156</v>
      </c>
      <c r="BD224" s="60">
        <f t="shared" si="251"/>
        <v>157.7001550796856</v>
      </c>
      <c r="BE224" s="58" t="str">
        <f t="shared" si="252"/>
        <v>0.103647241860101+0.915775181119415i</v>
      </c>
      <c r="BF224" s="37">
        <f t="shared" si="253"/>
        <v>-0.70894424445447524</v>
      </c>
      <c r="BG224" s="60">
        <f t="shared" si="254"/>
        <v>83.542753921699145</v>
      </c>
      <c r="BH224" s="58" t="str">
        <f t="shared" si="255"/>
        <v>0.0484890617737206+1.36761051757248i</v>
      </c>
      <c r="BI224" s="37">
        <f t="shared" si="256"/>
        <v>2.7247046390775767</v>
      </c>
      <c r="BJ224" s="60">
        <f t="shared" si="257"/>
        <v>87.969410671620452</v>
      </c>
      <c r="BK224">
        <f t="shared" si="258"/>
        <v>-0.70894424445447524</v>
      </c>
      <c r="BL224" s="60">
        <f t="shared" si="259"/>
        <v>83.542753921699145</v>
      </c>
      <c r="BN224">
        <f t="shared" si="260"/>
        <v>0</v>
      </c>
      <c r="BO224">
        <f t="shared" si="261"/>
        <v>0</v>
      </c>
    </row>
    <row r="225" spans="13:67" ht="14.25" x14ac:dyDescent="0.2">
      <c r="M225" s="66">
        <v>7</v>
      </c>
      <c r="N225" s="36">
        <f t="shared" si="262"/>
        <v>1174.8975549395295</v>
      </c>
      <c r="O225" s="91" t="str">
        <f t="shared" si="210"/>
        <v>99.7340425531915</v>
      </c>
      <c r="P225" s="67" t="str">
        <f t="shared" si="211"/>
        <v>1+214.395004459146i</v>
      </c>
      <c r="Q225" s="67">
        <f t="shared" si="222"/>
        <v>214.39733659035329</v>
      </c>
      <c r="R225" s="67">
        <f t="shared" si="223"/>
        <v>1.5661320728363812</v>
      </c>
      <c r="S225" s="67" t="str">
        <f t="shared" si="212"/>
        <v>1+0.403062608383195i</v>
      </c>
      <c r="T225" s="67">
        <f t="shared" si="224"/>
        <v>1.0781741354144352</v>
      </c>
      <c r="U225" s="67">
        <f t="shared" si="225"/>
        <v>0.38314376536000971</v>
      </c>
      <c r="V225" t="str">
        <f t="shared" si="213"/>
        <v>1-0.0416350386681542i</v>
      </c>
      <c r="W225" s="67">
        <f t="shared" si="226"/>
        <v>1.000866362930086</v>
      </c>
      <c r="X225" s="67">
        <f t="shared" si="227"/>
        <v>-4.1611005873105789E-2</v>
      </c>
      <c r="Y225" t="str">
        <f t="shared" si="214"/>
        <v>0.999673281830863+0.0643567609891455i</v>
      </c>
      <c r="Z225" s="67">
        <f t="shared" si="228"/>
        <v>1.0017427130214134</v>
      </c>
      <c r="AA225" s="67">
        <f t="shared" si="229"/>
        <v>6.4289076961885891E-2</v>
      </c>
      <c r="AB225" s="92" t="str">
        <f t="shared" si="230"/>
        <v>0.139403107021134-0.481329148970712i</v>
      </c>
      <c r="AC225" s="37">
        <f t="shared" si="231"/>
        <v>-6.0013430414531825</v>
      </c>
      <c r="AD225" s="60">
        <f t="shared" si="232"/>
        <v>-73.847865028251391</v>
      </c>
      <c r="AE225" t="str">
        <f t="shared" si="233"/>
        <v>118.329284003155</v>
      </c>
      <c r="AF225" t="str">
        <f t="shared" si="215"/>
        <v>1+171.516003567317i</v>
      </c>
      <c r="AG225">
        <f t="shared" si="234"/>
        <v>171.5189187224077</v>
      </c>
      <c r="AH225">
        <f t="shared" si="235"/>
        <v>1.5649660331289934</v>
      </c>
      <c r="AI225" t="str">
        <f t="shared" si="216"/>
        <v>1+0.403062608383195i</v>
      </c>
      <c r="AJ225">
        <f t="shared" si="236"/>
        <v>1.0781741354144352</v>
      </c>
      <c r="AK225">
        <f t="shared" si="237"/>
        <v>0.38314376536000971</v>
      </c>
      <c r="AL225" t="str">
        <f t="shared" si="217"/>
        <v>1-0.0280728895406029i</v>
      </c>
      <c r="AM225">
        <f t="shared" si="238"/>
        <v>1.0003939659589911</v>
      </c>
      <c r="AN225">
        <f t="shared" si="239"/>
        <v>-2.8065518398127563E-2</v>
      </c>
      <c r="AO225" s="58" t="str">
        <f t="shared" si="240"/>
        <v>0.262765226647927-0.696176611924353i</v>
      </c>
      <c r="AP225">
        <f t="shared" si="241"/>
        <v>-2.5671964149358741</v>
      </c>
      <c r="AQ225" s="60">
        <f t="shared" si="242"/>
        <v>-69.321463831802063</v>
      </c>
      <c r="AR225" t="str">
        <f t="shared" si="218"/>
        <v>-1.94444444444444</v>
      </c>
      <c r="AS225" t="str">
        <f t="shared" si="219"/>
        <v>1+0.413397547059686i</v>
      </c>
      <c r="AT225">
        <f t="shared" si="243"/>
        <v>1.0820801873775183</v>
      </c>
      <c r="AU225">
        <f t="shared" si="244"/>
        <v>0.39200236816856221</v>
      </c>
      <c r="AV225" t="str">
        <f t="shared" si="220"/>
        <v>1+0.413397547059686i</v>
      </c>
      <c r="AW225">
        <f t="shared" si="245"/>
        <v>1.0820801873775183</v>
      </c>
      <c r="AX225">
        <f t="shared" si="246"/>
        <v>0.39200236816856221</v>
      </c>
      <c r="AY225" t="str">
        <f t="shared" si="221"/>
        <v>1-0.00514676390704585i</v>
      </c>
      <c r="AZ225">
        <f t="shared" si="247"/>
        <v>1.000013244501649</v>
      </c>
      <c r="BA225">
        <f t="shared" si="248"/>
        <v>-5.1467184632517969E-3</v>
      </c>
      <c r="BB225" s="58" t="str">
        <f t="shared" si="249"/>
        <v>-1.65711112690782+0.695053271554928i</v>
      </c>
      <c r="BC225">
        <f t="shared" si="250"/>
        <v>5.0908369187468159</v>
      </c>
      <c r="BD225" s="60">
        <f t="shared" si="251"/>
        <v>157.24503349852154</v>
      </c>
      <c r="BE225" s="58" t="str">
        <f t="shared" si="252"/>
        <v>0.1035429599166+0.894508474064399i</v>
      </c>
      <c r="BF225" s="37">
        <f t="shared" si="253"/>
        <v>-0.91050612270636955</v>
      </c>
      <c r="BG225" s="60">
        <f t="shared" si="254"/>
        <v>83.397168470270131</v>
      </c>
      <c r="BH225" s="58" t="str">
        <f t="shared" si="255"/>
        <v>0.048448650855312+1.33627784034535i</v>
      </c>
      <c r="BI225" s="37">
        <f t="shared" si="256"/>
        <v>2.5236405038109648</v>
      </c>
      <c r="BJ225" s="60">
        <f t="shared" si="257"/>
        <v>87.923569666719473</v>
      </c>
      <c r="BK225">
        <f t="shared" si="258"/>
        <v>-0.91050612270636955</v>
      </c>
      <c r="BL225" s="60">
        <f t="shared" si="259"/>
        <v>83.397168470270131</v>
      </c>
      <c r="BN225">
        <f t="shared" si="260"/>
        <v>0</v>
      </c>
      <c r="BO225">
        <f t="shared" si="261"/>
        <v>0</v>
      </c>
    </row>
    <row r="226" spans="13:67" ht="14.25" x14ac:dyDescent="0.2">
      <c r="M226" s="66">
        <v>8</v>
      </c>
      <c r="N226" s="36">
        <f t="shared" si="262"/>
        <v>1202.2644346174138</v>
      </c>
      <c r="O226" s="91" t="str">
        <f t="shared" si="210"/>
        <v>99.7340425531915</v>
      </c>
      <c r="P226" s="67" t="str">
        <f t="shared" si="211"/>
        <v>1+219.388905643046i</v>
      </c>
      <c r="Q226" s="67">
        <f t="shared" si="222"/>
        <v>219.39118468902376</v>
      </c>
      <c r="R226" s="67">
        <f t="shared" si="223"/>
        <v>1.5662382427309711</v>
      </c>
      <c r="S226" s="67" t="str">
        <f t="shared" si="212"/>
        <v>1+0.412451142608926i</v>
      </c>
      <c r="T226" s="67">
        <f t="shared" si="224"/>
        <v>1.0817189769248798</v>
      </c>
      <c r="U226" s="67">
        <f t="shared" si="225"/>
        <v>0.39119382553013621</v>
      </c>
      <c r="V226" t="str">
        <f t="shared" si="213"/>
        <v>1-0.0426048433024605i</v>
      </c>
      <c r="W226" s="67">
        <f t="shared" si="226"/>
        <v>1.0009071748533065</v>
      </c>
      <c r="X226" s="67">
        <f t="shared" si="227"/>
        <v>-4.2579092959008989E-2</v>
      </c>
      <c r="Y226" t="str">
        <f t="shared" si="214"/>
        <v>0.99965788407793+0.0658558225260801i</v>
      </c>
      <c r="Z226" s="67">
        <f t="shared" si="228"/>
        <v>1.0018247723827509</v>
      </c>
      <c r="AA226" s="67">
        <f t="shared" si="229"/>
        <v>6.5783304847801927E-2</v>
      </c>
      <c r="AB226" s="92" t="str">
        <f t="shared" si="230"/>
        <v>0.139256938150625-0.471143813101905i</v>
      </c>
      <c r="AC226" s="37">
        <f t="shared" si="231"/>
        <v>-6.1731853144553455</v>
      </c>
      <c r="AD226" s="60">
        <f t="shared" si="232"/>
        <v>-73.533793898265316</v>
      </c>
      <c r="AE226" t="str">
        <f t="shared" si="233"/>
        <v>118.329284003155</v>
      </c>
      <c r="AF226" t="str">
        <f t="shared" si="215"/>
        <v>1+175.511124514437i</v>
      </c>
      <c r="AG226">
        <f t="shared" si="234"/>
        <v>175.51397331358609</v>
      </c>
      <c r="AH226">
        <f t="shared" si="235"/>
        <v>1.5650987439099018</v>
      </c>
      <c r="AI226" t="str">
        <f t="shared" si="216"/>
        <v>1+0.412451142608926i</v>
      </c>
      <c r="AJ226">
        <f t="shared" si="236"/>
        <v>1.0817189769248798</v>
      </c>
      <c r="AK226">
        <f t="shared" si="237"/>
        <v>0.39119382553013621</v>
      </c>
      <c r="AL226" t="str">
        <f t="shared" si="217"/>
        <v>1-0.0287267911399706i</v>
      </c>
      <c r="AM226">
        <f t="shared" si="238"/>
        <v>1.0004125291744399</v>
      </c>
      <c r="AN226">
        <f t="shared" si="239"/>
        <v>-2.8718892994399944E-2</v>
      </c>
      <c r="AO226" s="58" t="str">
        <f t="shared" si="240"/>
        <v>0.262584597670913-0.680690253496535i</v>
      </c>
      <c r="AP226">
        <f t="shared" si="241"/>
        <v>-2.738517807366208</v>
      </c>
      <c r="AQ226" s="60">
        <f t="shared" si="242"/>
        <v>-68.905268733676905</v>
      </c>
      <c r="AR226" t="str">
        <f t="shared" si="218"/>
        <v>-1.94444444444444</v>
      </c>
      <c r="AS226" t="str">
        <f t="shared" si="219"/>
        <v>1+0.423026812932231i</v>
      </c>
      <c r="AT226">
        <f t="shared" si="243"/>
        <v>1.0857954155639085</v>
      </c>
      <c r="AU226">
        <f t="shared" si="244"/>
        <v>0.40019815381323837</v>
      </c>
      <c r="AV226" t="str">
        <f t="shared" si="220"/>
        <v>1+0.423026812932231i</v>
      </c>
      <c r="AW226">
        <f t="shared" si="245"/>
        <v>1.0857954155639085</v>
      </c>
      <c r="AX226">
        <f t="shared" si="246"/>
        <v>0.40019815381323837</v>
      </c>
      <c r="AY226" t="str">
        <f t="shared" si="221"/>
        <v>1-0.00502960925743715i</v>
      </c>
      <c r="AZ226">
        <f t="shared" si="247"/>
        <v>1.0000126484046501</v>
      </c>
      <c r="BA226">
        <f t="shared" si="248"/>
        <v>-5.0295668467905683E-3</v>
      </c>
      <c r="BB226" s="58" t="str">
        <f t="shared" si="249"/>
        <v>-1.64579036968303+0.70599325061992i</v>
      </c>
      <c r="BC226">
        <f t="shared" si="250"/>
        <v>5.0610605739095726</v>
      </c>
      <c r="BD226" s="60">
        <f t="shared" si="251"/>
        <v>156.78216186447409</v>
      </c>
      <c r="BE226" s="58" t="str">
        <f t="shared" si="252"/>
        <v>0.103436624401434+0.873718408775194i</v>
      </c>
      <c r="BF226" s="37">
        <f t="shared" si="253"/>
        <v>-1.1121247405457706</v>
      </c>
      <c r="BG226" s="60">
        <f t="shared" si="254"/>
        <v>83.248367966208775</v>
      </c>
      <c r="BH226" s="58" t="str">
        <f t="shared" si="255"/>
        <v>0.0484035226574345+1.30565641761411i</v>
      </c>
      <c r="BI226" s="37">
        <f t="shared" si="256"/>
        <v>2.3225427665433664</v>
      </c>
      <c r="BJ226" s="60">
        <f t="shared" si="257"/>
        <v>87.876893130797185</v>
      </c>
      <c r="BK226">
        <f t="shared" si="258"/>
        <v>-1.1121247405457706</v>
      </c>
      <c r="BL226" s="60">
        <f t="shared" si="259"/>
        <v>83.248367966208775</v>
      </c>
      <c r="BN226">
        <f t="shared" si="260"/>
        <v>0</v>
      </c>
      <c r="BO226">
        <f t="shared" si="261"/>
        <v>0</v>
      </c>
    </row>
    <row r="227" spans="13:67" ht="14.25" x14ac:dyDescent="0.2">
      <c r="M227" s="66">
        <v>9</v>
      </c>
      <c r="N227" s="36">
        <f t="shared" si="262"/>
        <v>1230.2687708123824</v>
      </c>
      <c r="O227" s="91" t="str">
        <f t="shared" si="210"/>
        <v>99.7340425531915</v>
      </c>
      <c r="P227" s="67" t="str">
        <f t="shared" si="211"/>
        <v>1+224.499129728672i</v>
      </c>
      <c r="Q227" s="67">
        <f t="shared" si="222"/>
        <v>224.50135689775038</v>
      </c>
      <c r="R227" s="67">
        <f t="shared" si="223"/>
        <v>1.5663419960030034</v>
      </c>
      <c r="S227" s="67" t="str">
        <f t="shared" si="212"/>
        <v>1+0.422058363889904i</v>
      </c>
      <c r="T227" s="67">
        <f t="shared" si="224"/>
        <v>1.0854184734605463</v>
      </c>
      <c r="U227" s="67">
        <f t="shared" si="225"/>
        <v>0.399376419143953</v>
      </c>
      <c r="V227" t="str">
        <f t="shared" si="213"/>
        <v>1-0.0435972375886274i</v>
      </c>
      <c r="W227" s="67">
        <f t="shared" si="226"/>
        <v>1.0009499083996958</v>
      </c>
      <c r="X227" s="67">
        <f t="shared" si="227"/>
        <v>-4.3569647012527905E-2</v>
      </c>
      <c r="Y227" t="str">
        <f t="shared" si="214"/>
        <v>0.999641760651258+0.0673898016918228i</v>
      </c>
      <c r="Z227" s="67">
        <f t="shared" si="228"/>
        <v>1.0019106921327918</v>
      </c>
      <c r="AA227" s="67">
        <f t="shared" si="229"/>
        <v>6.7312105523169422E-2</v>
      </c>
      <c r="AB227" s="92" t="str">
        <f t="shared" si="230"/>
        <v>0.139112882144212-0.461207967717308i</v>
      </c>
      <c r="AC227" s="37">
        <f t="shared" si="231"/>
        <v>-6.3439001147644412</v>
      </c>
      <c r="AD227" s="60">
        <f t="shared" si="232"/>
        <v>-73.215258836382446</v>
      </c>
      <c r="AE227" t="str">
        <f t="shared" si="233"/>
        <v>118.329284003155</v>
      </c>
      <c r="AF227" t="str">
        <f t="shared" si="215"/>
        <v>1+179.599303782938i</v>
      </c>
      <c r="AG227">
        <f t="shared" si="234"/>
        <v>179.6020877365184</v>
      </c>
      <c r="AH227">
        <f t="shared" si="235"/>
        <v>1.5652284340185569</v>
      </c>
      <c r="AI227" t="str">
        <f t="shared" si="216"/>
        <v>1+0.422058363889904i</v>
      </c>
      <c r="AJ227">
        <f t="shared" si="236"/>
        <v>1.0854184734605463</v>
      </c>
      <c r="AK227">
        <f t="shared" si="237"/>
        <v>0.399376419143953</v>
      </c>
      <c r="AL227" t="str">
        <f t="shared" si="217"/>
        <v>1-0.0293959240642448i</v>
      </c>
      <c r="AM227">
        <f t="shared" si="238"/>
        <v>1.0004319668781037</v>
      </c>
      <c r="AN227">
        <f t="shared" si="239"/>
        <v>-2.9387461246135112E-2</v>
      </c>
      <c r="AO227" s="58" t="str">
        <f t="shared" si="240"/>
        <v>0.262412097821112-0.665564713389806i</v>
      </c>
      <c r="AP227">
        <f t="shared" si="241"/>
        <v>-2.9086874972964436</v>
      </c>
      <c r="AQ227" s="60">
        <f t="shared" si="242"/>
        <v>-68.482177489145926</v>
      </c>
      <c r="AR227" t="str">
        <f t="shared" si="218"/>
        <v>-1.94444444444444</v>
      </c>
      <c r="AS227" t="str">
        <f t="shared" si="219"/>
        <v>1+0.432880373220413i</v>
      </c>
      <c r="AT227">
        <f t="shared" si="243"/>
        <v>1.0896721605691522</v>
      </c>
      <c r="AU227">
        <f t="shared" si="244"/>
        <v>0.40852641504978376</v>
      </c>
      <c r="AV227" t="str">
        <f t="shared" si="220"/>
        <v>1+0.432880373220413i</v>
      </c>
      <c r="AW227">
        <f t="shared" si="245"/>
        <v>1.0896721605691522</v>
      </c>
      <c r="AX227">
        <f t="shared" si="246"/>
        <v>0.40852641504978376</v>
      </c>
      <c r="AY227" t="str">
        <f t="shared" si="221"/>
        <v>1-0.0049151213732315i</v>
      </c>
      <c r="AZ227">
        <f t="shared" si="247"/>
        <v>1.000012079136104</v>
      </c>
      <c r="BA227">
        <f t="shared" si="248"/>
        <v>-4.9150817932861407E-3</v>
      </c>
      <c r="BB227" s="58" t="str">
        <f t="shared" si="249"/>
        <v>-1.63410068877103+0.716927296482886i</v>
      </c>
      <c r="BC227">
        <f t="shared" si="250"/>
        <v>5.0300985925586694</v>
      </c>
      <c r="BD227" s="60">
        <f t="shared" si="251"/>
        <v>156.3115471553208</v>
      </c>
      <c r="BE227" s="58" t="str">
        <f t="shared" si="252"/>
        <v>0.103328124883156+0.853394080215132i</v>
      </c>
      <c r="BF227" s="37">
        <f t="shared" si="253"/>
        <v>-1.3138015222057773</v>
      </c>
      <c r="BG227" s="60">
        <f t="shared" si="254"/>
        <v>83.096288318938335</v>
      </c>
      <c r="BH227" s="58" t="str">
        <f t="shared" si="255"/>
        <v>0.0483537208136304+1.27573015242727i</v>
      </c>
      <c r="BI227" s="37">
        <f t="shared" si="256"/>
        <v>2.1214110952622387</v>
      </c>
      <c r="BJ227" s="60">
        <f t="shared" si="257"/>
        <v>87.829369666174884</v>
      </c>
      <c r="BK227">
        <f t="shared" si="258"/>
        <v>-1.3138015222057773</v>
      </c>
      <c r="BL227" s="60">
        <f t="shared" si="259"/>
        <v>83.096288318938335</v>
      </c>
      <c r="BN227">
        <f t="shared" si="260"/>
        <v>0</v>
      </c>
      <c r="BO227">
        <f t="shared" si="261"/>
        <v>0</v>
      </c>
    </row>
    <row r="228" spans="13:67" ht="14.25" x14ac:dyDescent="0.2">
      <c r="M228" s="66">
        <v>10</v>
      </c>
      <c r="N228" s="36">
        <f t="shared" si="262"/>
        <v>1258.925411794168</v>
      </c>
      <c r="O228" s="91" t="str">
        <f t="shared" si="210"/>
        <v>99.7340425531915</v>
      </c>
      <c r="P228" s="67" t="str">
        <f t="shared" si="211"/>
        <v>1+229.728386224478i</v>
      </c>
      <c r="Q228" s="67">
        <f t="shared" si="222"/>
        <v>229.73056269748469</v>
      </c>
      <c r="R228" s="67">
        <f t="shared" si="223"/>
        <v>1.5664433876548962</v>
      </c>
      <c r="S228" s="67" t="str">
        <f t="shared" si="212"/>
        <v>1+0.431889366102019i</v>
      </c>
      <c r="T228" s="67">
        <f t="shared" si="224"/>
        <v>1.0892788552762804</v>
      </c>
      <c r="U228" s="67">
        <f t="shared" si="225"/>
        <v>0.40769150075715649</v>
      </c>
      <c r="V228" t="str">
        <f t="shared" si="213"/>
        <v>1-0.0446127477072416i</v>
      </c>
      <c r="W228" s="67">
        <f t="shared" si="226"/>
        <v>1.0009946539607442</v>
      </c>
      <c r="X228" s="67">
        <f t="shared" si="227"/>
        <v>-4.4583185458672722E-2</v>
      </c>
      <c r="Y228" t="str">
        <f t="shared" si="214"/>
        <v>0.999624877350897+0.068959511822432i</v>
      </c>
      <c r="Z228" s="67">
        <f t="shared" si="228"/>
        <v>1.0020006535375034</v>
      </c>
      <c r="AA228" s="67">
        <f t="shared" si="229"/>
        <v>6.8876267765983906E-2</v>
      </c>
      <c r="AB228" s="92" t="str">
        <f t="shared" si="230"/>
        <v>0.138970635861315-0.451516327770046i</v>
      </c>
      <c r="AC228" s="37">
        <f t="shared" si="231"/>
        <v>-6.5134505391590327</v>
      </c>
      <c r="AD228" s="60">
        <f t="shared" si="232"/>
        <v>-72.892340437695935</v>
      </c>
      <c r="AE228" t="str">
        <f t="shared" si="233"/>
        <v>118.329284003155</v>
      </c>
      <c r="AF228" t="str">
        <f t="shared" si="215"/>
        <v>1+183.782708979583i</v>
      </c>
      <c r="AG228">
        <f t="shared" si="234"/>
        <v>183.78542956359217</v>
      </c>
      <c r="AH228">
        <f t="shared" si="235"/>
        <v>1.5653551722009107</v>
      </c>
      <c r="AI228" t="str">
        <f t="shared" si="216"/>
        <v>1+0.431889366102019i</v>
      </c>
      <c r="AJ228">
        <f t="shared" si="236"/>
        <v>1.0892788552762804</v>
      </c>
      <c r="AK228">
        <f t="shared" si="237"/>
        <v>0.40769150075715649</v>
      </c>
      <c r="AL228" t="str">
        <f t="shared" si="217"/>
        <v>1-0.0300806430965589i</v>
      </c>
      <c r="AM228">
        <f t="shared" si="238"/>
        <v>1.000452320247748</v>
      </c>
      <c r="AN228">
        <f t="shared" si="239"/>
        <v>-3.0071575244989632E-2</v>
      </c>
      <c r="AO228" s="58" t="str">
        <f t="shared" si="240"/>
        <v>0.262247361272922-0.65079197802695i</v>
      </c>
      <c r="AP228">
        <f t="shared" si="241"/>
        <v>-3.0776674391024379</v>
      </c>
      <c r="AQ228" s="60">
        <f t="shared" si="242"/>
        <v>-68.052216814194793</v>
      </c>
      <c r="AR228" t="str">
        <f t="shared" si="218"/>
        <v>-1.94444444444444</v>
      </c>
      <c r="AS228" t="str">
        <f t="shared" si="219"/>
        <v>1+0.442963452412326i</v>
      </c>
      <c r="AT228">
        <f t="shared" si="243"/>
        <v>1.093716883006314</v>
      </c>
      <c r="AU228">
        <f t="shared" si="244"/>
        <v>0.41698694539987852</v>
      </c>
      <c r="AV228" t="str">
        <f t="shared" si="220"/>
        <v>1+0.442963452412326i</v>
      </c>
      <c r="AW228">
        <f t="shared" si="245"/>
        <v>1.093716883006314</v>
      </c>
      <c r="AX228">
        <f t="shared" si="246"/>
        <v>0.41698694539987852</v>
      </c>
      <c r="AY228" t="str">
        <f t="shared" si="221"/>
        <v>1-0.00480323955143726i</v>
      </c>
      <c r="AZ228">
        <f t="shared" si="247"/>
        <v>1.0000115354885606</v>
      </c>
      <c r="BA228">
        <f t="shared" si="248"/>
        <v>-4.803202613258931E-3</v>
      </c>
      <c r="BB228" s="58" t="str">
        <f t="shared" si="249"/>
        <v>-1.62203675812873+0.727842634781527i</v>
      </c>
      <c r="BC228">
        <f t="shared" si="250"/>
        <v>4.997912658506916</v>
      </c>
      <c r="BD228" s="60">
        <f t="shared" si="251"/>
        <v>155.83320467864891</v>
      </c>
      <c r="BE228" s="58" t="str">
        <f t="shared" si="252"/>
        <v>0.103217353983454+0.833524834300878i</v>
      </c>
      <c r="BF228" s="37">
        <f t="shared" si="253"/>
        <v>-1.5155378806521189</v>
      </c>
      <c r="BG228" s="60">
        <f t="shared" si="254"/>
        <v>82.940864240953005</v>
      </c>
      <c r="BH228" s="58" t="str">
        <f t="shared" si="255"/>
        <v>0.0482992882748727+1.2464833206484i</v>
      </c>
      <c r="BI228" s="37">
        <f t="shared" si="256"/>
        <v>1.9202452194044515</v>
      </c>
      <c r="BJ228" s="60">
        <f t="shared" si="257"/>
        <v>87.780987864454133</v>
      </c>
      <c r="BK228">
        <f t="shared" si="258"/>
        <v>-1.5155378806521189</v>
      </c>
      <c r="BL228" s="60">
        <f t="shared" si="259"/>
        <v>82.940864240953005</v>
      </c>
      <c r="BN228">
        <f t="shared" si="260"/>
        <v>0</v>
      </c>
      <c r="BO228">
        <f t="shared" si="261"/>
        <v>0</v>
      </c>
    </row>
    <row r="229" spans="13:67" ht="14.25" x14ac:dyDescent="0.2">
      <c r="M229" s="66">
        <v>11</v>
      </c>
      <c r="N229" s="36">
        <f t="shared" si="262"/>
        <v>1288.2495516931347</v>
      </c>
      <c r="O229" s="91" t="str">
        <f t="shared" si="210"/>
        <v>99.7340425531915</v>
      </c>
      <c r="P229" s="67" t="str">
        <f t="shared" si="211"/>
        <v>1+235.079447751475i</v>
      </c>
      <c r="Q229" s="67">
        <f t="shared" si="222"/>
        <v>235.08157468236095</v>
      </c>
      <c r="R229" s="67">
        <f t="shared" si="223"/>
        <v>1.5665424714375022</v>
      </c>
      <c r="S229" s="67" t="str">
        <f t="shared" si="212"/>
        <v>1+0.441949361772773i</v>
      </c>
      <c r="T229" s="67">
        <f t="shared" si="224"/>
        <v>1.0933065619355631</v>
      </c>
      <c r="U229" s="67">
        <f t="shared" si="225"/>
        <v>0.41613887880796008</v>
      </c>
      <c r="V229" t="str">
        <f t="shared" si="213"/>
        <v>1-0.0456519120952095i</v>
      </c>
      <c r="W229" s="67">
        <f t="shared" si="226"/>
        <v>1.0010415061714217</v>
      </c>
      <c r="X229" s="67">
        <f t="shared" si="227"/>
        <v>-4.5620237354859108E-2</v>
      </c>
      <c r="Y229" t="str">
        <f t="shared" si="214"/>
        <v>0.999607198365104+0.0705657851989964i</v>
      </c>
      <c r="Z229" s="67">
        <f t="shared" si="228"/>
        <v>1.0020948463414445</v>
      </c>
      <c r="AA229" s="67">
        <f t="shared" si="229"/>
        <v>7.0476597555602524E-2</v>
      </c>
      <c r="AB229" s="92" t="str">
        <f t="shared" si="230"/>
        <v>0.138829900227377-0.442063736132359i</v>
      </c>
      <c r="AC229" s="37">
        <f t="shared" si="231"/>
        <v>-6.6817991450243426</v>
      </c>
      <c r="AD229" s="60">
        <f t="shared" si="232"/>
        <v>-72.565129249556563</v>
      </c>
      <c r="AE229" t="str">
        <f t="shared" si="233"/>
        <v>118.329284003155</v>
      </c>
      <c r="AF229" t="str">
        <f t="shared" si="215"/>
        <v>1+188.06355820118i</v>
      </c>
      <c r="AG229">
        <f t="shared" si="234"/>
        <v>188.06621685802213</v>
      </c>
      <c r="AH229">
        <f t="shared" si="235"/>
        <v>1.5654790256389297</v>
      </c>
      <c r="AI229" t="str">
        <f t="shared" si="216"/>
        <v>1+0.441949361772773i</v>
      </c>
      <c r="AJ229">
        <f t="shared" si="236"/>
        <v>1.0933065619355631</v>
      </c>
      <c r="AK229">
        <f t="shared" si="237"/>
        <v>0.41613887880796008</v>
      </c>
      <c r="AL229" t="str">
        <f t="shared" si="217"/>
        <v>1-0.0307813112840071i</v>
      </c>
      <c r="AM229">
        <f t="shared" si="238"/>
        <v>1.0004736323983572</v>
      </c>
      <c r="AN229">
        <f t="shared" si="239"/>
        <v>-3.0771595154407142E-2</v>
      </c>
      <c r="AO229" s="58" t="str">
        <f t="shared" si="240"/>
        <v>0.262090038661617-0.636364220479768i</v>
      </c>
      <c r="AP229">
        <f t="shared" si="241"/>
        <v>-3.2454189952767001</v>
      </c>
      <c r="AQ229" s="60">
        <f t="shared" si="242"/>
        <v>-67.615422169593714</v>
      </c>
      <c r="AR229" t="str">
        <f t="shared" si="218"/>
        <v>-1.94444444444444</v>
      </c>
      <c r="AS229" t="str">
        <f t="shared" si="219"/>
        <v>1+0.453281396690022i</v>
      </c>
      <c r="AT229">
        <f t="shared" si="243"/>
        <v>1.0979362570683495</v>
      </c>
      <c r="AU229">
        <f t="shared" si="244"/>
        <v>0.425579384823283</v>
      </c>
      <c r="AV229" t="str">
        <f t="shared" si="220"/>
        <v>1+0.453281396690022i</v>
      </c>
      <c r="AW229">
        <f t="shared" si="245"/>
        <v>1.0979362570683495</v>
      </c>
      <c r="AX229">
        <f t="shared" si="246"/>
        <v>0.425579384823283</v>
      </c>
      <c r="AY229" t="str">
        <f t="shared" si="221"/>
        <v>1-0.00469390447083159i</v>
      </c>
      <c r="AZ229">
        <f t="shared" si="247"/>
        <v>1.0000110163089111</v>
      </c>
      <c r="BA229">
        <f t="shared" si="248"/>
        <v>-4.6938699980963242E-3</v>
      </c>
      <c r="BB229" s="58" t="str">
        <f t="shared" si="249"/>
        <v>-1.60959372410368+0.738725927836272i</v>
      </c>
      <c r="BC229">
        <f t="shared" si="250"/>
        <v>4.9644639309980025</v>
      </c>
      <c r="BD229" s="60">
        <f t="shared" si="251"/>
        <v>155.34715846137794</v>
      </c>
      <c r="BE229" s="58" t="str">
        <f t="shared" si="252"/>
        <v>0.10310420751322+0.814100262189356i</v>
      </c>
      <c r="BF229" s="37">
        <f t="shared" si="253"/>
        <v>-1.7173352140263429</v>
      </c>
      <c r="BG229" s="60">
        <f t="shared" si="254"/>
        <v>82.782029211821367</v>
      </c>
      <c r="BH229" s="58" t="str">
        <f t="shared" si="255"/>
        <v>0.048240267835893+1.21790056251531i</v>
      </c>
      <c r="BI229" s="37">
        <f t="shared" si="256"/>
        <v>1.7190449357212851</v>
      </c>
      <c r="BJ229" s="60">
        <f t="shared" si="257"/>
        <v>87.73173629178423</v>
      </c>
      <c r="BK229">
        <f t="shared" si="258"/>
        <v>-1.7173352140263429</v>
      </c>
      <c r="BL229" s="60">
        <f t="shared" si="259"/>
        <v>82.782029211821367</v>
      </c>
      <c r="BN229">
        <f t="shared" si="260"/>
        <v>0</v>
      </c>
      <c r="BO229">
        <f t="shared" si="261"/>
        <v>0</v>
      </c>
    </row>
    <row r="230" spans="13:67" ht="14.25" x14ac:dyDescent="0.2">
      <c r="M230" s="66">
        <v>12</v>
      </c>
      <c r="N230" s="36">
        <f t="shared" si="262"/>
        <v>1318.2567385564089</v>
      </c>
      <c r="O230" s="91" t="str">
        <f t="shared" si="210"/>
        <v>99.7340425531915</v>
      </c>
      <c r="P230" s="67" t="str">
        <f t="shared" si="211"/>
        <v>1+240.555151513314i</v>
      </c>
      <c r="Q230" s="67">
        <f t="shared" si="222"/>
        <v>240.55723002976541</v>
      </c>
      <c r="R230" s="67">
        <f t="shared" si="223"/>
        <v>1.5666392998785676</v>
      </c>
      <c r="S230" s="67" t="str">
        <f t="shared" si="212"/>
        <v>1+0.452243684845031i</v>
      </c>
      <c r="T230" s="67">
        <f t="shared" si="224"/>
        <v>1.0975082462023744</v>
      </c>
      <c r="U230" s="67">
        <f t="shared" si="225"/>
        <v>0.42471820884179462</v>
      </c>
      <c r="V230" t="str">
        <f t="shared" si="213"/>
        <v>1-0.046715281731245i</v>
      </c>
      <c r="W230" s="67">
        <f t="shared" si="226"/>
        <v>1.0010905641085772</v>
      </c>
      <c r="X230" s="67">
        <f t="shared" si="227"/>
        <v>-4.668134363205112E-2</v>
      </c>
      <c r="Y230" t="str">
        <f t="shared" si="214"/>
        <v>0.999588686194379+0.0722094734889221i</v>
      </c>
      <c r="Z230" s="67">
        <f t="shared" si="228"/>
        <v>1.0021934691611956</v>
      </c>
      <c r="AA230" s="67">
        <f t="shared" si="229"/>
        <v>7.2113918390865811E-2</v>
      </c>
      <c r="AB230" s="92" t="str">
        <f t="shared" si="230"/>
        <v>0.138690379621532-0.432845160776418i</v>
      </c>
      <c r="AC230" s="37">
        <f t="shared" si="231"/>
        <v>-6.8489079978037637</v>
      </c>
      <c r="AD230" s="60">
        <f t="shared" si="232"/>
        <v>-72.233726193445207</v>
      </c>
      <c r="AE230" t="str">
        <f t="shared" si="233"/>
        <v>118.329284003155</v>
      </c>
      <c r="AF230" t="str">
        <f t="shared" si="215"/>
        <v>1+192.444121210652i</v>
      </c>
      <c r="AG230">
        <f t="shared" si="234"/>
        <v>192.44671934990248</v>
      </c>
      <c r="AH230">
        <f t="shared" si="235"/>
        <v>1.5656000599861384</v>
      </c>
      <c r="AI230" t="str">
        <f t="shared" si="216"/>
        <v>1+0.452243684845031i</v>
      </c>
      <c r="AJ230">
        <f t="shared" si="236"/>
        <v>1.0975082462023744</v>
      </c>
      <c r="AK230">
        <f t="shared" si="237"/>
        <v>0.42471820884179462</v>
      </c>
      <c r="AL230" t="str">
        <f t="shared" si="217"/>
        <v>1-0.031498300130137i</v>
      </c>
      <c r="AM230">
        <f t="shared" si="238"/>
        <v>1.0004959484731002</v>
      </c>
      <c r="AN230">
        <f t="shared" si="239"/>
        <v>-3.1487889388405667E-2</v>
      </c>
      <c r="AO230" s="58" t="str">
        <f t="shared" si="240"/>
        <v>0.261939796342825-0.62227379634666i</v>
      </c>
      <c r="AP230">
        <f t="shared" si="241"/>
        <v>-3.4119029814731876</v>
      </c>
      <c r="AQ230" s="60">
        <f t="shared" si="242"/>
        <v>-67.171838161374012</v>
      </c>
      <c r="AR230" t="str">
        <f t="shared" si="218"/>
        <v>-1.94444444444444</v>
      </c>
      <c r="AS230" t="str">
        <f t="shared" si="219"/>
        <v>1+0.463839676764133i</v>
      </c>
      <c r="AT230">
        <f t="shared" si="243"/>
        <v>1.1023371742532568</v>
      </c>
      <c r="AU230">
        <f t="shared" si="244"/>
        <v>0.43430321306444047</v>
      </c>
      <c r="AV230" t="str">
        <f t="shared" si="220"/>
        <v>1+0.463839676764133i</v>
      </c>
      <c r="AW230">
        <f t="shared" si="245"/>
        <v>1.1023371742532568</v>
      </c>
      <c r="AX230">
        <f t="shared" si="246"/>
        <v>0.43430321306444047</v>
      </c>
      <c r="AY230" t="str">
        <f t="shared" si="221"/>
        <v>1-0.00458705816050751i</v>
      </c>
      <c r="AZ230">
        <f t="shared" si="247"/>
        <v>1.0000105204959435</v>
      </c>
      <c r="BA230">
        <f t="shared" si="248"/>
        <v>-4.5870259886599211E-3</v>
      </c>
      <c r="BB230" s="58" t="str">
        <f t="shared" si="249"/>
        <v>-1.59676725220452+0.74956328588664i</v>
      </c>
      <c r="BC230">
        <f t="shared" si="250"/>
        <v>4.9297130957801425</v>
      </c>
      <c r="BD230" s="60">
        <f t="shared" si="251"/>
        <v>154.85344163276955</v>
      </c>
      <c r="BE230" s="58" t="str">
        <f t="shared" si="252"/>
        <v>0.102988584616227+0.795110194672966i</v>
      </c>
      <c r="BF230" s="37">
        <f t="shared" si="253"/>
        <v>-1.9191949020236201</v>
      </c>
      <c r="BG230" s="60">
        <f t="shared" si="254"/>
        <v>82.619715439324395</v>
      </c>
      <c r="BH230" s="58" t="str">
        <f t="shared" si="255"/>
        <v>0.0481767026614121+1.18996687436254i</v>
      </c>
      <c r="BI230" s="37">
        <f t="shared" si="256"/>
        <v>1.51781011430698</v>
      </c>
      <c r="BJ230" s="60">
        <f t="shared" si="257"/>
        <v>87.681603471395547</v>
      </c>
      <c r="BK230">
        <f t="shared" si="258"/>
        <v>-1.9191949020236201</v>
      </c>
      <c r="BL230" s="60">
        <f t="shared" si="259"/>
        <v>82.619715439324395</v>
      </c>
      <c r="BN230">
        <f t="shared" si="260"/>
        <v>0</v>
      </c>
      <c r="BO230">
        <f t="shared" si="261"/>
        <v>0</v>
      </c>
    </row>
    <row r="231" spans="13:67" ht="14.25" x14ac:dyDescent="0.2">
      <c r="M231" s="66">
        <v>13</v>
      </c>
      <c r="N231" s="36">
        <f t="shared" si="262"/>
        <v>1348.9628825916541</v>
      </c>
      <c r="O231" s="91" t="str">
        <f t="shared" si="210"/>
        <v>99.7340425531915</v>
      </c>
      <c r="P231" s="67" t="str">
        <f t="shared" si="211"/>
        <v>1+246.158400800609i</v>
      </c>
      <c r="Q231" s="67">
        <f t="shared" si="222"/>
        <v>246.1604320046446</v>
      </c>
      <c r="R231" s="67">
        <f t="shared" si="223"/>
        <v>1.5667339243105469</v>
      </c>
      <c r="S231" s="67" t="str">
        <f t="shared" si="212"/>
        <v>1+0.462777793505146i</v>
      </c>
      <c r="T231" s="67">
        <f t="shared" si="224"/>
        <v>1.1018907777822136</v>
      </c>
      <c r="U231" s="67">
        <f t="shared" si="225"/>
        <v>0.43342898684477293</v>
      </c>
      <c r="V231" t="str">
        <f t="shared" si="213"/>
        <v>1-0.0478034204280041i</v>
      </c>
      <c r="W231" s="67">
        <f t="shared" si="226"/>
        <v>1.0011419314985346</v>
      </c>
      <c r="X231" s="67">
        <f t="shared" si="227"/>
        <v>-4.7767057339413263E-2</v>
      </c>
      <c r="Y231" t="str">
        <f t="shared" si="214"/>
        <v>0.999569301571927+0.0738914481974968i</v>
      </c>
      <c r="Z231" s="67">
        <f t="shared" si="228"/>
        <v>1.0022967298967473</v>
      </c>
      <c r="AA231" s="67">
        <f t="shared" si="229"/>
        <v>7.3789071609873663E-2</v>
      </c>
      <c r="AB231" s="92" t="str">
        <f t="shared" si="230"/>
        <v>0.138551781273669-0.423855692013969i</v>
      </c>
      <c r="AC231" s="37">
        <f t="shared" si="231"/>
        <v>-7.0147387232797618</v>
      </c>
      <c r="AD231" s="60">
        <f t="shared" si="232"/>
        <v>-71.898242980868702</v>
      </c>
      <c r="AE231" t="str">
        <f t="shared" si="233"/>
        <v>118.329284003155</v>
      </c>
      <c r="AF231" t="str">
        <f t="shared" si="215"/>
        <v>1+196.926720640488i</v>
      </c>
      <c r="AG231">
        <f t="shared" si="234"/>
        <v>196.92925963964015</v>
      </c>
      <c r="AH231">
        <f t="shared" si="235"/>
        <v>1.5657183394023571</v>
      </c>
      <c r="AI231" t="str">
        <f t="shared" si="216"/>
        <v>1+0.462777793505146i</v>
      </c>
      <c r="AJ231">
        <f t="shared" si="236"/>
        <v>1.1018907777822136</v>
      </c>
      <c r="AK231">
        <f t="shared" si="237"/>
        <v>0.43342898684477293</v>
      </c>
      <c r="AL231" t="str">
        <f t="shared" si="217"/>
        <v>1-0.0322319897919252i</v>
      </c>
      <c r="AM231">
        <f t="shared" si="238"/>
        <v>1.0005193157385552</v>
      </c>
      <c r="AN231">
        <f t="shared" si="239"/>
        <v>-3.2220834793872472E-2</v>
      </c>
      <c r="AO231" s="58" t="str">
        <f t="shared" si="240"/>
        <v>0.261796315685327-0.608513239725189i</v>
      </c>
      <c r="AP231">
        <f t="shared" si="241"/>
        <v>-3.5770797162756578</v>
      </c>
      <c r="AQ231" s="60">
        <f t="shared" si="242"/>
        <v>-66.721518935227252</v>
      </c>
      <c r="AR231" t="str">
        <f t="shared" si="218"/>
        <v>-1.94444444444444</v>
      </c>
      <c r="AS231" t="str">
        <f t="shared" si="219"/>
        <v>1+0.474643890774507i</v>
      </c>
      <c r="AT231">
        <f t="shared" si="243"/>
        <v>1.1069267469212054</v>
      </c>
      <c r="AU231">
        <f t="shared" si="244"/>
        <v>0.44315774315518597</v>
      </c>
      <c r="AV231" t="str">
        <f t="shared" si="220"/>
        <v>1+0.474643890774507i</v>
      </c>
      <c r="AW231">
        <f t="shared" si="245"/>
        <v>1.1069267469212054</v>
      </c>
      <c r="AX231">
        <f t="shared" si="246"/>
        <v>0.44315774315518597</v>
      </c>
      <c r="AY231" t="str">
        <f t="shared" si="221"/>
        <v>1-0.00448264396913704i</v>
      </c>
      <c r="AZ231">
        <f t="shared" si="247"/>
        <v>1.000010046998006</v>
      </c>
      <c r="BA231">
        <f t="shared" si="248"/>
        <v>-4.4826139446048534E-3</v>
      </c>
      <c r="BB231" s="58" t="str">
        <f t="shared" si="249"/>
        <v>-1.58355357464471+0.760340282081456i</v>
      </c>
      <c r="BC231">
        <f t="shared" si="250"/>
        <v>4.8936204210439804</v>
      </c>
      <c r="BD231" s="60">
        <f t="shared" si="251"/>
        <v>154.35209679845292</v>
      </c>
      <c r="BE231" s="58" t="str">
        <f t="shared" si="252"/>
        <v>0.102870387918421+0.776544696678737i</v>
      </c>
      <c r="BF231" s="37">
        <f t="shared" si="253"/>
        <v>-2.121118302235788</v>
      </c>
      <c r="BG231" s="60">
        <f t="shared" si="254"/>
        <v>82.453853817584246</v>
      </c>
      <c r="BH231" s="58" t="str">
        <f t="shared" si="255"/>
        <v>0.0481086368106363+1.16266760050152i</v>
      </c>
      <c r="BI231" s="37">
        <f t="shared" si="256"/>
        <v>1.3165407047682933</v>
      </c>
      <c r="BJ231" s="60">
        <f t="shared" si="257"/>
        <v>87.630577863225668</v>
      </c>
      <c r="BK231">
        <f t="shared" si="258"/>
        <v>-2.121118302235788</v>
      </c>
      <c r="BL231" s="60">
        <f t="shared" si="259"/>
        <v>82.453853817584246</v>
      </c>
      <c r="BN231">
        <f t="shared" si="260"/>
        <v>0</v>
      </c>
      <c r="BO231">
        <f t="shared" si="261"/>
        <v>0</v>
      </c>
    </row>
    <row r="232" spans="13:67" ht="14.25" x14ac:dyDescent="0.2">
      <c r="M232" s="66">
        <v>14</v>
      </c>
      <c r="N232" s="36">
        <f t="shared" si="262"/>
        <v>1380.3842646028863</v>
      </c>
      <c r="O232" s="91" t="str">
        <f t="shared" si="210"/>
        <v>99.7340425531915</v>
      </c>
      <c r="P232" s="67" t="str">
        <f t="shared" si="211"/>
        <v>1+251.892166530301i</v>
      </c>
      <c r="Q232" s="67">
        <f t="shared" si="222"/>
        <v>251.89415149885656</v>
      </c>
      <c r="R232" s="67">
        <f t="shared" si="223"/>
        <v>1.5668263948977843</v>
      </c>
      <c r="S232" s="67" t="str">
        <f t="shared" si="212"/>
        <v>1+0.473557273076966i</v>
      </c>
      <c r="T232" s="67">
        <f t="shared" si="224"/>
        <v>1.1064612468966513</v>
      </c>
      <c r="U232" s="67">
        <f t="shared" si="225"/>
        <v>0.44227054272885796</v>
      </c>
      <c r="V232" t="str">
        <f t="shared" si="213"/>
        <v>1-0.0489169051310272i</v>
      </c>
      <c r="W232" s="67">
        <f t="shared" si="226"/>
        <v>1.0011957169343053</v>
      </c>
      <c r="X232" s="67">
        <f t="shared" si="227"/>
        <v>-4.8877943892411894E-2</v>
      </c>
      <c r="Y232" t="str">
        <f t="shared" si="214"/>
        <v>0.999549003380364+0.0756126011299749i</v>
      </c>
      <c r="Z232" s="67">
        <f t="shared" si="228"/>
        <v>1.0024048461616293</v>
      </c>
      <c r="AA232" s="67">
        <f t="shared" si="229"/>
        <v>7.5502916711066209E-2</v>
      </c>
      <c r="AB232" s="92" t="str">
        <f t="shared" si="230"/>
        <v>0.138413814669787-0.415090539793031i</v>
      </c>
      <c r="AC232" s="37">
        <f t="shared" si="231"/>
        <v>-7.1792525647810637</v>
      </c>
      <c r="AD232" s="60">
        <f t="shared" si="232"/>
        <v>-71.558802520801507</v>
      </c>
      <c r="AE232" t="str">
        <f t="shared" si="233"/>
        <v>118.329284003155</v>
      </c>
      <c r="AF232" t="str">
        <f t="shared" si="215"/>
        <v>1+201.513733224241i</v>
      </c>
      <c r="AG232">
        <f t="shared" si="234"/>
        <v>201.51621442943636</v>
      </c>
      <c r="AH232">
        <f t="shared" si="235"/>
        <v>1.5658339265876522</v>
      </c>
      <c r="AI232" t="str">
        <f t="shared" si="216"/>
        <v>1+0.473557273076966i</v>
      </c>
      <c r="AJ232">
        <f t="shared" si="236"/>
        <v>1.1064612468966513</v>
      </c>
      <c r="AK232">
        <f t="shared" si="237"/>
        <v>0.44227054272885796</v>
      </c>
      <c r="AL232" t="str">
        <f t="shared" si="217"/>
        <v>1-0.0329827692813418i</v>
      </c>
      <c r="AM232">
        <f t="shared" si="238"/>
        <v>1.0005437836843853</v>
      </c>
      <c r="AN232">
        <f t="shared" si="239"/>
        <v>-3.2970816836403155E-2</v>
      </c>
      <c r="AO232" s="58" t="str">
        <f t="shared" si="240"/>
        <v>0.261659292395642-0.595075259277545i</v>
      </c>
      <c r="AP232">
        <f t="shared" si="241"/>
        <v>-3.7409090757845314</v>
      </c>
      <c r="AQ232" s="60">
        <f t="shared" si="242"/>
        <v>-66.264528562370955</v>
      </c>
      <c r="AR232" t="str">
        <f t="shared" si="218"/>
        <v>-1.94444444444444</v>
      </c>
      <c r="AS232" t="str">
        <f t="shared" si="219"/>
        <v>1+0.485699767258425i</v>
      </c>
      <c r="AT232">
        <f t="shared" si="243"/>
        <v>1.1117123116683059</v>
      </c>
      <c r="AU232">
        <f t="shared" si="244"/>
        <v>0.45214211511939101</v>
      </c>
      <c r="AV232" t="str">
        <f t="shared" si="220"/>
        <v>1+0.485699767258425i</v>
      </c>
      <c r="AW232">
        <f t="shared" si="245"/>
        <v>1.1117123116683059</v>
      </c>
      <c r="AX232">
        <f t="shared" si="246"/>
        <v>0.45214211511939101</v>
      </c>
      <c r="AY232" t="str">
        <f t="shared" si="221"/>
        <v>1-0.0043806065349338i</v>
      </c>
      <c r="AZ232">
        <f t="shared" si="247"/>
        <v>1.0000095948107768</v>
      </c>
      <c r="BA232">
        <f t="shared" si="248"/>
        <v>-4.3805785143948024E-3</v>
      </c>
      <c r="BB232" s="58" t="str">
        <f t="shared" si="249"/>
        <v>-1.56994953837203+0.771041971434913i</v>
      </c>
      <c r="BC232">
        <f t="shared" si="250"/>
        <v>4.8561458182897423</v>
      </c>
      <c r="BD232" s="60">
        <f t="shared" si="251"/>
        <v>153.84317640284027</v>
      </c>
      <c r="BE232" s="58" t="str">
        <f t="shared" si="252"/>
        <v>0.102749523680857+0.758394061867485i</v>
      </c>
      <c r="BF232" s="37">
        <f t="shared" si="253"/>
        <v>-2.3231067464913209</v>
      </c>
      <c r="BG232" s="60">
        <f t="shared" si="254"/>
        <v>82.284373882038764</v>
      </c>
      <c r="BH232" s="58" t="str">
        <f t="shared" si="255"/>
        <v>0.0480361157582101+1.1359884252524i</v>
      </c>
      <c r="BI232" s="37">
        <f t="shared" si="256"/>
        <v>1.1152367425052243</v>
      </c>
      <c r="BJ232" s="60">
        <f t="shared" si="257"/>
        <v>87.578647840469316</v>
      </c>
      <c r="BK232">
        <f t="shared" si="258"/>
        <v>-2.3231067464913209</v>
      </c>
      <c r="BL232" s="60">
        <f t="shared" si="259"/>
        <v>82.284373882038764</v>
      </c>
      <c r="BN232">
        <f t="shared" si="260"/>
        <v>0</v>
      </c>
      <c r="BO232">
        <f t="shared" si="261"/>
        <v>0</v>
      </c>
    </row>
    <row r="233" spans="13:67" ht="14.25" x14ac:dyDescent="0.2">
      <c r="M233" s="66">
        <v>15</v>
      </c>
      <c r="N233" s="36">
        <f t="shared" si="262"/>
        <v>1412.5375446227545</v>
      </c>
      <c r="O233" s="91" t="str">
        <f t="shared" si="210"/>
        <v>99.7340425531915</v>
      </c>
      <c r="P233" s="67" t="str">
        <f t="shared" si="211"/>
        <v>1+257.759488820874i</v>
      </c>
      <c r="Q233" s="67">
        <f t="shared" si="222"/>
        <v>257.76142860637287</v>
      </c>
      <c r="R233" s="67">
        <f t="shared" si="223"/>
        <v>1.5669167606630798</v>
      </c>
      <c r="S233" s="67" t="str">
        <f t="shared" si="212"/>
        <v>1+0.484587838983242i</v>
      </c>
      <c r="T233" s="67">
        <f t="shared" si="224"/>
        <v>1.1112269676760227</v>
      </c>
      <c r="U233" s="67">
        <f t="shared" si="225"/>
        <v>0.45124203401427332</v>
      </c>
      <c r="V233" t="str">
        <f t="shared" si="213"/>
        <v>1-0.0500563262246426i</v>
      </c>
      <c r="W233" s="67">
        <f t="shared" si="226"/>
        <v>1.0012520341028566</v>
      </c>
      <c r="X233" s="67">
        <f t="shared" si="227"/>
        <v>-5.0014581324284095E-2</v>
      </c>
      <c r="Y233" t="str">
        <f t="shared" si="214"/>
        <v>0.999527748564504+0.0773738448644231i</v>
      </c>
      <c r="Z233" s="67">
        <f t="shared" si="228"/>
        <v>1.0025180457326095</v>
      </c>
      <c r="AA233" s="67">
        <f t="shared" si="229"/>
        <v>7.7256331675213771E-2</v>
      </c>
      <c r="AB233" s="92" t="str">
        <f t="shared" si="230"/>
        <v>0.138276190964595-0.406545031049781i</v>
      </c>
      <c r="AC233" s="37">
        <f t="shared" si="231"/>
        <v>-7.3424104453869008</v>
      </c>
      <c r="AD233" s="60">
        <f t="shared" si="232"/>
        <v>-71.21553931603647</v>
      </c>
      <c r="AE233" t="str">
        <f t="shared" si="233"/>
        <v>118.329284003155</v>
      </c>
      <c r="AF233" t="str">
        <f t="shared" si="215"/>
        <v>1+206.207591056699i</v>
      </c>
      <c r="AG233">
        <f t="shared" si="234"/>
        <v>206.21001578344053</v>
      </c>
      <c r="AH233">
        <f t="shared" si="235"/>
        <v>1.5659468828155181</v>
      </c>
      <c r="AI233" t="str">
        <f t="shared" si="216"/>
        <v>1+0.484587838983242i</v>
      </c>
      <c r="AJ233">
        <f t="shared" si="236"/>
        <v>1.1112269676760227</v>
      </c>
      <c r="AK233">
        <f t="shared" si="237"/>
        <v>0.45124203401427332</v>
      </c>
      <c r="AL233" t="str">
        <f t="shared" si="217"/>
        <v>1-0.03375103667161i</v>
      </c>
      <c r="AM233">
        <f t="shared" si="238"/>
        <v>1.0005694041276738</v>
      </c>
      <c r="AN233">
        <f t="shared" si="239"/>
        <v>-3.3738229789717133E-2</v>
      </c>
      <c r="AO233" s="58" t="str">
        <f t="shared" si="240"/>
        <v>0.261528435872983-0.58195273438695i</v>
      </c>
      <c r="AP233">
        <f t="shared" si="241"/>
        <v>-3.903350553088405</v>
      </c>
      <c r="AQ233" s="60">
        <f t="shared" si="242"/>
        <v>-65.800941414273211</v>
      </c>
      <c r="AR233" t="str">
        <f t="shared" si="218"/>
        <v>-1.94444444444444</v>
      </c>
      <c r="AS233" t="str">
        <f t="shared" si="219"/>
        <v>1+0.497013168187939i</v>
      </c>
      <c r="AT233">
        <f t="shared" si="243"/>
        <v>1.1167014325020868</v>
      </c>
      <c r="AU233">
        <f t="shared" si="244"/>
        <v>0.46125528992772957</v>
      </c>
      <c r="AV233" t="str">
        <f t="shared" si="220"/>
        <v>1+0.497013168187939i</v>
      </c>
      <c r="AW233">
        <f t="shared" si="245"/>
        <v>1.1167014325020868</v>
      </c>
      <c r="AX233">
        <f t="shared" si="246"/>
        <v>0.46125528992772957</v>
      </c>
      <c r="AY233" t="str">
        <f t="shared" si="221"/>
        <v>1-0.00428089175629957i</v>
      </c>
      <c r="AZ233">
        <f t="shared" si="247"/>
        <v>1.0000091629751346</v>
      </c>
      <c r="BA233">
        <f t="shared" si="248"/>
        <v>-4.2808656059974892E-3</v>
      </c>
      <c r="BB233" s="58" t="str">
        <f t="shared" si="249"/>
        <v>-1.55595265326304+0.781652913941499i</v>
      </c>
      <c r="BC233">
        <f t="shared" si="250"/>
        <v>4.817248908157084</v>
      </c>
      <c r="BD233" s="60">
        <f t="shared" si="251"/>
        <v>153.32674307717156</v>
      </c>
      <c r="BE233" s="58" t="str">
        <f t="shared" si="252"/>
        <v>0.10262590195403+0.740648807329019i</v>
      </c>
      <c r="BF233" s="37">
        <f t="shared" si="253"/>
        <v>-2.5251615372298137</v>
      </c>
      <c r="BG233" s="60">
        <f t="shared" si="254"/>
        <v>82.111203761135087</v>
      </c>
      <c r="BH233" s="58" t="str">
        <f t="shared" si="255"/>
        <v>0.047959186909482+1.10991536512174i</v>
      </c>
      <c r="BI233" s="37">
        <f t="shared" si="256"/>
        <v>0.91389835506871175</v>
      </c>
      <c r="BJ233" s="60">
        <f t="shared" si="257"/>
        <v>87.525801662898346</v>
      </c>
      <c r="BK233">
        <f t="shared" si="258"/>
        <v>-2.5251615372298137</v>
      </c>
      <c r="BL233" s="60">
        <f t="shared" si="259"/>
        <v>82.111203761135087</v>
      </c>
      <c r="BN233">
        <f t="shared" si="260"/>
        <v>0</v>
      </c>
      <c r="BO233">
        <f t="shared" si="261"/>
        <v>0</v>
      </c>
    </row>
    <row r="234" spans="13:67" ht="14.25" x14ac:dyDescent="0.2">
      <c r="M234" s="66">
        <v>16</v>
      </c>
      <c r="N234" s="36">
        <f t="shared" si="262"/>
        <v>1445.4397707459289</v>
      </c>
      <c r="O234" s="91" t="str">
        <f t="shared" si="210"/>
        <v>99.7340425531915</v>
      </c>
      <c r="P234" s="67" t="str">
        <f t="shared" si="211"/>
        <v>1+263.763478604269i</v>
      </c>
      <c r="Q234" s="67">
        <f t="shared" si="222"/>
        <v>263.76537423518016</v>
      </c>
      <c r="R234" s="67">
        <f t="shared" si="223"/>
        <v>1.5670050695136521</v>
      </c>
      <c r="S234" s="67" t="str">
        <f t="shared" si="212"/>
        <v>1+0.495875339776027i</v>
      </c>
      <c r="T234" s="67">
        <f t="shared" si="224"/>
        <v>1.1161954813553001</v>
      </c>
      <c r="U234" s="67">
        <f t="shared" si="225"/>
        <v>0.46034243975715966</v>
      </c>
      <c r="V234" t="str">
        <f t="shared" si="213"/>
        <v>1-0.0512222878449961i</v>
      </c>
      <c r="W234" s="67">
        <f t="shared" si="226"/>
        <v>1.0013110020228857</v>
      </c>
      <c r="X234" s="67">
        <f t="shared" si="227"/>
        <v>-5.1177560540786982E-2</v>
      </c>
      <c r="Y234" t="str">
        <f t="shared" si="214"/>
        <v>0.999505492040035+0.0791761132355824i</v>
      </c>
      <c r="Z234" s="67">
        <f t="shared" si="228"/>
        <v>1.0026365670198183</v>
      </c>
      <c r="AA234" s="67">
        <f t="shared" si="229"/>
        <v>7.9050213287896062E-2</v>
      </c>
      <c r="AB234" s="92" t="str">
        <f t="shared" si="230"/>
        <v>0.138138622400354-0.398214607113716i</v>
      </c>
      <c r="AC234" s="37">
        <f t="shared" si="231"/>
        <v>-7.5041730351689022</v>
      </c>
      <c r="AD234" s="60">
        <f t="shared" si="232"/>
        <v>-70.868599845663638</v>
      </c>
      <c r="AE234" t="str">
        <f t="shared" si="233"/>
        <v>118.329284003155</v>
      </c>
      <c r="AF234" t="str">
        <f t="shared" si="215"/>
        <v>1+211.010782883416i</v>
      </c>
      <c r="AG234">
        <f t="shared" si="234"/>
        <v>211.01315241726553</v>
      </c>
      <c r="AH234">
        <f t="shared" si="235"/>
        <v>1.5660572679653055</v>
      </c>
      <c r="AI234" t="str">
        <f t="shared" si="216"/>
        <v>1+0.495875339776027i</v>
      </c>
      <c r="AJ234">
        <f t="shared" si="236"/>
        <v>1.1161954813553001</v>
      </c>
      <c r="AK234">
        <f t="shared" si="237"/>
        <v>0.46034243975715966</v>
      </c>
      <c r="AL234" t="str">
        <f t="shared" si="217"/>
        <v>1-0.0345371993082693i</v>
      </c>
      <c r="AM234">
        <f t="shared" si="238"/>
        <v>1.0005962313221348</v>
      </c>
      <c r="AN234">
        <f t="shared" si="239"/>
        <v>-3.4523476928678715E-2</v>
      </c>
      <c r="AO234" s="58" t="str">
        <f t="shared" si="240"/>
        <v>0.261403468593239-0.569138711403143i</v>
      </c>
      <c r="AP234">
        <f t="shared" si="241"/>
        <v>-4.0643633226544722</v>
      </c>
      <c r="AQ234" s="60">
        <f t="shared" si="242"/>
        <v>-65.330842523490205</v>
      </c>
      <c r="AR234" t="str">
        <f t="shared" si="218"/>
        <v>-1.94444444444444</v>
      </c>
      <c r="AS234" t="str">
        <f t="shared" si="219"/>
        <v>1+0.508590092077974i</v>
      </c>
      <c r="AT234">
        <f t="shared" si="243"/>
        <v>1.1219019038043754</v>
      </c>
      <c r="AU234">
        <f t="shared" si="244"/>
        <v>0.47049604375296189</v>
      </c>
      <c r="AV234" t="str">
        <f t="shared" si="220"/>
        <v>1+0.508590092077974i</v>
      </c>
      <c r="AW234">
        <f t="shared" si="245"/>
        <v>1.1219019038043754</v>
      </c>
      <c r="AX234">
        <f t="shared" si="246"/>
        <v>0.47049604375296189</v>
      </c>
      <c r="AY234" t="str">
        <f t="shared" si="221"/>
        <v>1-0.00418344676313883i</v>
      </c>
      <c r="AZ234">
        <f t="shared" si="247"/>
        <v>1.0000087505751236</v>
      </c>
      <c r="BA234">
        <f t="shared" si="248"/>
        <v>-4.1834223582448687E-3</v>
      </c>
      <c r="BB234" s="58" t="str">
        <f t="shared" si="249"/>
        <v>-1.54156114012919+0.792157202019346i</v>
      </c>
      <c r="BC234">
        <f t="shared" si="250"/>
        <v>4.7768890912174209</v>
      </c>
      <c r="BD234" s="60">
        <f t="shared" si="251"/>
        <v>152.80286997030464</v>
      </c>
      <c r="BE234" s="58" t="str">
        <f t="shared" si="252"/>
        <v>0.102499436731069+0.723299668369789i</v>
      </c>
      <c r="BF234" s="37">
        <f t="shared" si="253"/>
        <v>-2.7272839439514778</v>
      </c>
      <c r="BG234" s="60">
        <f t="shared" si="254"/>
        <v>81.934270124641031</v>
      </c>
      <c r="BH234" s="58" t="str">
        <f t="shared" si="255"/>
        <v>0.0478779001076914+1.08443476112126i</v>
      </c>
      <c r="BI234" s="37">
        <f t="shared" si="256"/>
        <v>0.71252576856295313</v>
      </c>
      <c r="BJ234" s="60">
        <f t="shared" si="257"/>
        <v>87.472027446814451</v>
      </c>
      <c r="BK234">
        <f t="shared" si="258"/>
        <v>-2.7272839439514778</v>
      </c>
      <c r="BL234" s="60">
        <f t="shared" si="259"/>
        <v>81.934270124641031</v>
      </c>
      <c r="BN234">
        <f t="shared" si="260"/>
        <v>0</v>
      </c>
      <c r="BO234">
        <f t="shared" si="261"/>
        <v>0</v>
      </c>
    </row>
    <row r="235" spans="13:67" ht="14.25" x14ac:dyDescent="0.2">
      <c r="M235" s="66">
        <v>17</v>
      </c>
      <c r="N235" s="36">
        <f t="shared" si="262"/>
        <v>1479.1083881682086</v>
      </c>
      <c r="O235" s="91" t="str">
        <f t="shared" si="210"/>
        <v>99.7340425531915</v>
      </c>
      <c r="P235" s="67" t="str">
        <f t="shared" si="211"/>
        <v>1+269.907319275344i</v>
      </c>
      <c r="Q235" s="67">
        <f t="shared" si="222"/>
        <v>269.90917175672718</v>
      </c>
      <c r="R235" s="67">
        <f t="shared" si="223"/>
        <v>1.5670913682665097</v>
      </c>
      <c r="S235" s="67" t="str">
        <f t="shared" si="212"/>
        <v>1+0.507425760237646i</v>
      </c>
      <c r="T235" s="67">
        <f t="shared" si="224"/>
        <v>1.1213745592587487</v>
      </c>
      <c r="U235" s="67">
        <f t="shared" si="225"/>
        <v>0.46957055477262005</v>
      </c>
      <c r="V235" t="str">
        <f t="shared" si="213"/>
        <v>1-0.0524154082003722i</v>
      </c>
      <c r="W235" s="67">
        <f t="shared" si="226"/>
        <v>1.0013727452935852</v>
      </c>
      <c r="X235" s="67">
        <f t="shared" si="227"/>
        <v>-5.2367485578123589E-2</v>
      </c>
      <c r="Y235" t="str">
        <f t="shared" si="214"/>
        <v>0.999482186597882+0.0810203618299989i</v>
      </c>
      <c r="Z235" s="67">
        <f t="shared" si="228"/>
        <v>1.0027606595581755</v>
      </c>
      <c r="AA235" s="67">
        <f t="shared" si="229"/>
        <v>8.0885477462002406E-2</v>
      </c>
      <c r="AB235" s="92" t="str">
        <f t="shared" si="230"/>
        <v>0.13800082173096-0.39009482116431i</v>
      </c>
      <c r="AC235" s="37">
        <f t="shared" si="231"/>
        <v>-7.6645008234744392</v>
      </c>
      <c r="AD235" s="60">
        <f t="shared" si="232"/>
        <v>-70.518142930776719</v>
      </c>
      <c r="AE235" t="str">
        <f t="shared" si="233"/>
        <v>118.329284003155</v>
      </c>
      <c r="AF235" t="str">
        <f t="shared" si="215"/>
        <v>1+215.925855420275i</v>
      </c>
      <c r="AG235">
        <f t="shared" si="234"/>
        <v>215.92817101753425</v>
      </c>
      <c r="AH235">
        <f t="shared" si="235"/>
        <v>1.5661651405539156</v>
      </c>
      <c r="AI235" t="str">
        <f t="shared" si="216"/>
        <v>1+0.507425760237646i</v>
      </c>
      <c r="AJ235">
        <f t="shared" si="236"/>
        <v>1.1213745592587487</v>
      </c>
      <c r="AK235">
        <f t="shared" si="237"/>
        <v>0.46957055477262005</v>
      </c>
      <c r="AL235" t="str">
        <f t="shared" si="217"/>
        <v>1-0.0353416740251557i</v>
      </c>
      <c r="AM235">
        <f t="shared" si="238"/>
        <v>1.0006243220724251</v>
      </c>
      <c r="AN235">
        <f t="shared" si="239"/>
        <v>-3.5326970725952304E-2</v>
      </c>
      <c r="AO235" s="58" t="str">
        <f t="shared" si="240"/>
        <v>0.26128412552064-0.556626399974937i</v>
      </c>
      <c r="AP235">
        <f t="shared" si="241"/>
        <v>-4.2239063096402072</v>
      </c>
      <c r="AQ235" s="60">
        <f t="shared" si="242"/>
        <v>-64.854327927744166</v>
      </c>
      <c r="AR235" t="str">
        <f t="shared" si="218"/>
        <v>-1.94444444444444</v>
      </c>
      <c r="AS235" t="str">
        <f t="shared" si="219"/>
        <v>1+0.520436677166815i</v>
      </c>
      <c r="AT235">
        <f t="shared" si="243"/>
        <v>1.1273217530680562</v>
      </c>
      <c r="AU235">
        <f t="shared" si="244"/>
        <v>0.47986296257793332</v>
      </c>
      <c r="AV235" t="str">
        <f t="shared" si="220"/>
        <v>1+0.520436677166815i</v>
      </c>
      <c r="AW235">
        <f t="shared" si="245"/>
        <v>1.1273217530680562</v>
      </c>
      <c r="AX235">
        <f t="shared" si="246"/>
        <v>0.47986296257793332</v>
      </c>
      <c r="AY235" t="str">
        <f t="shared" si="221"/>
        <v>1-0.00408821988882637i</v>
      </c>
      <c r="AZ235">
        <f t="shared" si="247"/>
        <v>1.0000083567360121</v>
      </c>
      <c r="BA235">
        <f t="shared" si="248"/>
        <v>-4.0881971128433553E-3</v>
      </c>
      <c r="BB235" s="58" t="str">
        <f t="shared" si="249"/>
        <v>-1.52677397814922+0.802538492423238i</v>
      </c>
      <c r="BC235">
        <f t="shared" si="250"/>
        <v>4.7350256236886823</v>
      </c>
      <c r="BD235" s="60">
        <f t="shared" si="251"/>
        <v>152.27164105925667</v>
      </c>
      <c r="BE235" s="58" t="str">
        <f t="shared" si="252"/>
        <v>0.102370046097279+0.706337593389575i</v>
      </c>
      <c r="BF235" s="37">
        <f t="shared" si="253"/>
        <v>-2.9294751997857555</v>
      </c>
      <c r="BG235" s="60">
        <f t="shared" si="254"/>
        <v>81.753498128479961</v>
      </c>
      <c r="BH235" s="58" t="str">
        <f t="shared" si="255"/>
        <v>0.0477923081304726+1.05953327122207i</v>
      </c>
      <c r="BI235" s="37">
        <f t="shared" si="256"/>
        <v>0.51111931404845945</v>
      </c>
      <c r="BJ235" s="60">
        <f t="shared" si="257"/>
        <v>87.417313131512515</v>
      </c>
      <c r="BK235">
        <f t="shared" si="258"/>
        <v>-2.9294751997857555</v>
      </c>
      <c r="BL235" s="60">
        <f t="shared" si="259"/>
        <v>81.753498128479961</v>
      </c>
      <c r="BN235">
        <f t="shared" si="260"/>
        <v>0</v>
      </c>
      <c r="BO235">
        <f t="shared" si="261"/>
        <v>0</v>
      </c>
    </row>
    <row r="236" spans="13:67" ht="14.25" x14ac:dyDescent="0.2">
      <c r="M236" s="66">
        <v>18</v>
      </c>
      <c r="N236" s="36">
        <f t="shared" si="262"/>
        <v>1513.5612484362093</v>
      </c>
      <c r="O236" s="91" t="str">
        <f t="shared" si="210"/>
        <v>99.7340425531915</v>
      </c>
      <c r="P236" s="67" t="str">
        <f t="shared" si="211"/>
        <v>1+276.194268379743i</v>
      </c>
      <c r="Q236" s="67">
        <f t="shared" si="222"/>
        <v>276.19607869378143</v>
      </c>
      <c r="R236" s="67">
        <f t="shared" si="223"/>
        <v>1.5671757026732491</v>
      </c>
      <c r="S236" s="67" t="str">
        <f t="shared" si="212"/>
        <v>1+0.519245224553917i</v>
      </c>
      <c r="T236" s="67">
        <f t="shared" si="224"/>
        <v>1.1267722055597784</v>
      </c>
      <c r="U236" s="67">
        <f t="shared" si="225"/>
        <v>0.47892498420523666</v>
      </c>
      <c r="V236" t="str">
        <f t="shared" si="213"/>
        <v>1-0.053636319898976i</v>
      </c>
      <c r="W236" s="67">
        <f t="shared" si="226"/>
        <v>1.0014373943548869</v>
      </c>
      <c r="X236" s="67">
        <f t="shared" si="227"/>
        <v>-5.3584973863926584E-2</v>
      </c>
      <c r="Y236" t="str">
        <f t="shared" si="214"/>
        <v>0.999457782804079+0.082907568492689i</v>
      </c>
      <c r="Z236" s="67">
        <f t="shared" si="228"/>
        <v>1.0028905845210712</v>
      </c>
      <c r="AA236" s="67">
        <f t="shared" si="229"/>
        <v>8.2763059559747082E-2</v>
      </c>
      <c r="AB236" s="92" t="str">
        <f t="shared" si="230"/>
        <v>0.137862501650361-0.382181335737207i</v>
      </c>
      <c r="AC236" s="37">
        <f t="shared" si="231"/>
        <v>-7.8233541962204658</v>
      </c>
      <c r="AD236" s="60">
        <f t="shared" si="232"/>
        <v>-70.164340080381876</v>
      </c>
      <c r="AE236" t="str">
        <f t="shared" si="233"/>
        <v>118.329284003155</v>
      </c>
      <c r="AF236" t="str">
        <f t="shared" si="215"/>
        <v>1+220.955414703795i</v>
      </c>
      <c r="AG236">
        <f t="shared" si="234"/>
        <v>220.95767759217156</v>
      </c>
      <c r="AH236">
        <f t="shared" si="235"/>
        <v>1.5662705577667748</v>
      </c>
      <c r="AI236" t="str">
        <f t="shared" si="216"/>
        <v>1+0.519245224553917i</v>
      </c>
      <c r="AJ236">
        <f t="shared" si="236"/>
        <v>1.1267722055597784</v>
      </c>
      <c r="AK236">
        <f t="shared" si="237"/>
        <v>0.47892498420523666</v>
      </c>
      <c r="AL236" t="str">
        <f t="shared" si="217"/>
        <v>1-0.0361648873654125i</v>
      </c>
      <c r="AM236">
        <f t="shared" si="238"/>
        <v>1.0006537358537932</v>
      </c>
      <c r="AN236">
        <f t="shared" si="239"/>
        <v>-3.6149133052314486E-2</v>
      </c>
      <c r="AO236" s="58" t="str">
        <f t="shared" si="240"/>
        <v>0.261170153545893-0.544409169468098i</v>
      </c>
      <c r="AP236">
        <f t="shared" si="241"/>
        <v>-4.3819382640878448</v>
      </c>
      <c r="AQ236" s="60">
        <f t="shared" si="242"/>
        <v>-64.371504994262366</v>
      </c>
      <c r="AR236" t="str">
        <f t="shared" si="218"/>
        <v>-1.94444444444444</v>
      </c>
      <c r="AS236" t="str">
        <f t="shared" si="219"/>
        <v>1+0.532559204670683i</v>
      </c>
      <c r="AT236">
        <f t="shared" si="243"/>
        <v>1.1329692433951906</v>
      </c>
      <c r="AU236">
        <f t="shared" si="244"/>
        <v>0.48935443721000588</v>
      </c>
      <c r="AV236" t="str">
        <f t="shared" si="220"/>
        <v>1+0.532559204670683i</v>
      </c>
      <c r="AW236">
        <f t="shared" si="245"/>
        <v>1.1329692433951906</v>
      </c>
      <c r="AX236">
        <f t="shared" si="246"/>
        <v>0.48935443721000588</v>
      </c>
      <c r="AY236" t="str">
        <f t="shared" si="221"/>
        <v>1-0.00399516064281296i</v>
      </c>
      <c r="AZ236">
        <f t="shared" si="247"/>
        <v>1.0000079806224358</v>
      </c>
      <c r="BA236">
        <f t="shared" si="248"/>
        <v>-3.9951393870192638E-3</v>
      </c>
      <c r="BB236" s="58" t="str">
        <f t="shared" si="249"/>
        <v>-1.51159095131313+0.8127800427353i</v>
      </c>
      <c r="BC236">
        <f t="shared" si="250"/>
        <v>4.6916176979932525</v>
      </c>
      <c r="BD236" s="60">
        <f t="shared" si="251"/>
        <v>151.73315143642438</v>
      </c>
      <c r="BE236" s="58" t="str">
        <f t="shared" si="252"/>
        <v>0.102237652373044+0.689753738844103i</v>
      </c>
      <c r="BF236" s="37">
        <f t="shared" si="253"/>
        <v>-3.1317364982272187</v>
      </c>
      <c r="BG236" s="60">
        <f t="shared" si="254"/>
        <v>81.568811356042531</v>
      </c>
      <c r="BH236" s="58" t="str">
        <f t="shared" si="255"/>
        <v>0.0477024671727372+1.03519786294009i</v>
      </c>
      <c r="BI236" s="37">
        <f t="shared" si="256"/>
        <v>0.30967943390541364</v>
      </c>
      <c r="BJ236" s="60">
        <f t="shared" si="257"/>
        <v>87.361646442162041</v>
      </c>
      <c r="BK236">
        <f t="shared" si="258"/>
        <v>-3.1317364982272187</v>
      </c>
      <c r="BL236" s="60">
        <f t="shared" si="259"/>
        <v>81.568811356042531</v>
      </c>
      <c r="BN236">
        <f t="shared" si="260"/>
        <v>0</v>
      </c>
      <c r="BO236">
        <f t="shared" si="261"/>
        <v>0</v>
      </c>
    </row>
    <row r="237" spans="13:67" ht="14.25" x14ac:dyDescent="0.2">
      <c r="M237" s="66">
        <v>19</v>
      </c>
      <c r="N237" s="36">
        <f t="shared" si="262"/>
        <v>1548.8166189124822</v>
      </c>
      <c r="O237" s="91" t="str">
        <f t="shared" si="210"/>
        <v>99.7340425531915</v>
      </c>
      <c r="P237" s="67" t="str">
        <f t="shared" si="211"/>
        <v>1+282.627659341101i</v>
      </c>
      <c r="Q237" s="67">
        <f t="shared" si="222"/>
        <v>282.62942844762193</v>
      </c>
      <c r="R237" s="67">
        <f t="shared" si="223"/>
        <v>1.5672581174442877</v>
      </c>
      <c r="S237" s="67" t="str">
        <f t="shared" si="212"/>
        <v>1+0.53133999956127i</v>
      </c>
      <c r="T237" s="67">
        <f t="shared" si="224"/>
        <v>1.1323966598033439</v>
      </c>
      <c r="U237" s="67">
        <f t="shared" si="225"/>
        <v>0.48840413850060094</v>
      </c>
      <c r="V237" t="str">
        <f t="shared" si="213"/>
        <v>1-0.0548856702843509i</v>
      </c>
      <c r="W237" s="67">
        <f t="shared" si="226"/>
        <v>1.0015050857597092</v>
      </c>
      <c r="X237" s="67">
        <f t="shared" si="227"/>
        <v>-5.4830656481167306E-2</v>
      </c>
      <c r="Y237" t="str">
        <f t="shared" si="214"/>
        <v>0.999432228894907+0.0848387338456053i</v>
      </c>
      <c r="Z237" s="67">
        <f t="shared" si="228"/>
        <v>1.003026615257226</v>
      </c>
      <c r="AA237" s="67">
        <f t="shared" si="229"/>
        <v>8.4683914713648639E-2</v>
      </c>
      <c r="AB237" s="92" t="str">
        <f t="shared" si="230"/>
        <v>0.13772337422435-0.374469920278131i</v>
      </c>
      <c r="AC237" s="37">
        <f t="shared" si="231"/>
        <v>-7.9806935181235019</v>
      </c>
      <c r="AD237" s="60">
        <f t="shared" si="232"/>
        <v>-69.807375814409298</v>
      </c>
      <c r="AE237" t="str">
        <f t="shared" si="233"/>
        <v>118.329284003155</v>
      </c>
      <c r="AF237" t="str">
        <f t="shared" si="215"/>
        <v>1+226.102127472881i</v>
      </c>
      <c r="AG237">
        <f t="shared" si="234"/>
        <v>226.10433885213908</v>
      </c>
      <c r="AH237">
        <f t="shared" si="235"/>
        <v>1.5663735754881076</v>
      </c>
      <c r="AI237" t="str">
        <f t="shared" si="216"/>
        <v>1+0.53133999956127i</v>
      </c>
      <c r="AJ237">
        <f t="shared" si="236"/>
        <v>1.1323966598033439</v>
      </c>
      <c r="AK237">
        <f t="shared" si="237"/>
        <v>0.48840413850060094</v>
      </c>
      <c r="AL237" t="str">
        <f t="shared" si="217"/>
        <v>1-0.0370072758076494i</v>
      </c>
      <c r="AM237">
        <f t="shared" si="238"/>
        <v>1.0006845349373115</v>
      </c>
      <c r="AN237">
        <f t="shared" si="239"/>
        <v>-3.6990395380643457E-2</v>
      </c>
      <c r="AO237" s="58" t="str">
        <f t="shared" si="240"/>
        <v>0.261061310949592-0.53248054546668i</v>
      </c>
      <c r="AP237">
        <f t="shared" si="241"/>
        <v>-4.5384178399241755</v>
      </c>
      <c r="AQ237" s="60">
        <f t="shared" si="242"/>
        <v>-63.882492721308786</v>
      </c>
      <c r="AR237" t="str">
        <f t="shared" si="218"/>
        <v>-1.94444444444444</v>
      </c>
      <c r="AS237" t="str">
        <f t="shared" si="219"/>
        <v>1+0.544964102114121i</v>
      </c>
      <c r="AT237">
        <f t="shared" si="243"/>
        <v>1.1388528757451728</v>
      </c>
      <c r="AU237">
        <f t="shared" si="244"/>
        <v>0.49896865875668273</v>
      </c>
      <c r="AV237" t="str">
        <f t="shared" si="220"/>
        <v>1+0.544964102114121i</v>
      </c>
      <c r="AW237">
        <f t="shared" si="245"/>
        <v>1.1388528757451728</v>
      </c>
      <c r="AX237">
        <f t="shared" si="246"/>
        <v>0.49896865875668273</v>
      </c>
      <c r="AY237" t="str">
        <f t="shared" si="221"/>
        <v>1-0.00390421968385457i</v>
      </c>
      <c r="AZ237">
        <f t="shared" si="247"/>
        <v>1.0000076214366267</v>
      </c>
      <c r="BA237">
        <f t="shared" si="248"/>
        <v>-3.9041998467851361E-3</v>
      </c>
      <c r="BB237" s="58" t="str">
        <f t="shared" si="249"/>
        <v>-1.4960126934351+0.822864752503346i</v>
      </c>
      <c r="BC237">
        <f t="shared" si="250"/>
        <v>4.6466245280334864</v>
      </c>
      <c r="BD237" s="60">
        <f t="shared" si="251"/>
        <v>151.18750757034235</v>
      </c>
      <c r="BE237" s="58" t="str">
        <f t="shared" si="252"/>
        <v>0.102102182247272+0.673539464290759i</v>
      </c>
      <c r="BF237" s="37">
        <f t="shared" si="253"/>
        <v>-3.3340689900900204</v>
      </c>
      <c r="BG237" s="60">
        <f t="shared" si="254"/>
        <v>81.38013175593305</v>
      </c>
      <c r="BH237" s="58" t="str">
        <f t="shared" si="255"/>
        <v>0.0476084373128891+1.01141580604813i</v>
      </c>
      <c r="BI237" s="37">
        <f t="shared" si="256"/>
        <v>0.10820668810927611</v>
      </c>
      <c r="BJ237" s="60">
        <f t="shared" si="257"/>
        <v>87.305014849033554</v>
      </c>
      <c r="BK237">
        <f t="shared" si="258"/>
        <v>-3.3340689900900204</v>
      </c>
      <c r="BL237" s="60">
        <f t="shared" si="259"/>
        <v>81.38013175593305</v>
      </c>
      <c r="BN237">
        <f t="shared" si="260"/>
        <v>0</v>
      </c>
      <c r="BO237">
        <f t="shared" si="261"/>
        <v>0</v>
      </c>
    </row>
    <row r="238" spans="13:67" ht="14.25" x14ac:dyDescent="0.2">
      <c r="M238" s="66">
        <v>20</v>
      </c>
      <c r="N238" s="36">
        <f t="shared" si="262"/>
        <v>1584.8931924611156</v>
      </c>
      <c r="O238" s="91" t="str">
        <f t="shared" si="210"/>
        <v>99.7340425531915</v>
      </c>
      <c r="P238" s="67" t="str">
        <f t="shared" si="211"/>
        <v>1+289.210903228461i</v>
      </c>
      <c r="Q238" s="67">
        <f t="shared" si="222"/>
        <v>289.21263206544461</v>
      </c>
      <c r="R238" s="67">
        <f t="shared" si="223"/>
        <v>1.5673386562725475</v>
      </c>
      <c r="S238" s="67" t="str">
        <f t="shared" si="212"/>
        <v>1+0.543716498069507i</v>
      </c>
      <c r="T238" s="67">
        <f t="shared" si="224"/>
        <v>1.1382563991794503</v>
      </c>
      <c r="U238" s="67">
        <f t="shared" si="225"/>
        <v>0.49800622883255635</v>
      </c>
      <c r="V238" t="str">
        <f t="shared" si="213"/>
        <v>1-0.0561641217786084i</v>
      </c>
      <c r="W238" s="67">
        <f t="shared" si="226"/>
        <v>1.0015759624587455</v>
      </c>
      <c r="X238" s="67">
        <f t="shared" si="227"/>
        <v>-5.6105178434837512E-2</v>
      </c>
      <c r="Y238" t="str">
        <f t="shared" si="214"/>
        <v>0.999405470667098+0.08681488181818i</v>
      </c>
      <c r="Z238" s="67">
        <f t="shared" si="228"/>
        <v>1.0031690378517613</v>
      </c>
      <c r="AA238" s="67">
        <f t="shared" si="229"/>
        <v>8.664901814587414E-2</v>
      </c>
      <c r="AB238" s="92" t="str">
        <f t="shared" si="230"/>
        <v>0.137583150324895-0.366956448742584i</v>
      </c>
      <c r="AC238" s="37">
        <f t="shared" si="231"/>
        <v>-8.1364792197489244</v>
      </c>
      <c r="AD238" s="60">
        <f t="shared" si="232"/>
        <v>-69.447447960646556</v>
      </c>
      <c r="AE238" t="str">
        <f t="shared" si="233"/>
        <v>118.329284003155</v>
      </c>
      <c r="AF238" t="str">
        <f t="shared" si="215"/>
        <v>1+231.368722582769i</v>
      </c>
      <c r="AG238">
        <f t="shared" si="234"/>
        <v>231.37088362536525</v>
      </c>
      <c r="AH238">
        <f t="shared" si="235"/>
        <v>1.5664742483305221</v>
      </c>
      <c r="AI238" t="str">
        <f t="shared" si="216"/>
        <v>1+0.543716498069507i</v>
      </c>
      <c r="AJ238">
        <f t="shared" si="236"/>
        <v>1.1382563991794503</v>
      </c>
      <c r="AK238">
        <f t="shared" si="237"/>
        <v>0.49800622883255635</v>
      </c>
      <c r="AL238" t="str">
        <f t="shared" si="217"/>
        <v>1-0.0378692859973688i</v>
      </c>
      <c r="AM238">
        <f t="shared" si="238"/>
        <v>1.0007167845209506</v>
      </c>
      <c r="AN238">
        <f t="shared" si="239"/>
        <v>-3.7851198993600697E-2</v>
      </c>
      <c r="AO238" s="58" t="str">
        <f t="shared" si="240"/>
        <v>0.260957366889749-0.520834206356044i</v>
      </c>
      <c r="AP238">
        <f t="shared" si="241"/>
        <v>-4.6933036786436384</v>
      </c>
      <c r="AQ238" s="60">
        <f t="shared" si="242"/>
        <v>-63.387422013778405</v>
      </c>
      <c r="AR238" t="str">
        <f t="shared" si="218"/>
        <v>-1.94444444444444</v>
      </c>
      <c r="AS238" t="str">
        <f t="shared" si="219"/>
        <v>1+0.557657946737954i</v>
      </c>
      <c r="AT238">
        <f t="shared" si="243"/>
        <v>1.14498139092301</v>
      </c>
      <c r="AU238">
        <f t="shared" si="244"/>
        <v>0.50870361461777014</v>
      </c>
      <c r="AV238" t="str">
        <f t="shared" si="220"/>
        <v>1+0.557657946737954i</v>
      </c>
      <c r="AW238">
        <f t="shared" si="245"/>
        <v>1.14498139092301</v>
      </c>
      <c r="AX238">
        <f t="shared" si="246"/>
        <v>0.50870361461777014</v>
      </c>
      <c r="AY238" t="str">
        <f t="shared" si="221"/>
        <v>1-0.00381534879385101i</v>
      </c>
      <c r="AZ238">
        <f t="shared" si="247"/>
        <v>1.0000072784167218</v>
      </c>
      <c r="BA238">
        <f t="shared" si="248"/>
        <v>-3.8153302808130252E-3</v>
      </c>
      <c r="BB238" s="58" t="str">
        <f t="shared" si="249"/>
        <v>-1.48004073126916+0.832775209053921i</v>
      </c>
      <c r="BC238">
        <f t="shared" si="250"/>
        <v>4.6000054390146872</v>
      </c>
      <c r="BD238" s="60">
        <f t="shared" si="251"/>
        <v>150.63482753681319</v>
      </c>
      <c r="BE238" s="58" t="str">
        <f t="shared" si="252"/>
        <v>0.101963566898118+0.657686327515019i</v>
      </c>
      <c r="BF238" s="37">
        <f t="shared" si="253"/>
        <v>-3.5364737807342421</v>
      </c>
      <c r="BG238" s="60">
        <f t="shared" si="254"/>
        <v>81.187379576166578</v>
      </c>
      <c r="BH238" s="58" t="str">
        <f t="shared" si="255"/>
        <v>0.047510282959009+0.988174665410964i</v>
      </c>
      <c r="BI238" s="37">
        <f t="shared" si="256"/>
        <v>-9.3298239628945165E-2</v>
      </c>
      <c r="BJ238" s="60">
        <f t="shared" si="257"/>
        <v>87.2474055230348</v>
      </c>
      <c r="BK238">
        <f t="shared" si="258"/>
        <v>-3.5364737807342421</v>
      </c>
      <c r="BL238" s="60">
        <f t="shared" si="259"/>
        <v>81.187379576166578</v>
      </c>
      <c r="BN238">
        <f t="shared" si="260"/>
        <v>0</v>
      </c>
      <c r="BO238">
        <f t="shared" si="261"/>
        <v>0</v>
      </c>
    </row>
    <row r="239" spans="13:67" ht="14.25" x14ac:dyDescent="0.2">
      <c r="M239" s="66">
        <v>21</v>
      </c>
      <c r="N239" s="36">
        <f t="shared" si="262"/>
        <v>1621.8100973589308</v>
      </c>
      <c r="O239" s="91" t="str">
        <f t="shared" si="210"/>
        <v>99.7340425531915</v>
      </c>
      <c r="P239" s="67" t="str">
        <f t="shared" si="211"/>
        <v>1+295.947490564871i</v>
      </c>
      <c r="Q239" s="67">
        <f t="shared" si="222"/>
        <v>295.9491800489476</v>
      </c>
      <c r="R239" s="67">
        <f t="shared" si="223"/>
        <v>1.5674173618565994</v>
      </c>
      <c r="S239" s="67" t="str">
        <f t="shared" si="212"/>
        <v>1+0.556381282261957i</v>
      </c>
      <c r="T239" s="67">
        <f t="shared" si="224"/>
        <v>1.1443601405376977</v>
      </c>
      <c r="U239" s="67">
        <f t="shared" si="225"/>
        <v>0.5077292630414566</v>
      </c>
      <c r="V239" t="str">
        <f t="shared" si="213"/>
        <v>1-0.0574723522336526i</v>
      </c>
      <c r="W239" s="67">
        <f t="shared" si="226"/>
        <v>1.001650174098357</v>
      </c>
      <c r="X239" s="67">
        <f t="shared" si="227"/>
        <v>-5.7409198921235173E-2</v>
      </c>
      <c r="Y239" t="str">
        <f t="shared" si="214"/>
        <v>0.999377451362865+0.0888370601902251i</v>
      </c>
      <c r="Z239" s="67">
        <f t="shared" si="228"/>
        <v>1.0033181517124952</v>
      </c>
      <c r="AA239" s="67">
        <f t="shared" si="229"/>
        <v>8.8659365485296585E-2</v>
      </c>
      <c r="AB239" s="92" t="str">
        <f t="shared" si="230"/>
        <v>0.137441539066151-0.359636897239397i</v>
      </c>
      <c r="AC239" s="37">
        <f t="shared" si="231"/>
        <v>-8.2906718892162239</v>
      </c>
      <c r="AD239" s="60">
        <f t="shared" si="232"/>
        <v>-69.084767922378902</v>
      </c>
      <c r="AE239" t="str">
        <f t="shared" si="233"/>
        <v>118.329284003155</v>
      </c>
      <c r="AF239" t="str">
        <f t="shared" si="215"/>
        <v>1+236.757992451896i</v>
      </c>
      <c r="AG239">
        <f t="shared" si="234"/>
        <v>236.760104303601</v>
      </c>
      <c r="AH239">
        <f t="shared" si="235"/>
        <v>1.5665726296639246</v>
      </c>
      <c r="AI239" t="str">
        <f t="shared" si="216"/>
        <v>1+0.556381282261957i</v>
      </c>
      <c r="AJ239">
        <f t="shared" si="236"/>
        <v>1.1443601405376977</v>
      </c>
      <c r="AK239">
        <f t="shared" si="237"/>
        <v>0.5077292630414566</v>
      </c>
      <c r="AL239" t="str">
        <f t="shared" si="217"/>
        <v>1-0.038751374983783i</v>
      </c>
      <c r="AM239">
        <f t="shared" si="238"/>
        <v>1.000750552866764</v>
      </c>
      <c r="AN239">
        <f t="shared" si="239"/>
        <v>-3.873199519501714E-2</v>
      </c>
      <c r="AO239" s="58" t="str">
        <f t="shared" si="240"/>
        <v>0.260858100912391-0.50946397998587i</v>
      </c>
      <c r="AP239">
        <f t="shared" si="241"/>
        <v>-4.8465544975050943</v>
      </c>
      <c r="AQ239" s="60">
        <f t="shared" si="242"/>
        <v>-62.886435929686193</v>
      </c>
      <c r="AR239" t="str">
        <f t="shared" si="218"/>
        <v>-1.94444444444444</v>
      </c>
      <c r="AS239" t="str">
        <f t="shared" si="219"/>
        <v>1+0.57064746898662i</v>
      </c>
      <c r="AT239">
        <f t="shared" si="243"/>
        <v>1.1513637712994254</v>
      </c>
      <c r="AU239">
        <f t="shared" si="244"/>
        <v>0.51855708504945841</v>
      </c>
      <c r="AV239" t="str">
        <f t="shared" si="220"/>
        <v>1+0.57064746898662i</v>
      </c>
      <c r="AW239">
        <f t="shared" si="245"/>
        <v>1.1513637712994254</v>
      </c>
      <c r="AX239">
        <f t="shared" si="246"/>
        <v>0.51855708504945841</v>
      </c>
      <c r="AY239" t="str">
        <f t="shared" si="221"/>
        <v>1-0.00372850085228008i</v>
      </c>
      <c r="AZ239">
        <f t="shared" si="247"/>
        <v>1.0000069508351457</v>
      </c>
      <c r="BA239">
        <f t="shared" si="248"/>
        <v>-3.7284835749009679E-3</v>
      </c>
      <c r="BB239" s="58" t="str">
        <f t="shared" si="249"/>
        <v>-1.46367752524074+0.842493737959553i</v>
      </c>
      <c r="BC239">
        <f t="shared" si="250"/>
        <v>4.5517199615938511</v>
      </c>
      <c r="BD239" s="60">
        <f t="shared" si="251"/>
        <v>150.07524121723381</v>
      </c>
      <c r="BE239" s="58" t="str">
        <f t="shared" si="252"/>
        <v>0.101821742097773+0.642186079735374i</v>
      </c>
      <c r="BF239" s="37">
        <f t="shared" si="253"/>
        <v>-3.7389519276223804</v>
      </c>
      <c r="BG239" s="60">
        <f t="shared" si="254"/>
        <v>80.990473294854894</v>
      </c>
      <c r="BH239" s="58" t="str">
        <f t="shared" si="255"/>
        <v>0.0474080732715988+0.965462293939727i</v>
      </c>
      <c r="BI239" s="37">
        <f t="shared" si="256"/>
        <v>-0.29483453591124303</v>
      </c>
      <c r="BJ239" s="60">
        <f t="shared" si="257"/>
        <v>87.188805287547623</v>
      </c>
      <c r="BK239">
        <f t="shared" si="258"/>
        <v>-3.7389519276223804</v>
      </c>
      <c r="BL239" s="60">
        <f t="shared" si="259"/>
        <v>80.990473294854894</v>
      </c>
      <c r="BN239">
        <f t="shared" si="260"/>
        <v>0</v>
      </c>
      <c r="BO239">
        <f t="shared" si="261"/>
        <v>0</v>
      </c>
    </row>
    <row r="240" spans="13:67" ht="14.25" x14ac:dyDescent="0.2">
      <c r="M240" s="66">
        <v>22</v>
      </c>
      <c r="N240" s="36">
        <f t="shared" si="262"/>
        <v>1659.5869074375626</v>
      </c>
      <c r="O240" s="91" t="str">
        <f t="shared" si="210"/>
        <v>99.7340425531915</v>
      </c>
      <c r="P240" s="67" t="str">
        <f t="shared" si="211"/>
        <v>1+302.840993178108i</v>
      </c>
      <c r="Q240" s="67">
        <f t="shared" si="222"/>
        <v>302.842644205044</v>
      </c>
      <c r="R240" s="67">
        <f t="shared" si="223"/>
        <v>1.5674942759232833</v>
      </c>
      <c r="S240" s="67" t="str">
        <f t="shared" si="212"/>
        <v>1+0.569341067174842i</v>
      </c>
      <c r="T240" s="67">
        <f t="shared" si="224"/>
        <v>1.1507168421344096</v>
      </c>
      <c r="U240" s="67">
        <f t="shared" si="225"/>
        <v>0.51757104213885952</v>
      </c>
      <c r="V240" t="str">
        <f t="shared" si="213"/>
        <v>1-0.0588110552905881i</v>
      </c>
      <c r="W240" s="67">
        <f t="shared" si="226"/>
        <v>1.0017278773321587</v>
      </c>
      <c r="X240" s="67">
        <f t="shared" si="227"/>
        <v>-5.8743391599667537E-2</v>
      </c>
      <c r="Y240" t="str">
        <f t="shared" si="214"/>
        <v>0.999348111549506+0.0909063411474812i</v>
      </c>
      <c r="Z240" s="67">
        <f t="shared" si="228"/>
        <v>1.0034742701825425</v>
      </c>
      <c r="AA240" s="67">
        <f t="shared" si="229"/>
        <v>9.0715973081566675E-2</v>
      </c>
      <c r="AB240" s="92" t="str">
        <f t="shared" si="230"/>
        <v>0.137298247241342-0.352507341716278i</v>
      </c>
      <c r="AC240" s="37">
        <f t="shared" si="231"/>
        <v>-8.4432323683459725</v>
      </c>
      <c r="AD240" s="60">
        <f t="shared" si="232"/>
        <v>-68.719560913516119</v>
      </c>
      <c r="AE240" t="str">
        <f t="shared" si="233"/>
        <v>118.329284003155</v>
      </c>
      <c r="AF240" t="str">
        <f t="shared" si="215"/>
        <v>1+242.272794542486i</v>
      </c>
      <c r="AG240">
        <f t="shared" si="234"/>
        <v>242.27485832299158</v>
      </c>
      <c r="AH240">
        <f t="shared" si="235"/>
        <v>1.5666687716437782</v>
      </c>
      <c r="AI240" t="str">
        <f t="shared" si="216"/>
        <v>1+0.569341067174842i</v>
      </c>
      <c r="AJ240">
        <f t="shared" si="236"/>
        <v>1.1507168421344096</v>
      </c>
      <c r="AK240">
        <f t="shared" si="237"/>
        <v>0.51757104213885952</v>
      </c>
      <c r="AL240" t="str">
        <f t="shared" si="217"/>
        <v>1-0.039654010462149i</v>
      </c>
      <c r="AM240">
        <f t="shared" si="238"/>
        <v>1.0007859114444668</v>
      </c>
      <c r="AN240">
        <f t="shared" si="239"/>
        <v>-3.9633245524991464E-2</v>
      </c>
      <c r="AO240" s="58" t="str">
        <f t="shared" si="240"/>
        <v>0.260763302484151-0.498363840411381i</v>
      </c>
      <c r="AP240">
        <f t="shared" si="241"/>
        <v>-4.9981291820256661</v>
      </c>
      <c r="AQ240" s="60">
        <f t="shared" si="242"/>
        <v>-62.379689894376931</v>
      </c>
      <c r="AR240" t="str">
        <f t="shared" si="218"/>
        <v>-1.94444444444444</v>
      </c>
      <c r="AS240" t="str">
        <f t="shared" si="219"/>
        <v>1+0.583939556076759i</v>
      </c>
      <c r="AT240">
        <f t="shared" si="243"/>
        <v>1.1580092422563484</v>
      </c>
      <c r="AU240">
        <f t="shared" si="244"/>
        <v>0.52852664035519181</v>
      </c>
      <c r="AV240" t="str">
        <f t="shared" si="220"/>
        <v>1+0.583939556076759i</v>
      </c>
      <c r="AW240">
        <f t="shared" si="245"/>
        <v>1.1580092422563484</v>
      </c>
      <c r="AX240">
        <f t="shared" si="246"/>
        <v>0.52852664035519181</v>
      </c>
      <c r="AY240" t="str">
        <f t="shared" si="221"/>
        <v>1-0.00364362981121354i</v>
      </c>
      <c r="AZ240">
        <f t="shared" si="247"/>
        <v>1.0000066379970691</v>
      </c>
      <c r="BA240">
        <f t="shared" si="248"/>
        <v>-3.6436136870191243E-3</v>
      </c>
      <c r="BB240" s="58" t="str">
        <f t="shared" si="249"/>
        <v>-1.44692650729225+0.852002458087958i</v>
      </c>
      <c r="BC240">
        <f t="shared" si="250"/>
        <v>4.5017279300832502</v>
      </c>
      <c r="BD240" s="60">
        <f t="shared" si="251"/>
        <v>149.50889046097646</v>
      </c>
      <c r="BE240" s="58" t="str">
        <f t="shared" si="252"/>
        <v>0.101676648298058+0.627030660885201i</v>
      </c>
      <c r="BF240" s="37">
        <f t="shared" si="253"/>
        <v>-3.941504438262728</v>
      </c>
      <c r="BG240" s="60">
        <f t="shared" si="254"/>
        <v>80.789329547460341</v>
      </c>
      <c r="BH240" s="58" t="str">
        <f t="shared" si="255"/>
        <v>0.0473018825592663+0.943266825662822i</v>
      </c>
      <c r="BI240" s="37">
        <f t="shared" si="256"/>
        <v>-0.49640125194241663</v>
      </c>
      <c r="BJ240" s="60">
        <f t="shared" si="257"/>
        <v>87.12920056659955</v>
      </c>
      <c r="BK240">
        <f t="shared" si="258"/>
        <v>-3.941504438262728</v>
      </c>
      <c r="BL240" s="60">
        <f t="shared" si="259"/>
        <v>80.789329547460341</v>
      </c>
      <c r="BN240">
        <f t="shared" si="260"/>
        <v>0</v>
      </c>
      <c r="BO240">
        <f t="shared" si="261"/>
        <v>0</v>
      </c>
    </row>
    <row r="241" spans="13:67" ht="14.25" x14ac:dyDescent="0.2">
      <c r="M241" s="66">
        <v>23</v>
      </c>
      <c r="N241" s="36">
        <f t="shared" si="262"/>
        <v>1698.2436524617447</v>
      </c>
      <c r="O241" s="91" t="str">
        <f t="shared" si="210"/>
        <v>99.7340425531915</v>
      </c>
      <c r="P241" s="67" t="str">
        <f t="shared" si="211"/>
        <v>1+309.8950660945i</v>
      </c>
      <c r="Q241" s="67">
        <f t="shared" si="222"/>
        <v>309.89667953967262</v>
      </c>
      <c r="R241" s="67">
        <f t="shared" si="223"/>
        <v>1.5675694392498132</v>
      </c>
      <c r="S241" s="67" t="str">
        <f t="shared" si="212"/>
        <v>1+0.58260272425766i</v>
      </c>
      <c r="T241" s="67">
        <f t="shared" si="224"/>
        <v>1.1573357051056739</v>
      </c>
      <c r="U241" s="67">
        <f t="shared" si="225"/>
        <v>0.52752915743355422</v>
      </c>
      <c r="V241" t="str">
        <f t="shared" si="213"/>
        <v>1-0.0601809407474945i</v>
      </c>
      <c r="W241" s="67">
        <f t="shared" si="226"/>
        <v>1.0018092361469091</v>
      </c>
      <c r="X241" s="67">
        <f t="shared" si="227"/>
        <v>-6.0108444866353729E-2</v>
      </c>
      <c r="Y241" t="str">
        <f t="shared" si="214"/>
        <v>0.999317388993343+0.0930238218501008i</v>
      </c>
      <c r="Z241" s="67">
        <f t="shared" si="228"/>
        <v>1.0036377211803429</v>
      </c>
      <c r="AA241" s="67">
        <f t="shared" si="229"/>
        <v>9.2819878315425999E-2</v>
      </c>
      <c r="AB241" s="92" t="str">
        <f t="shared" si="230"/>
        <v>0.137152978759761-0.345563955685306i</v>
      </c>
      <c r="AC241" s="37">
        <f t="shared" si="231"/>
        <v>-8.5941218529866568</v>
      </c>
      <c r="AD241" s="60">
        <f t="shared" si="232"/>
        <v>-68.352066157996973</v>
      </c>
      <c r="AE241" t="str">
        <f t="shared" si="233"/>
        <v>118.329284003155</v>
      </c>
      <c r="AF241" t="str">
        <f t="shared" si="215"/>
        <v>1+247.9160528756i</v>
      </c>
      <c r="AG241">
        <f t="shared" si="234"/>
        <v>247.91806967911251</v>
      </c>
      <c r="AH241">
        <f t="shared" si="235"/>
        <v>1.5667627252387195</v>
      </c>
      <c r="AI241" t="str">
        <f t="shared" si="216"/>
        <v>1+0.58260272425766i</v>
      </c>
      <c r="AJ241">
        <f t="shared" si="236"/>
        <v>1.1573357051056739</v>
      </c>
      <c r="AK241">
        <f t="shared" si="237"/>
        <v>0.52752915743355422</v>
      </c>
      <c r="AL241" t="str">
        <f t="shared" si="217"/>
        <v>1-0.0405776710217447i</v>
      </c>
      <c r="AM241">
        <f t="shared" si="238"/>
        <v>1.0008229350817002</v>
      </c>
      <c r="AN241">
        <f t="shared" si="239"/>
        <v>-4.0555421978696653E-2</v>
      </c>
      <c r="AO241" s="58" t="str">
        <f t="shared" si="240"/>
        <v>0.26067277054591-0.487527904711223i</v>
      </c>
      <c r="AP241">
        <f t="shared" si="241"/>
        <v>-5.147986882501101</v>
      </c>
      <c r="AQ241" s="60">
        <f t="shared" si="242"/>
        <v>-61.867351879310078</v>
      </c>
      <c r="AR241" t="str">
        <f t="shared" si="218"/>
        <v>-1.94444444444444</v>
      </c>
      <c r="AS241" t="str">
        <f t="shared" si="219"/>
        <v>1+0.59754125564888i</v>
      </c>
      <c r="AT241">
        <f t="shared" si="243"/>
        <v>1.1649272733533369</v>
      </c>
      <c r="AU241">
        <f t="shared" si="244"/>
        <v>0.53860963875693468</v>
      </c>
      <c r="AV241" t="str">
        <f t="shared" si="220"/>
        <v>1+0.59754125564888i</v>
      </c>
      <c r="AW241">
        <f t="shared" si="245"/>
        <v>1.1649272733533369</v>
      </c>
      <c r="AX241">
        <f t="shared" si="246"/>
        <v>0.53860963875693468</v>
      </c>
      <c r="AY241" t="str">
        <f t="shared" si="221"/>
        <v>1-0.00356069067090208i</v>
      </c>
      <c r="AZ241">
        <f t="shared" si="247"/>
        <v>1.000006339238934</v>
      </c>
      <c r="BA241">
        <f t="shared" si="248"/>
        <v>-3.5606756229228996E-3</v>
      </c>
      <c r="BB241" s="58" t="str">
        <f t="shared" si="249"/>
        <v>-1.42979211533099+0.861283341105171i</v>
      </c>
      <c r="BC241">
        <f t="shared" si="250"/>
        <v>4.4499895843849133</v>
      </c>
      <c r="BD241" s="60">
        <f t="shared" si="251"/>
        <v>148.93592920875309</v>
      </c>
      <c r="BE241" s="58" t="str">
        <f t="shared" si="252"/>
        <v>0.101528230693295+0.612212194970172i</v>
      </c>
      <c r="BF241" s="37">
        <f t="shared" si="253"/>
        <v>-4.1441322686017381</v>
      </c>
      <c r="BG241" s="60">
        <f t="shared" si="254"/>
        <v>80.583863050756094</v>
      </c>
      <c r="BH241" s="58" t="str">
        <f t="shared" si="255"/>
        <v>0.0471917906436592+0.921576668910868i</v>
      </c>
      <c r="BI241" s="37">
        <f t="shared" si="256"/>
        <v>-0.69799729811618683</v>
      </c>
      <c r="BJ241" s="60">
        <f t="shared" si="257"/>
        <v>87.068577329443016</v>
      </c>
      <c r="BK241">
        <f t="shared" si="258"/>
        <v>-4.1441322686017381</v>
      </c>
      <c r="BL241" s="60">
        <f t="shared" si="259"/>
        <v>80.583863050756094</v>
      </c>
      <c r="BN241">
        <f t="shared" si="260"/>
        <v>0</v>
      </c>
      <c r="BO241">
        <f t="shared" si="261"/>
        <v>0</v>
      </c>
    </row>
    <row r="242" spans="13:67" ht="14.25" x14ac:dyDescent="0.2">
      <c r="M242" s="66">
        <v>24</v>
      </c>
      <c r="N242" s="36">
        <f t="shared" si="262"/>
        <v>1737.8008287493772</v>
      </c>
      <c r="O242" s="91" t="str">
        <f t="shared" si="210"/>
        <v>99.7340425531915</v>
      </c>
      <c r="P242" s="67" t="str">
        <f t="shared" si="211"/>
        <v>1+317.113449476884i</v>
      </c>
      <c r="Q242" s="67">
        <f t="shared" si="222"/>
        <v>317.11502619574532</v>
      </c>
      <c r="R242" s="67">
        <f t="shared" si="223"/>
        <v>1.5676428916853806</v>
      </c>
      <c r="S242" s="67" t="str">
        <f t="shared" si="212"/>
        <v>1+0.596173285016542i</v>
      </c>
      <c r="T242" s="67">
        <f t="shared" si="224"/>
        <v>1.1642261746617</v>
      </c>
      <c r="U242" s="67">
        <f t="shared" si="225"/>
        <v>0.53760098833277736</v>
      </c>
      <c r="V242" t="str">
        <f t="shared" si="213"/>
        <v>1-0.0615827349357747i</v>
      </c>
      <c r="W242" s="67">
        <f t="shared" si="226"/>
        <v>1.0018944222033428</v>
      </c>
      <c r="X242" s="67">
        <f t="shared" si="227"/>
        <v>-6.1505062130305717E-2</v>
      </c>
      <c r="Y242" t="str">
        <f t="shared" si="214"/>
        <v>0.999285218527715+0.0951906250143818i</v>
      </c>
      <c r="Z242" s="67">
        <f t="shared" si="228"/>
        <v>1.0038088478682641</v>
      </c>
      <c r="AA242" s="67">
        <f t="shared" si="229"/>
        <v>9.497213990445473E-2</v>
      </c>
      <c r="AB242" s="92" t="str">
        <f t="shared" si="230"/>
        <v>0.137005434083137-0.338803007986449i</v>
      </c>
      <c r="AC242" s="37">
        <f t="shared" si="231"/>
        <v>-8.7433019972046431</v>
      </c>
      <c r="AD242" s="60">
        <f t="shared" si="232"/>
        <v>-67.982537050334102</v>
      </c>
      <c r="AE242" t="str">
        <f t="shared" si="233"/>
        <v>118.329284003155</v>
      </c>
      <c r="AF242" t="str">
        <f t="shared" si="215"/>
        <v>1+253.690759581507i</v>
      </c>
      <c r="AG242">
        <f t="shared" si="234"/>
        <v>253.69273047732761</v>
      </c>
      <c r="AH242">
        <f t="shared" si="235"/>
        <v>1.56685454025755</v>
      </c>
      <c r="AI242" t="str">
        <f t="shared" si="216"/>
        <v>1+0.596173285016542i</v>
      </c>
      <c r="AJ242">
        <f t="shared" si="236"/>
        <v>1.1642261746617</v>
      </c>
      <c r="AK242">
        <f t="shared" si="237"/>
        <v>0.53760098833277736</v>
      </c>
      <c r="AL242" t="str">
        <f t="shared" si="217"/>
        <v>1-0.0415228463996253i</v>
      </c>
      <c r="AM242">
        <f t="shared" si="238"/>
        <v>1.0008617021212904</v>
      </c>
      <c r="AN242">
        <f t="shared" si="239"/>
        <v>-4.1499007228897426E-2</v>
      </c>
      <c r="AO242" s="58" t="str">
        <f t="shared" si="240"/>
        <v>0.260586313086489-0.47695042988026i</v>
      </c>
      <c r="AP242">
        <f t="shared" si="241"/>
        <v>-5.2960871142335018</v>
      </c>
      <c r="AQ242" s="60">
        <f t="shared" si="242"/>
        <v>-61.349602542337308</v>
      </c>
      <c r="AR242" t="str">
        <f t="shared" si="218"/>
        <v>-1.94444444444444</v>
      </c>
      <c r="AS242" t="str">
        <f t="shared" si="219"/>
        <v>1+0.611459779504144i</v>
      </c>
      <c r="AT242">
        <f t="shared" si="243"/>
        <v>1.172127579212799</v>
      </c>
      <c r="AU242">
        <f t="shared" si="244"/>
        <v>0.54880322499869982</v>
      </c>
      <c r="AV242" t="str">
        <f t="shared" si="220"/>
        <v>1+0.611459779504144i</v>
      </c>
      <c r="AW242">
        <f t="shared" si="245"/>
        <v>1.172127579212799</v>
      </c>
      <c r="AX242">
        <f t="shared" si="246"/>
        <v>0.54880322499869982</v>
      </c>
      <c r="AY242" t="str">
        <f t="shared" si="221"/>
        <v>1-0.00347963945591561i</v>
      </c>
      <c r="AZ242">
        <f t="shared" si="247"/>
        <v>1.0000060539270466</v>
      </c>
      <c r="BA242">
        <f t="shared" si="248"/>
        <v>-3.4796254123195137E-3</v>
      </c>
      <c r="BB242" s="58" t="str">
        <f t="shared" si="249"/>
        <v>-1.41227982376424+0.870318275245759i</v>
      </c>
      <c r="BC242">
        <f t="shared" si="250"/>
        <v>4.3964656752793587</v>
      </c>
      <c r="BD242" s="60">
        <f t="shared" si="251"/>
        <v>148.35652357399357</v>
      </c>
      <c r="BE242" s="58" t="str">
        <f t="shared" si="252"/>
        <v>0.101376439257166+0.597722985500429i</v>
      </c>
      <c r="BF242" s="37">
        <f t="shared" si="253"/>
        <v>-4.3468363219252826</v>
      </c>
      <c r="BG242" s="60">
        <f t="shared" si="254"/>
        <v>80.373986523659454</v>
      </c>
      <c r="BH242" s="58" t="str">
        <f t="shared" si="255"/>
        <v>0.0470778831899514+0.900380499613657i</v>
      </c>
      <c r="BI242" s="37">
        <f t="shared" si="256"/>
        <v>-0.89962143895414015</v>
      </c>
      <c r="BJ242" s="60">
        <f t="shared" si="257"/>
        <v>87.00692103165629</v>
      </c>
      <c r="BK242">
        <f t="shared" si="258"/>
        <v>-4.3468363219252826</v>
      </c>
      <c r="BL242" s="60">
        <f t="shared" si="259"/>
        <v>80.373986523659454</v>
      </c>
      <c r="BN242">
        <f t="shared" si="260"/>
        <v>0</v>
      </c>
      <c r="BO242">
        <f t="shared" si="261"/>
        <v>0</v>
      </c>
    </row>
    <row r="243" spans="13:67" ht="14.25" x14ac:dyDescent="0.2">
      <c r="M243" s="66">
        <v>25</v>
      </c>
      <c r="N243" s="36">
        <f t="shared" si="262"/>
        <v>1778.2794100389244</v>
      </c>
      <c r="O243" s="91" t="str">
        <f t="shared" si="210"/>
        <v>99.7340425531915</v>
      </c>
      <c r="P243" s="67" t="str">
        <f t="shared" si="211"/>
        <v>1+324.499970607674i</v>
      </c>
      <c r="Q243" s="67">
        <f t="shared" si="222"/>
        <v>324.50151143620468</v>
      </c>
      <c r="R243" s="67">
        <f t="shared" si="223"/>
        <v>1.5677146721722672</v>
      </c>
      <c r="S243" s="67" t="str">
        <f t="shared" si="212"/>
        <v>1+0.610059944742427i</v>
      </c>
      <c r="T243" s="67">
        <f t="shared" si="224"/>
        <v>1.1713979410000399</v>
      </c>
      <c r="U243" s="67">
        <f t="shared" si="225"/>
        <v>0.54778370087056427</v>
      </c>
      <c r="V243" t="str">
        <f t="shared" si="213"/>
        <v>1-0.0630171811052617i</v>
      </c>
      <c r="W243" s="67">
        <f t="shared" si="226"/>
        <v>1.0019836151926105</v>
      </c>
      <c r="X243" s="67">
        <f t="shared" si="227"/>
        <v>-6.2933962090914869E-2</v>
      </c>
      <c r="Y243" t="str">
        <f t="shared" si="214"/>
        <v>0.999251531914753+0.0974078995080423i</v>
      </c>
      <c r="Z243" s="67">
        <f t="shared" si="228"/>
        <v>1.003988009350983</v>
      </c>
      <c r="AA243" s="67">
        <f t="shared" si="229"/>
        <v>9.7173838203346824E-2</v>
      </c>
      <c r="AB243" s="92" t="str">
        <f t="shared" si="230"/>
        <v>0.136855309660707-0.332220860587101i</v>
      </c>
      <c r="AC243" s="37">
        <f t="shared" si="231"/>
        <v>-8.890735020968151</v>
      </c>
      <c r="AD243" s="60">
        <f t="shared" si="232"/>
        <v>-67.611241274250816</v>
      </c>
      <c r="AE243" t="str">
        <f t="shared" si="233"/>
        <v>118.329284003155</v>
      </c>
      <c r="AF243" t="str">
        <f t="shared" si="215"/>
        <v>1+259.599976486139i</v>
      </c>
      <c r="AG243">
        <f t="shared" si="234"/>
        <v>259.60190251923024</v>
      </c>
      <c r="AH243">
        <f t="shared" si="235"/>
        <v>1.5669442653756123</v>
      </c>
      <c r="AI243" t="str">
        <f t="shared" si="216"/>
        <v>1+0.610059944742427i</v>
      </c>
      <c r="AJ243">
        <f t="shared" si="236"/>
        <v>1.1713979410000399</v>
      </c>
      <c r="AK243">
        <f t="shared" si="237"/>
        <v>0.54778370087056427</v>
      </c>
      <c r="AL243" t="str">
        <f t="shared" si="217"/>
        <v>1-0.0424900377402869i</v>
      </c>
      <c r="AM243">
        <f t="shared" si="238"/>
        <v>1.0009022945858257</v>
      </c>
      <c r="AN243">
        <f t="shared" si="239"/>
        <v>-4.2464494852159251E-2</v>
      </c>
      <c r="AO243" s="58" t="str">
        <f t="shared" si="240"/>
        <v>0.260503746735536-0.466625809795801i</v>
      </c>
      <c r="AP243">
        <f t="shared" si="241"/>
        <v>-5.4423898610904287</v>
      </c>
      <c r="AQ243" s="60">
        <f t="shared" si="242"/>
        <v>-60.826635326493594</v>
      </c>
      <c r="AR243" t="str">
        <f t="shared" si="218"/>
        <v>-1.94444444444444</v>
      </c>
      <c r="AS243" t="str">
        <f t="shared" si="219"/>
        <v>1+0.625702507428128i</v>
      </c>
      <c r="AT243">
        <f t="shared" si="243"/>
        <v>1.1796201201242063</v>
      </c>
      <c r="AU243">
        <f t="shared" si="244"/>
        <v>0.55910432973146817</v>
      </c>
      <c r="AV243" t="str">
        <f t="shared" si="220"/>
        <v>1+0.625702507428128i</v>
      </c>
      <c r="AW243">
        <f t="shared" si="245"/>
        <v>1.1796201201242063</v>
      </c>
      <c r="AX243">
        <f t="shared" si="246"/>
        <v>0.55910432973146817</v>
      </c>
      <c r="AY243" t="str">
        <f t="shared" si="221"/>
        <v>1-0.00340043319182715i</v>
      </c>
      <c r="AZ243">
        <f t="shared" si="247"/>
        <v>1.0000057814562335</v>
      </c>
      <c r="BA243">
        <f t="shared" si="248"/>
        <v>-3.4004200855764092E-3</v>
      </c>
      <c r="BB243" s="58" t="str">
        <f t="shared" si="249"/>
        <v>-1.39439616960992+0.879089133101654i</v>
      </c>
      <c r="BC243">
        <f t="shared" si="250"/>
        <v>4.3411175726384474</v>
      </c>
      <c r="BD243" s="60">
        <f t="shared" si="251"/>
        <v>147.77085187942117</v>
      </c>
      <c r="BE243" s="58" t="str">
        <f t="shared" si="252"/>
        <v>0.101221228750131+0.583555510997154i</v>
      </c>
      <c r="BF243" s="37">
        <f t="shared" si="253"/>
        <v>-4.5496174483297063</v>
      </c>
      <c r="BG243" s="60">
        <f t="shared" si="254"/>
        <v>80.159610605170315</v>
      </c>
      <c r="BH243" s="58" t="str">
        <f t="shared" si="255"/>
        <v>0.0469602519991839+0.879667254707867i</v>
      </c>
      <c r="BI243" s="37">
        <f t="shared" si="256"/>
        <v>-1.1012722884519848</v>
      </c>
      <c r="BJ243" s="60">
        <f t="shared" si="257"/>
        <v>86.944216552927571</v>
      </c>
      <c r="BK243">
        <f t="shared" si="258"/>
        <v>-4.5496174483297063</v>
      </c>
      <c r="BL243" s="60">
        <f t="shared" si="259"/>
        <v>80.159610605170315</v>
      </c>
      <c r="BN243">
        <f t="shared" si="260"/>
        <v>0</v>
      </c>
      <c r="BO243">
        <f t="shared" si="261"/>
        <v>0</v>
      </c>
    </row>
    <row r="244" spans="13:67" ht="14.25" x14ac:dyDescent="0.2">
      <c r="M244" s="66">
        <v>26</v>
      </c>
      <c r="N244" s="36">
        <f t="shared" si="262"/>
        <v>1819.7008586099832</v>
      </c>
      <c r="O244" s="91" t="str">
        <f t="shared" si="210"/>
        <v>99.7340425531915</v>
      </c>
      <c r="P244" s="67" t="str">
        <f t="shared" si="211"/>
        <v>1+332.058545918141i</v>
      </c>
      <c r="Q244" s="67">
        <f t="shared" si="222"/>
        <v>332.06005167329317</v>
      </c>
      <c r="R244" s="67">
        <f t="shared" si="223"/>
        <v>1.5677848187664765</v>
      </c>
      <c r="S244" s="67" t="str">
        <f t="shared" si="212"/>
        <v>1+0.624270066326105i</v>
      </c>
      <c r="T244" s="67">
        <f t="shared" si="224"/>
        <v>1.1788609399377008</v>
      </c>
      <c r="U244" s="67">
        <f t="shared" si="225"/>
        <v>0.55807424701279418</v>
      </c>
      <c r="V244" t="str">
        <f t="shared" si="213"/>
        <v>1-0.0644850398183009i</v>
      </c>
      <c r="W244" s="67">
        <f t="shared" si="226"/>
        <v>1.0020770032090187</v>
      </c>
      <c r="X244" s="67">
        <f t="shared" si="227"/>
        <v>-6.4395879016972774E-2</v>
      </c>
      <c r="Y244" t="str">
        <f t="shared" si="214"/>
        <v>0.999216257700633+0.0996768209593669i</v>
      </c>
      <c r="Z244" s="67">
        <f t="shared" si="228"/>
        <v>1.0041755814048774</v>
      </c>
      <c r="AA244" s="67">
        <f t="shared" si="229"/>
        <v>9.9426075497770702E-2</v>
      </c>
      <c r="AB244" s="92" t="str">
        <f t="shared" si="230"/>
        <v>0.136702297362315-0.32581396641558i</v>
      </c>
      <c r="AC244" s="37">
        <f t="shared" si="231"/>
        <v>-9.0363838209040797</v>
      </c>
      <c r="AD244" s="60">
        <f t="shared" si="232"/>
        <v>-67.238460876506196</v>
      </c>
      <c r="AE244" t="str">
        <f t="shared" si="233"/>
        <v>118.329284003155</v>
      </c>
      <c r="AF244" t="str">
        <f t="shared" si="215"/>
        <v>1+265.646836734513i</v>
      </c>
      <c r="AG244">
        <f t="shared" si="234"/>
        <v>265.64871892605277</v>
      </c>
      <c r="AH244">
        <f t="shared" si="235"/>
        <v>1.5670319481605692</v>
      </c>
      <c r="AI244" t="str">
        <f t="shared" si="216"/>
        <v>1+0.624270066326105i</v>
      </c>
      <c r="AJ244">
        <f t="shared" si="236"/>
        <v>1.1788609399377008</v>
      </c>
      <c r="AK244">
        <f t="shared" si="237"/>
        <v>0.55807424701279418</v>
      </c>
      <c r="AL244" t="str">
        <f t="shared" si="217"/>
        <v>1-0.04347975786138i</v>
      </c>
      <c r="AM244">
        <f t="shared" si="238"/>
        <v>1.0009447983498811</v>
      </c>
      <c r="AN244">
        <f t="shared" si="239"/>
        <v>-4.3452389558735705E-2</v>
      </c>
      <c r="AO244" s="58" t="str">
        <f t="shared" si="240"/>
        <v>0.260424896374721-0.456548572255618i</v>
      </c>
      <c r="AP244">
        <f t="shared" si="241"/>
        <v>-5.5868556819694506</v>
      </c>
      <c r="AQ244" s="60">
        <f t="shared" si="242"/>
        <v>-60.298656514463246</v>
      </c>
      <c r="AR244" t="str">
        <f t="shared" si="218"/>
        <v>-1.94444444444444</v>
      </c>
      <c r="AS244" t="str">
        <f t="shared" si="219"/>
        <v>1+0.640276991103695i</v>
      </c>
      <c r="AT244">
        <f t="shared" si="243"/>
        <v>1.1874151023701867</v>
      </c>
      <c r="AU244">
        <f t="shared" si="244"/>
        <v>0.56950966972546235</v>
      </c>
      <c r="AV244" t="str">
        <f t="shared" si="220"/>
        <v>1+0.640276991103695i</v>
      </c>
      <c r="AW244">
        <f t="shared" si="245"/>
        <v>1.1874151023701867</v>
      </c>
      <c r="AX244">
        <f t="shared" si="246"/>
        <v>0.56950966972546235</v>
      </c>
      <c r="AY244" t="str">
        <f t="shared" si="221"/>
        <v>1-0.00332302988242709i</v>
      </c>
      <c r="AZ244">
        <f t="shared" si="247"/>
        <v>1.0000055212485577</v>
      </c>
      <c r="BA244">
        <f t="shared" si="248"/>
        <v>-3.3230176509583998E-3</v>
      </c>
      <c r="BB244" s="58" t="str">
        <f t="shared" si="249"/>
        <v>-1.37614877368249+0.887577843118074i</v>
      </c>
      <c r="BC244">
        <f t="shared" si="250"/>
        <v>4.2839073760806325</v>
      </c>
      <c r="BD244" s="60">
        <f t="shared" si="251"/>
        <v>147.17910464619413</v>
      </c>
      <c r="BE244" s="58" t="str">
        <f t="shared" si="252"/>
        <v>0.101062558694156+0.569702420573558i</v>
      </c>
      <c r="BF244" s="37">
        <f t="shared" si="253"/>
        <v>-4.7524764448234373</v>
      </c>
      <c r="BG244" s="60">
        <f t="shared" si="254"/>
        <v>79.940643769687981</v>
      </c>
      <c r="BH244" s="58" t="str">
        <f t="shared" si="255"/>
        <v>0.0468389952588158+0.859426125654583i</v>
      </c>
      <c r="BI244" s="37">
        <f t="shared" si="256"/>
        <v>-1.3029483058888212</v>
      </c>
      <c r="BJ244" s="60">
        <f t="shared" si="257"/>
        <v>86.880448131730901</v>
      </c>
      <c r="BK244">
        <f t="shared" si="258"/>
        <v>-4.7524764448234373</v>
      </c>
      <c r="BL244" s="60">
        <f t="shared" si="259"/>
        <v>79.940643769687981</v>
      </c>
      <c r="BN244">
        <f t="shared" si="260"/>
        <v>0</v>
      </c>
      <c r="BO244">
        <f t="shared" si="261"/>
        <v>0</v>
      </c>
    </row>
    <row r="245" spans="13:67" ht="14.25" x14ac:dyDescent="0.2">
      <c r="M245" s="66">
        <v>27</v>
      </c>
      <c r="N245" s="36">
        <f t="shared" si="262"/>
        <v>1862.0871366628687</v>
      </c>
      <c r="O245" s="91" t="str">
        <f t="shared" si="210"/>
        <v>99.7340425531915</v>
      </c>
      <c r="P245" s="67" t="str">
        <f t="shared" si="211"/>
        <v>1+339.79318306497i</v>
      </c>
      <c r="Q245" s="67">
        <f t="shared" si="222"/>
        <v>339.79465454510057</v>
      </c>
      <c r="R245" s="67">
        <f t="shared" si="223"/>
        <v>1.5678533686578988</v>
      </c>
      <c r="S245" s="67" t="str">
        <f t="shared" si="212"/>
        <v>1+0.638811184162144i</v>
      </c>
      <c r="T245" s="67">
        <f t="shared" si="224"/>
        <v>1.186625353264728</v>
      </c>
      <c r="U245" s="67">
        <f t="shared" si="225"/>
        <v>0.56846936478517529</v>
      </c>
      <c r="V245" t="str">
        <f t="shared" si="213"/>
        <v>1-0.0659870893530127i</v>
      </c>
      <c r="W245" s="67">
        <f t="shared" si="226"/>
        <v>1.0021747831397887</v>
      </c>
      <c r="X245" s="67">
        <f t="shared" si="227"/>
        <v>-6.5891563026809513E-2</v>
      </c>
      <c r="Y245" t="str">
        <f t="shared" si="214"/>
        <v>0.999179321064018+0.101998592380543i</v>
      </c>
      <c r="Z245" s="67">
        <f t="shared" si="228"/>
        <v>1.0043719572397289</v>
      </c>
      <c r="AA245" s="67">
        <f t="shared" si="229"/>
        <v>0.10172997629077764</v>
      </c>
      <c r="AB245" s="92" t="str">
        <f t="shared" si="230"/>
        <v>0.136546083908954-0.319578867226484i</v>
      </c>
      <c r="AC245" s="37">
        <f t="shared" si="231"/>
        <v>-9.1802120836541299</v>
      </c>
      <c r="AD245" s="60">
        <f t="shared" si="232"/>
        <v>-66.86449229317688</v>
      </c>
      <c r="AE245" t="str">
        <f t="shared" si="233"/>
        <v>118.329284003155</v>
      </c>
      <c r="AF245" t="str">
        <f t="shared" si="215"/>
        <v>1+271.834546451976i</v>
      </c>
      <c r="AG245">
        <f t="shared" si="234"/>
        <v>271.83638579989895</v>
      </c>
      <c r="AH245">
        <f t="shared" si="235"/>
        <v>1.5671176350975984</v>
      </c>
      <c r="AI245" t="str">
        <f t="shared" si="216"/>
        <v>1+0.638811184162144i</v>
      </c>
      <c r="AJ245">
        <f t="shared" si="236"/>
        <v>1.186625353264728</v>
      </c>
      <c r="AK245">
        <f t="shared" si="237"/>
        <v>0.56846936478517529</v>
      </c>
      <c r="AL245" t="str">
        <f t="shared" si="217"/>
        <v>1-0.0444925315256142i</v>
      </c>
      <c r="AM245">
        <f t="shared" si="238"/>
        <v>1.0009893033202493</v>
      </c>
      <c r="AN245">
        <f t="shared" si="239"/>
        <v>-4.4463207426108299E-2</v>
      </c>
      <c r="AO245" s="58" t="str">
        <f t="shared" si="240"/>
        <v>0.260349594766424-0.446713376086297i</v>
      </c>
      <c r="AP245">
        <f t="shared" si="241"/>
        <v>-5.729445819687518</v>
      </c>
      <c r="AQ245" s="60">
        <f t="shared" si="242"/>
        <v>-59.765885236072435</v>
      </c>
      <c r="AR245" t="str">
        <f t="shared" si="218"/>
        <v>-1.94444444444444</v>
      </c>
      <c r="AS245" t="str">
        <f t="shared" si="219"/>
        <v>1+0.655190958115018i</v>
      </c>
      <c r="AT245">
        <f t="shared" si="243"/>
        <v>1.1955229782800811</v>
      </c>
      <c r="AU245">
        <f t="shared" si="244"/>
        <v>0.58001574895156971</v>
      </c>
      <c r="AV245" t="str">
        <f t="shared" si="220"/>
        <v>1+0.655190958115018i</v>
      </c>
      <c r="AW245">
        <f t="shared" si="245"/>
        <v>1.1955229782800811</v>
      </c>
      <c r="AX245">
        <f t="shared" si="246"/>
        <v>0.58001574895156971</v>
      </c>
      <c r="AY245" t="str">
        <f t="shared" si="221"/>
        <v>1-0.00324738848745616i</v>
      </c>
      <c r="AZ245">
        <f t="shared" si="247"/>
        <v>1.0000052727520934</v>
      </c>
      <c r="BA245">
        <f t="shared" si="248"/>
        <v>-3.2473770723819954E-3</v>
      </c>
      <c r="BB245" s="58" t="str">
        <f t="shared" si="249"/>
        <v>-1.35754635637312+0.895766464421041i</v>
      </c>
      <c r="BC245">
        <f t="shared" si="250"/>
        <v>4.2247980275360959</v>
      </c>
      <c r="BD245" s="60">
        <f t="shared" si="251"/>
        <v>146.58148453322059</v>
      </c>
      <c r="BE245" s="58" t="str">
        <f t="shared" si="252"/>
        <v>0.10090039331153+0.556156529590825i</v>
      </c>
      <c r="BF245" s="37">
        <f t="shared" si="253"/>
        <v>-4.9554140561180322</v>
      </c>
      <c r="BG245" s="60">
        <f t="shared" si="254"/>
        <v>79.716992240043709</v>
      </c>
      <c r="BH245" s="58" t="str">
        <f t="shared" si="255"/>
        <v>0.0467142177480319+0.839646552066458i</v>
      </c>
      <c r="BI245" s="37">
        <f t="shared" si="256"/>
        <v>-1.5046477921514216</v>
      </c>
      <c r="BJ245" s="60">
        <f t="shared" si="257"/>
        <v>86.81559929714814</v>
      </c>
      <c r="BK245">
        <f t="shared" si="258"/>
        <v>-4.9554140561180322</v>
      </c>
      <c r="BL245" s="60">
        <f t="shared" si="259"/>
        <v>79.716992240043709</v>
      </c>
      <c r="BN245">
        <f t="shared" si="260"/>
        <v>0</v>
      </c>
      <c r="BO245">
        <f t="shared" si="261"/>
        <v>0</v>
      </c>
    </row>
    <row r="246" spans="13:67" ht="14.25" x14ac:dyDescent="0.2">
      <c r="M246" s="66">
        <v>28</v>
      </c>
      <c r="N246" s="36">
        <f t="shared" si="262"/>
        <v>1905.4607179632501</v>
      </c>
      <c r="O246" s="91" t="str">
        <f t="shared" si="210"/>
        <v>99.7340425531915</v>
      </c>
      <c r="P246" s="67" t="str">
        <f t="shared" si="211"/>
        <v>1+347.707983055158i</v>
      </c>
      <c r="Q246" s="67">
        <f t="shared" si="222"/>
        <v>347.70942104045162</v>
      </c>
      <c r="R246" s="67">
        <f t="shared" si="223"/>
        <v>1.567920358190015</v>
      </c>
      <c r="S246" s="67" t="str">
        <f t="shared" si="212"/>
        <v>1+0.653691008143698i</v>
      </c>
      <c r="T246" s="67">
        <f t="shared" si="224"/>
        <v>1.1947016088245317</v>
      </c>
      <c r="U246" s="67">
        <f t="shared" si="225"/>
        <v>0.57896557926637771</v>
      </c>
      <c r="V246" t="str">
        <f t="shared" si="213"/>
        <v>1-0.0675241261159424i</v>
      </c>
      <c r="W246" s="67">
        <f t="shared" si="226"/>
        <v>1.0022771610725856</v>
      </c>
      <c r="X246" s="67">
        <f t="shared" si="227"/>
        <v>-6.7421780369199977E-2</v>
      </c>
      <c r="Y246" t="str">
        <f t="shared" si="214"/>
        <v>0.999140643657349+0.104374444805512i</v>
      </c>
      <c r="Z246" s="67">
        <f t="shared" si="228"/>
        <v>1.0045775482940482</v>
      </c>
      <c r="AA246" s="67">
        <f t="shared" si="229"/>
        <v>0.10408668758064539</v>
      </c>
      <c r="AB246" s="92" t="str">
        <f t="shared" si="230"/>
        <v>0.1363863503002-0.313512191495912i</v>
      </c>
      <c r="AC246" s="37">
        <f t="shared" si="231"/>
        <v>-9.3221844013023638</v>
      </c>
      <c r="AD246" s="60">
        <f t="shared" si="232"/>
        <v>-66.489646325898562</v>
      </c>
      <c r="AE246" t="str">
        <f t="shared" si="233"/>
        <v>118.329284003155</v>
      </c>
      <c r="AF246" t="str">
        <f t="shared" si="215"/>
        <v>1+278.166386444127i</v>
      </c>
      <c r="AG246">
        <f t="shared" si="234"/>
        <v>278.16818392365326</v>
      </c>
      <c r="AH246">
        <f t="shared" si="235"/>
        <v>1.5672013716140116</v>
      </c>
      <c r="AI246" t="str">
        <f t="shared" si="216"/>
        <v>1+0.653691008143698i</v>
      </c>
      <c r="AJ246">
        <f t="shared" si="236"/>
        <v>1.1947016088245317</v>
      </c>
      <c r="AK246">
        <f t="shared" si="237"/>
        <v>0.57896557926637771</v>
      </c>
      <c r="AL246" t="str">
        <f t="shared" si="217"/>
        <v>1-0.0455288957189919i</v>
      </c>
      <c r="AM246">
        <f t="shared" si="238"/>
        <v>1.0010359036245358</v>
      </c>
      <c r="AN246">
        <f t="shared" si="239"/>
        <v>-4.5497476136137936E-2</v>
      </c>
      <c r="AO246" s="58" t="str">
        <f t="shared" si="240"/>
        <v>0.26027768219912-0.437115008320385i</v>
      </c>
      <c r="AP246">
        <f t="shared" si="241"/>
        <v>-5.8701223117651677</v>
      </c>
      <c r="AQ246" s="60">
        <f t="shared" si="242"/>
        <v>-59.228553426384089</v>
      </c>
      <c r="AR246" t="str">
        <f t="shared" si="218"/>
        <v>-1.94444444444444</v>
      </c>
      <c r="AS246" t="str">
        <f t="shared" si="219"/>
        <v>1+0.670452316044816i</v>
      </c>
      <c r="AT246">
        <f t="shared" si="243"/>
        <v>1.2039544460193907</v>
      </c>
      <c r="AU246">
        <f t="shared" si="244"/>
        <v>0.5906188605688496</v>
      </c>
      <c r="AV246" t="str">
        <f t="shared" si="220"/>
        <v>1+0.670452316044816i</v>
      </c>
      <c r="AW246">
        <f t="shared" si="245"/>
        <v>1.2039544460193907</v>
      </c>
      <c r="AX246">
        <f t="shared" si="246"/>
        <v>0.5906188605688496</v>
      </c>
      <c r="AY246" t="str">
        <f t="shared" si="221"/>
        <v>1-0.00317346890084553i</v>
      </c>
      <c r="AZ246">
        <f t="shared" si="247"/>
        <v>1.0000050354397545</v>
      </c>
      <c r="BA246">
        <f t="shared" si="248"/>
        <v>-3.1734582476754384E-3</v>
      </c>
      <c r="BB246" s="58" t="str">
        <f t="shared" si="249"/>
        <v>-1.3385987475709+0.903637264537463i</v>
      </c>
      <c r="BC246">
        <f t="shared" si="250"/>
        <v>4.1637534251402819</v>
      </c>
      <c r="BD246" s="60">
        <f t="shared" si="251"/>
        <v>145.97820622452659</v>
      </c>
      <c r="BE246" s="58" t="str">
        <f t="shared" si="252"/>
        <v>0.100734701424897+0.542910815390157i</v>
      </c>
      <c r="BF246" s="37">
        <f t="shared" si="253"/>
        <v>-5.1584309761620792</v>
      </c>
      <c r="BG246" s="60">
        <f t="shared" si="254"/>
        <v>79.488559898628083</v>
      </c>
      <c r="BH246" s="58" t="str">
        <f t="shared" si="255"/>
        <v>0.0465860309945043+0.820318215444675i</v>
      </c>
      <c r="BI246" s="37">
        <f t="shared" si="256"/>
        <v>-1.7063688866248861</v>
      </c>
      <c r="BJ246" s="60">
        <f t="shared" si="257"/>
        <v>86.74965279814252</v>
      </c>
      <c r="BK246">
        <f t="shared" si="258"/>
        <v>-5.1584309761620792</v>
      </c>
      <c r="BL246" s="60">
        <f t="shared" si="259"/>
        <v>79.488559898628083</v>
      </c>
      <c r="BN246">
        <f t="shared" si="260"/>
        <v>0</v>
      </c>
      <c r="BO246">
        <f t="shared" si="261"/>
        <v>0</v>
      </c>
    </row>
    <row r="247" spans="13:67" ht="14.25" x14ac:dyDescent="0.2">
      <c r="M247" s="66">
        <v>29</v>
      </c>
      <c r="N247" s="36">
        <f t="shared" si="262"/>
        <v>1949.8445997580463</v>
      </c>
      <c r="O247" s="91" t="str">
        <f t="shared" si="210"/>
        <v>99.7340425531915</v>
      </c>
      <c r="P247" s="67" t="str">
        <f t="shared" si="211"/>
        <v>1+355.807142420417i</v>
      </c>
      <c r="Q247" s="67">
        <f t="shared" si="222"/>
        <v>355.80854767329987</v>
      </c>
      <c r="R247" s="67">
        <f t="shared" si="223"/>
        <v>1.5679858228791557</v>
      </c>
      <c r="S247" s="67" t="str">
        <f t="shared" si="212"/>
        <v>1+0.668917427750383i</v>
      </c>
      <c r="T247" s="67">
        <f t="shared" si="224"/>
        <v>1.203100380329168</v>
      </c>
      <c r="U247" s="67">
        <f t="shared" si="225"/>
        <v>0.58955920448385657</v>
      </c>
      <c r="V247" t="str">
        <f t="shared" si="213"/>
        <v>1-0.0690969650643253i</v>
      </c>
      <c r="W247" s="67">
        <f t="shared" si="226"/>
        <v>1.0023843527215999</v>
      </c>
      <c r="X247" s="67">
        <f t="shared" si="227"/>
        <v>-6.8987313704671926E-2</v>
      </c>
      <c r="Y247" t="str">
        <f t="shared" si="214"/>
        <v>0.999100143440661+0.106805637942674i</v>
      </c>
      <c r="Z247" s="67">
        <f t="shared" si="228"/>
        <v>1.0047927850654037</v>
      </c>
      <c r="AA247" s="67">
        <f t="shared" si="229"/>
        <v>0.10649737912896384</v>
      </c>
      <c r="AB247" s="92" t="str">
        <f t="shared" si="230"/>
        <v>0.136222771238008-0.307610652344264i</v>
      </c>
      <c r="AC247" s="37">
        <f t="shared" si="231"/>
        <v>-9.4622663883039255</v>
      </c>
      <c r="AD247" s="60">
        <f t="shared" si="232"/>
        <v>-66.114248065824668</v>
      </c>
      <c r="AE247" t="str">
        <f t="shared" si="233"/>
        <v>118.329284003155</v>
      </c>
      <c r="AF247" t="str">
        <f t="shared" si="215"/>
        <v>1+284.645713936333i</v>
      </c>
      <c r="AG247">
        <f t="shared" si="234"/>
        <v>284.64747050048538</v>
      </c>
      <c r="AH247">
        <f t="shared" si="235"/>
        <v>1.5672832021033185</v>
      </c>
      <c r="AI247" t="str">
        <f t="shared" si="216"/>
        <v>1+0.668917427750383i</v>
      </c>
      <c r="AJ247">
        <f t="shared" si="236"/>
        <v>1.203100380329168</v>
      </c>
      <c r="AK247">
        <f t="shared" si="237"/>
        <v>0.58955920448385657</v>
      </c>
      <c r="AL247" t="str">
        <f t="shared" si="217"/>
        <v>1-0.0465893999355253i</v>
      </c>
      <c r="AM247">
        <f t="shared" si="238"/>
        <v>1.0010846978085082</v>
      </c>
      <c r="AN247">
        <f t="shared" si="239"/>
        <v>-4.6555735215791039E-2</v>
      </c>
      <c r="AO247" s="58" t="str">
        <f t="shared" si="240"/>
        <v>0.260209006148729-0.427748381440958i</v>
      </c>
      <c r="AP247">
        <f t="shared" si="241"/>
        <v>-6.0088481025250822</v>
      </c>
      <c r="AQ247" s="60">
        <f t="shared" si="242"/>
        <v>-58.686905732247453</v>
      </c>
      <c r="AR247" t="str">
        <f t="shared" si="218"/>
        <v>-1.94444444444444</v>
      </c>
      <c r="AS247" t="str">
        <f t="shared" si="219"/>
        <v>1+0.686069156667058i</v>
      </c>
      <c r="AT247">
        <f t="shared" si="243"/>
        <v>1.2127204491266106</v>
      </c>
      <c r="AU247">
        <f t="shared" si="244"/>
        <v>0.60131508984959003</v>
      </c>
      <c r="AV247" t="str">
        <f t="shared" si="220"/>
        <v>1+0.686069156667058i</v>
      </c>
      <c r="AW247">
        <f t="shared" si="245"/>
        <v>1.2127204491266106</v>
      </c>
      <c r="AX247">
        <f t="shared" si="246"/>
        <v>0.60131508984959003</v>
      </c>
      <c r="AY247" t="str">
        <f t="shared" si="221"/>
        <v>1-0.00310123192945199i</v>
      </c>
      <c r="AZ247">
        <f t="shared" si="247"/>
        <v>1.0000048088081777</v>
      </c>
      <c r="BA247">
        <f t="shared" si="248"/>
        <v>-3.1012219873324813E-3</v>
      </c>
      <c r="BB247" s="58" t="str">
        <f t="shared" si="249"/>
        <v>-1.31931689030878+0.911172799506904i</v>
      </c>
      <c r="BC247">
        <f t="shared" si="250"/>
        <v>4.1007385378310985</v>
      </c>
      <c r="BD247" s="60">
        <f t="shared" si="251"/>
        <v>145.36949626288134</v>
      </c>
      <c r="BE247" s="58" t="str">
        <f t="shared" si="252"/>
        <v>0.100565456315695+0.529958413102214i</v>
      </c>
      <c r="BF247" s="37">
        <f t="shared" si="253"/>
        <v>-5.3615278504728234</v>
      </c>
      <c r="BG247" s="60">
        <f t="shared" si="254"/>
        <v>79.255248197056687</v>
      </c>
      <c r="BH247" s="58" t="str">
        <f t="shared" si="255"/>
        <v>0.0464545533796254+0.801431033026745i</v>
      </c>
      <c r="BI247" s="37">
        <f t="shared" si="256"/>
        <v>-1.908109564693983</v>
      </c>
      <c r="BJ247" s="60">
        <f t="shared" si="257"/>
        <v>86.682590530633917</v>
      </c>
      <c r="BK247">
        <f t="shared" si="258"/>
        <v>-5.3615278504728234</v>
      </c>
      <c r="BL247" s="60">
        <f t="shared" si="259"/>
        <v>79.255248197056687</v>
      </c>
      <c r="BN247">
        <f t="shared" si="260"/>
        <v>0</v>
      </c>
      <c r="BO247">
        <f t="shared" si="261"/>
        <v>0</v>
      </c>
    </row>
    <row r="248" spans="13:67" ht="14.25" x14ac:dyDescent="0.2">
      <c r="M248" s="66">
        <v>30</v>
      </c>
      <c r="N248" s="36">
        <f t="shared" si="262"/>
        <v>1995.2623149688804</v>
      </c>
      <c r="O248" s="91" t="str">
        <f t="shared" si="210"/>
        <v>99.7340425531915</v>
      </c>
      <c r="P248" s="67" t="str">
        <f t="shared" si="211"/>
        <v>1+364.094955442253i</v>
      </c>
      <c r="Q248" s="67">
        <f t="shared" si="222"/>
        <v>364.09632870779706</v>
      </c>
      <c r="R248" s="67">
        <f t="shared" si="223"/>
        <v>1.5680497974333196</v>
      </c>
      <c r="S248" s="67" t="str">
        <f t="shared" si="212"/>
        <v>1+0.684498516231436i</v>
      </c>
      <c r="T248" s="67">
        <f t="shared" si="224"/>
        <v>1.21183258692075</v>
      </c>
      <c r="U248" s="67">
        <f t="shared" si="225"/>
        <v>0.6002463462443911</v>
      </c>
      <c r="V248" t="str">
        <f t="shared" si="213"/>
        <v>1-0.0707064401381923i</v>
      </c>
      <c r="W248" s="67">
        <f t="shared" si="226"/>
        <v>1.0024965838729905</v>
      </c>
      <c r="X248" s="67">
        <f t="shared" si="227"/>
        <v>-7.0588962386807466E-2</v>
      </c>
      <c r="Y248" t="str">
        <f t="shared" si="214"/>
        <v>0.999057734507566+0.109293460842814i</v>
      </c>
      <c r="Z248" s="67">
        <f t="shared" si="228"/>
        <v>1.0050181179771787</v>
      </c>
      <c r="AA248" s="67">
        <f t="shared" si="229"/>
        <v>0.10896324371770608</v>
      </c>
      <c r="AB248" s="92" t="str">
        <f t="shared" si="230"/>
        <v>0.136055014546455-0.301871045484514i</v>
      </c>
      <c r="AC248" s="37">
        <f t="shared" si="231"/>
        <v>-9.6004247992935738</v>
      </c>
      <c r="AD248" s="60">
        <f t="shared" si="232"/>
        <v>-65.738636763372853</v>
      </c>
      <c r="AE248" t="str">
        <f t="shared" si="233"/>
        <v>118.329284003155</v>
      </c>
      <c r="AF248" t="str">
        <f t="shared" si="215"/>
        <v>1+291.275964353803i</v>
      </c>
      <c r="AG248">
        <f t="shared" si="234"/>
        <v>291.27768093391211</v>
      </c>
      <c r="AH248">
        <f t="shared" si="235"/>
        <v>1.5673631699487418</v>
      </c>
      <c r="AI248" t="str">
        <f t="shared" si="216"/>
        <v>1+0.684498516231436i</v>
      </c>
      <c r="AJ248">
        <f t="shared" si="236"/>
        <v>1.21183258692075</v>
      </c>
      <c r="AK248">
        <f t="shared" si="237"/>
        <v>0.6002463462443911</v>
      </c>
      <c r="AL248" t="str">
        <f t="shared" si="217"/>
        <v>1-0.0476746064685886i</v>
      </c>
      <c r="AM248">
        <f t="shared" si="238"/>
        <v>1.0011357890425927</v>
      </c>
      <c r="AN248">
        <f t="shared" si="239"/>
        <v>-4.7638536281387929E-2</v>
      </c>
      <c r="AO248" s="58" t="str">
        <f t="shared" si="240"/>
        <v>0.260143420955187-0.418608530692041i</v>
      </c>
      <c r="AP248">
        <f t="shared" si="241"/>
        <v>-6.1455871558825157</v>
      </c>
      <c r="AQ248" s="60">
        <f t="shared" si="242"/>
        <v>-58.141199365461439</v>
      </c>
      <c r="AR248" t="str">
        <f t="shared" si="218"/>
        <v>-1.94444444444444</v>
      </c>
      <c r="AS248" t="str">
        <f t="shared" si="219"/>
        <v>1+0.702049760237368i</v>
      </c>
      <c r="AT248">
        <f t="shared" si="243"/>
        <v>1.2218321758119426</v>
      </c>
      <c r="AU248">
        <f t="shared" si="244"/>
        <v>0.61210031806702159</v>
      </c>
      <c r="AV248" t="str">
        <f t="shared" si="220"/>
        <v>1+0.702049760237368i</v>
      </c>
      <c r="AW248">
        <f t="shared" si="245"/>
        <v>1.2218321758119426</v>
      </c>
      <c r="AX248">
        <f t="shared" si="246"/>
        <v>0.61210031806702159</v>
      </c>
      <c r="AY248" t="str">
        <f t="shared" si="221"/>
        <v>1-0.00303063927227709i</v>
      </c>
      <c r="AZ248">
        <f t="shared" si="247"/>
        <v>1.0000045923766543</v>
      </c>
      <c r="BA248">
        <f t="shared" si="248"/>
        <v>-3.0306299937488896E-3</v>
      </c>
      <c r="BB248" s="58" t="str">
        <f t="shared" si="249"/>
        <v>-1.29971283776295+0.918355995825001i</v>
      </c>
      <c r="BC248">
        <f t="shared" si="250"/>
        <v>4.0357195199821678</v>
      </c>
      <c r="BD248" s="60">
        <f t="shared" si="251"/>
        <v>144.75559282823684</v>
      </c>
      <c r="BE248" s="58" t="str">
        <f t="shared" si="252"/>
        <v>0.100392635538613+0.517292611535941i</v>
      </c>
      <c r="BF248" s="37">
        <f t="shared" si="253"/>
        <v>-5.5647052793114042</v>
      </c>
      <c r="BG248" s="60">
        <f t="shared" si="254"/>
        <v>79.016956064863962</v>
      </c>
      <c r="BH248" s="58" t="str">
        <f t="shared" si="255"/>
        <v>0.046319910189502+0.782975151746155i</v>
      </c>
      <c r="BI248" s="37">
        <f t="shared" si="256"/>
        <v>-2.1098676359003452</v>
      </c>
      <c r="BJ248" s="60">
        <f t="shared" si="257"/>
        <v>86.614393462775425</v>
      </c>
      <c r="BK248">
        <f t="shared" si="258"/>
        <v>-5.5647052793114042</v>
      </c>
      <c r="BL248" s="60">
        <f t="shared" si="259"/>
        <v>79.016956064863962</v>
      </c>
      <c r="BN248">
        <f t="shared" si="260"/>
        <v>0</v>
      </c>
      <c r="BO248">
        <f t="shared" si="261"/>
        <v>0</v>
      </c>
    </row>
    <row r="249" spans="13:67" ht="14.25" x14ac:dyDescent="0.2">
      <c r="M249" s="66">
        <v>31</v>
      </c>
      <c r="N249" s="36">
        <f t="shared" si="262"/>
        <v>2041.7379446695318</v>
      </c>
      <c r="O249" s="91" t="str">
        <f t="shared" si="210"/>
        <v>99.7340425531915</v>
      </c>
      <c r="P249" s="67" t="str">
        <f t="shared" si="211"/>
        <v>1+372.57581642883i</v>
      </c>
      <c r="Q249" s="67">
        <f t="shared" si="222"/>
        <v>372.57715843514779</v>
      </c>
      <c r="R249" s="67">
        <f t="shared" si="223"/>
        <v>1.5681123157705665</v>
      </c>
      <c r="S249" s="67" t="str">
        <f t="shared" si="212"/>
        <v>1+0.7004425348862i</v>
      </c>
      <c r="T249" s="67">
        <f t="shared" si="224"/>
        <v>1.2209093924930734</v>
      </c>
      <c r="U249" s="67">
        <f t="shared" si="225"/>
        <v>0.61102290592498121</v>
      </c>
      <c r="V249" t="str">
        <f t="shared" si="213"/>
        <v>1-0.0723534047025305i</v>
      </c>
      <c r="W249" s="67">
        <f t="shared" si="226"/>
        <v>1.0026140908505365</v>
      </c>
      <c r="X249" s="67">
        <f t="shared" si="227"/>
        <v>-7.222754274307619E-2</v>
      </c>
      <c r="Y249" t="str">
        <f t="shared" si="214"/>
        <v>0.999013326903029+0.111839232582562i</v>
      </c>
      <c r="Z249" s="67">
        <f t="shared" si="228"/>
        <v>1.0052540182831973</v>
      </c>
      <c r="AA249" s="67">
        <f t="shared" si="229"/>
        <v>0.1114854973938724</v>
      </c>
      <c r="AB249" s="92" t="str">
        <f t="shared" si="230"/>
        <v>0.135882740587008-0.296290247193709i</v>
      </c>
      <c r="AC249" s="37">
        <f t="shared" si="231"/>
        <v>-9.7366276471142399</v>
      </c>
      <c r="AD249" s="60">
        <f t="shared" si="232"/>
        <v>-65.363165642183361</v>
      </c>
      <c r="AE249" t="str">
        <f t="shared" si="233"/>
        <v>118.329284003155</v>
      </c>
      <c r="AF249" t="str">
        <f t="shared" si="215"/>
        <v>1+298.060653143064i</v>
      </c>
      <c r="AG249">
        <f t="shared" si="234"/>
        <v>298.06233064926181</v>
      </c>
      <c r="AH249">
        <f t="shared" si="235"/>
        <v>1.5674413175461979</v>
      </c>
      <c r="AI249" t="str">
        <f t="shared" si="216"/>
        <v>1+0.7004425348862i</v>
      </c>
      <c r="AJ249">
        <f t="shared" si="236"/>
        <v>1.2209093924930734</v>
      </c>
      <c r="AK249">
        <f t="shared" si="237"/>
        <v>0.61102290592498121</v>
      </c>
      <c r="AL249" t="str">
        <f t="shared" si="217"/>
        <v>1-0.0487850907090492i</v>
      </c>
      <c r="AM249">
        <f t="shared" si="238"/>
        <v>1.0011892853379376</v>
      </c>
      <c r="AN249">
        <f t="shared" si="239"/>
        <v>-4.8746443286298631E-2</v>
      </c>
      <c r="AO249" s="58" t="str">
        <f t="shared" si="240"/>
        <v>0.260080787513586-0.409690611453691i</v>
      </c>
      <c r="AP249">
        <f t="shared" si="241"/>
        <v>-6.2803045681586225</v>
      </c>
      <c r="AQ249" s="60">
        <f t="shared" si="242"/>
        <v>-57.591703901080386</v>
      </c>
      <c r="AR249" t="str">
        <f t="shared" si="218"/>
        <v>-1.94444444444444</v>
      </c>
      <c r="AS249" t="str">
        <f t="shared" si="219"/>
        <v>1+0.71840259988328i</v>
      </c>
      <c r="AT249">
        <f t="shared" si="243"/>
        <v>1.231301058035384</v>
      </c>
      <c r="AU249">
        <f t="shared" si="244"/>
        <v>0.62297022736373209</v>
      </c>
      <c r="AV249" t="str">
        <f t="shared" si="220"/>
        <v>1+0.71840259988328i</v>
      </c>
      <c r="AW249">
        <f t="shared" si="245"/>
        <v>1.231301058035384</v>
      </c>
      <c r="AX249">
        <f t="shared" si="246"/>
        <v>0.62297022736373209</v>
      </c>
      <c r="AY249" t="str">
        <f t="shared" si="221"/>
        <v>1-0.00296165350015961i</v>
      </c>
      <c r="AZ249">
        <f t="shared" si="247"/>
        <v>1.0000043856861103</v>
      </c>
      <c r="BA249">
        <f t="shared" si="248"/>
        <v>-2.9616448409311141E-3</v>
      </c>
      <c r="BB249" s="58" t="str">
        <f t="shared" si="249"/>
        <v>-1.27979974328903+0.925170233603548i</v>
      </c>
      <c r="BC249">
        <f t="shared" si="250"/>
        <v>3.9686638253713258</v>
      </c>
      <c r="BD249" s="60">
        <f t="shared" si="251"/>
        <v>144.13674545995079</v>
      </c>
      <c r="BE249" s="58" t="str">
        <f t="shared" si="252"/>
        <v>0.100216220689994+0.504906849149125i</v>
      </c>
      <c r="BF249" s="37">
        <f t="shared" si="253"/>
        <v>-5.7679638217429066</v>
      </c>
      <c r="BG249" s="60">
        <f t="shared" si="254"/>
        <v>78.77357981776747</v>
      </c>
      <c r="BH249" s="58" t="str">
        <f t="shared" si="255"/>
        <v>0.0461822336094956+0.764940942306099i</v>
      </c>
      <c r="BI249" s="37">
        <f t="shared" si="256"/>
        <v>-2.3116407427872923</v>
      </c>
      <c r="BJ249" s="60">
        <f t="shared" si="257"/>
        <v>86.545041558870423</v>
      </c>
      <c r="BK249">
        <f t="shared" si="258"/>
        <v>-5.7679638217429066</v>
      </c>
      <c r="BL249" s="60">
        <f t="shared" si="259"/>
        <v>78.77357981776747</v>
      </c>
      <c r="BN249">
        <f t="shared" si="260"/>
        <v>0</v>
      </c>
      <c r="BO249">
        <f t="shared" si="261"/>
        <v>0</v>
      </c>
    </row>
    <row r="250" spans="13:67" ht="14.25" x14ac:dyDescent="0.2">
      <c r="M250" s="66">
        <v>32</v>
      </c>
      <c r="N250" s="36">
        <f t="shared" si="262"/>
        <v>2089.2961308540398</v>
      </c>
      <c r="O250" s="91" t="str">
        <f t="shared" si="210"/>
        <v>99.7340425531915</v>
      </c>
      <c r="P250" s="67" t="str">
        <f t="shared" si="211"/>
        <v>1+381.254222044905i</v>
      </c>
      <c r="Q250" s="67">
        <f t="shared" si="222"/>
        <v>381.25553350353584</v>
      </c>
      <c r="R250" s="67">
        <f t="shared" si="223"/>
        <v>1.5681734110369903</v>
      </c>
      <c r="S250" s="67" t="str">
        <f t="shared" si="212"/>
        <v>1+0.71675793744442i</v>
      </c>
      <c r="T250" s="67">
        <f t="shared" si="224"/>
        <v>1.2303422047908374</v>
      </c>
      <c r="U250" s="67">
        <f t="shared" si="225"/>
        <v>0.62188458524309909</v>
      </c>
      <c r="V250" t="str">
        <f t="shared" si="213"/>
        <v>1-0.0740387319997533i</v>
      </c>
      <c r="W250" s="67">
        <f t="shared" si="226"/>
        <v>1.0027371210023748</v>
      </c>
      <c r="X250" s="67">
        <f t="shared" si="227"/>
        <v>-7.3903888354733396E-2</v>
      </c>
      <c r="Y250" t="str">
        <f t="shared" si="214"/>
        <v>0.998966826432568+0.114444302963794i</v>
      </c>
      <c r="Z250" s="67">
        <f t="shared" si="228"/>
        <v>1.0055009790117686</v>
      </c>
      <c r="AA250" s="67">
        <f t="shared" si="229"/>
        <v>0.11406537970028054</v>
      </c>
      <c r="AB250" s="92" t="str">
        <f t="shared" si="230"/>
        <v>0.135705601669003-0.290865212305414i</v>
      </c>
      <c r="AC250" s="37">
        <f t="shared" si="231"/>
        <v>-9.8708443203687732</v>
      </c>
      <c r="AD250" s="60">
        <f t="shared" si="232"/>
        <v>-64.988201656095981</v>
      </c>
      <c r="AE250" t="str">
        <f t="shared" si="233"/>
        <v>118.329284003155</v>
      </c>
      <c r="AF250" t="str">
        <f t="shared" si="215"/>
        <v>1+305.003377635924i</v>
      </c>
      <c r="AG250">
        <f t="shared" si="234"/>
        <v>305.00501695762654</v>
      </c>
      <c r="AH250">
        <f t="shared" si="235"/>
        <v>1.5675176863267573</v>
      </c>
      <c r="AI250" t="str">
        <f t="shared" si="216"/>
        <v>1+0.71675793744442i</v>
      </c>
      <c r="AJ250">
        <f t="shared" si="236"/>
        <v>1.2303422047908374</v>
      </c>
      <c r="AK250">
        <f t="shared" si="237"/>
        <v>0.62188458524309909</v>
      </c>
      <c r="AL250" t="str">
        <f t="shared" si="217"/>
        <v>1-0.0499214414503513i</v>
      </c>
      <c r="AM250">
        <f t="shared" si="238"/>
        <v>1.0012452997724788</v>
      </c>
      <c r="AN250">
        <f t="shared" si="239"/>
        <v>-4.9880032772025677E-2</v>
      </c>
      <c r="AO250" s="58" t="str">
        <f t="shared" si="240"/>
        <v>0.260020972979186-0.400989896680209i</v>
      </c>
      <c r="AP250">
        <f t="shared" si="241"/>
        <v>-6.4129666802173224</v>
      </c>
      <c r="AQ250" s="60">
        <f t="shared" si="242"/>
        <v>-57.038701019772923</v>
      </c>
      <c r="AR250" t="str">
        <f t="shared" si="218"/>
        <v>-1.94444444444444</v>
      </c>
      <c r="AS250" t="str">
        <f t="shared" si="219"/>
        <v>1+0.735136346096839i</v>
      </c>
      <c r="AT250">
        <f t="shared" si="243"/>
        <v>1.2411387703849281</v>
      </c>
      <c r="AU250">
        <f t="shared" si="244"/>
        <v>0.6339203066114274</v>
      </c>
      <c r="AV250" t="str">
        <f t="shared" si="220"/>
        <v>1+0.735136346096839i</v>
      </c>
      <c r="AW250">
        <f t="shared" si="245"/>
        <v>1.2411387703849281</v>
      </c>
      <c r="AX250">
        <f t="shared" si="246"/>
        <v>0.6339203066114274</v>
      </c>
      <c r="AY250" t="str">
        <f t="shared" si="221"/>
        <v>1-0.00289423803593001i</v>
      </c>
      <c r="AZ250">
        <f t="shared" si="247"/>
        <v>1.0000041882981334</v>
      </c>
      <c r="BA250">
        <f t="shared" si="248"/>
        <v>-2.8942299546658606E-3</v>
      </c>
      <c r="BB250" s="58" t="str">
        <f t="shared" si="249"/>
        <v>-1.25959184324034+0.931599430282948i</v>
      </c>
      <c r="BC250">
        <f t="shared" si="250"/>
        <v>3.899540319751984</v>
      </c>
      <c r="BD250" s="60">
        <f t="shared" si="251"/>
        <v>143.51321472218348</v>
      </c>
      <c r="BE250" s="58" t="str">
        <f t="shared" si="252"/>
        <v>0.100036197128554+0.492794710103317i</v>
      </c>
      <c r="BF250" s="37">
        <f t="shared" si="253"/>
        <v>-5.9713040006167919</v>
      </c>
      <c r="BG250" s="60">
        <f t="shared" si="254"/>
        <v>78.525013066087453</v>
      </c>
      <c r="BH250" s="58" t="str">
        <f t="shared" si="255"/>
        <v>0.0460416626605014+0.747318993369205i</v>
      </c>
      <c r="BI250" s="37">
        <f t="shared" si="256"/>
        <v>-2.5134263604653424</v>
      </c>
      <c r="BJ250" s="60">
        <f t="shared" si="257"/>
        <v>86.474513702410547</v>
      </c>
      <c r="BK250">
        <f t="shared" si="258"/>
        <v>-5.9713040006167919</v>
      </c>
      <c r="BL250" s="60">
        <f t="shared" si="259"/>
        <v>78.525013066087453</v>
      </c>
      <c r="BN250">
        <f t="shared" si="260"/>
        <v>0</v>
      </c>
      <c r="BO250">
        <f t="shared" si="261"/>
        <v>0</v>
      </c>
    </row>
    <row r="251" spans="13:67" ht="14.25" x14ac:dyDescent="0.2">
      <c r="M251" s="66">
        <v>33</v>
      </c>
      <c r="N251" s="36">
        <f t="shared" si="262"/>
        <v>2137.9620895022344</v>
      </c>
      <c r="O251" s="91" t="str">
        <f t="shared" si="210"/>
        <v>99.7340425531915</v>
      </c>
      <c r="P251" s="67" t="str">
        <f t="shared" si="211"/>
        <v>1+390.134773696i</v>
      </c>
      <c r="Q251" s="67">
        <f t="shared" si="222"/>
        <v>390.13605530228699</v>
      </c>
      <c r="R251" s="67">
        <f t="shared" si="223"/>
        <v>1.5682331156242844</v>
      </c>
      <c r="S251" s="67" t="str">
        <f t="shared" si="212"/>
        <v>1+0.733453374548481i</v>
      </c>
      <c r="T251" s="67">
        <f t="shared" si="224"/>
        <v>1.2401426743066921</v>
      </c>
      <c r="U251" s="67">
        <f t="shared" si="225"/>
        <v>0.63282689201748266</v>
      </c>
      <c r="V251" t="str">
        <f t="shared" si="213"/>
        <v>1-0.0757633156127002i</v>
      </c>
      <c r="W251" s="67">
        <f t="shared" si="226"/>
        <v>1.0028659332097336</v>
      </c>
      <c r="X251" s="67">
        <f t="shared" si="227"/>
        <v>-7.5618850335234702E-2</v>
      </c>
      <c r="Y251" t="str">
        <f t="shared" si="214"/>
        <v>0.99891813446245+0.117110053229306i</v>
      </c>
      <c r="Z251" s="67">
        <f t="shared" si="228"/>
        <v>1.0057595159506632</v>
      </c>
      <c r="AA251" s="67">
        <f t="shared" si="229"/>
        <v>0.11670415389089406</v>
      </c>
      <c r="AB251" s="92" t="str">
        <f t="shared" si="230"/>
        <v>0.135523241455084-0.285592972220748i</v>
      </c>
      <c r="AC251" s="37">
        <f t="shared" si="231"/>
        <v>-10.003045699768334</v>
      </c>
      <c r="AD251" s="60">
        <f t="shared" si="232"/>
        <v>-64.614125188374288</v>
      </c>
      <c r="AE251" t="str">
        <f t="shared" si="233"/>
        <v>118.329284003155</v>
      </c>
      <c r="AF251" t="str">
        <f t="shared" si="215"/>
        <v>1+312.1078189568i</v>
      </c>
      <c r="AG251">
        <f t="shared" si="234"/>
        <v>312.10942096317859</v>
      </c>
      <c r="AH251">
        <f t="shared" si="235"/>
        <v>1.567592316778593</v>
      </c>
      <c r="AI251" t="str">
        <f t="shared" si="216"/>
        <v>1+0.733453374548481i</v>
      </c>
      <c r="AJ251">
        <f t="shared" si="236"/>
        <v>1.2401426743066921</v>
      </c>
      <c r="AK251">
        <f t="shared" si="237"/>
        <v>0.63282689201748266</v>
      </c>
      <c r="AL251" t="str">
        <f t="shared" si="217"/>
        <v>1-0.0510842612006983i</v>
      </c>
      <c r="AM251">
        <f t="shared" si="238"/>
        <v>1.0013039507274608</v>
      </c>
      <c r="AN251">
        <f t="shared" si="239"/>
        <v>-5.1039894122570414E-2</v>
      </c>
      <c r="AO251" s="58" t="str">
        <f t="shared" si="240"/>
        <v>0.259963850485724-0.392501774400277i</v>
      </c>
      <c r="AP251">
        <f t="shared" si="241"/>
        <v>-6.5435411881910728</v>
      </c>
      <c r="AQ251" s="60">
        <f t="shared" si="242"/>
        <v>-56.482484193583225</v>
      </c>
      <c r="AR251" t="str">
        <f t="shared" si="218"/>
        <v>-1.94444444444444</v>
      </c>
      <c r="AS251" t="str">
        <f t="shared" si="219"/>
        <v>1+0.752259871331773i</v>
      </c>
      <c r="AT251">
        <f t="shared" si="243"/>
        <v>1.2513572287784553</v>
      </c>
      <c r="AU251">
        <f t="shared" si="244"/>
        <v>0.64494585826432149</v>
      </c>
      <c r="AV251" t="str">
        <f t="shared" si="220"/>
        <v>1+0.752259871331773i</v>
      </c>
      <c r="AW251">
        <f t="shared" si="245"/>
        <v>1.2513572287784553</v>
      </c>
      <c r="AX251">
        <f t="shared" si="246"/>
        <v>0.64494585826432149</v>
      </c>
      <c r="AY251" t="str">
        <f t="shared" si="221"/>
        <v>1-0.00282835713501686i</v>
      </c>
      <c r="AZ251">
        <f t="shared" si="247"/>
        <v>1.0000039997940424</v>
      </c>
      <c r="BA251">
        <f t="shared" si="248"/>
        <v>-2.8283495931406308E-3</v>
      </c>
      <c r="BB251" s="58" t="str">
        <f t="shared" si="249"/>
        <v>-1.23910443238419+0.937628124190045i</v>
      </c>
      <c r="BC251">
        <f t="shared" si="250"/>
        <v>3.8283193912739026</v>
      </c>
      <c r="BD251" s="60">
        <f t="shared" si="251"/>
        <v>142.88527181233741</v>
      </c>
      <c r="BE251" s="58" t="str">
        <f t="shared" si="252"/>
        <v>0.0998525536471322+0.480949920406189i</v>
      </c>
      <c r="BF251" s="37">
        <f t="shared" si="253"/>
        <v>-6.1747263084944262</v>
      </c>
      <c r="BG251" s="60">
        <f t="shared" si="254"/>
        <v>78.271146623963119</v>
      </c>
      <c r="BH251" s="58" t="str">
        <f t="shared" si="255"/>
        <v>0.0458983430756745+0.730100105866193i</v>
      </c>
      <c r="BI251" s="37">
        <f t="shared" si="256"/>
        <v>-2.715221796917175</v>
      </c>
      <c r="BJ251" s="60">
        <f t="shared" si="257"/>
        <v>86.402787618754175</v>
      </c>
      <c r="BK251">
        <f t="shared" si="258"/>
        <v>-6.1747263084944262</v>
      </c>
      <c r="BL251" s="60">
        <f t="shared" si="259"/>
        <v>78.271146623963119</v>
      </c>
      <c r="BN251">
        <f t="shared" si="260"/>
        <v>0</v>
      </c>
      <c r="BO251">
        <f t="shared" si="261"/>
        <v>0</v>
      </c>
    </row>
    <row r="252" spans="13:67" ht="14.25" x14ac:dyDescent="0.2">
      <c r="M252" s="66">
        <v>34</v>
      </c>
      <c r="N252" s="36">
        <f t="shared" si="262"/>
        <v>2187.7616239495528</v>
      </c>
      <c r="O252" s="91" t="str">
        <f t="shared" si="210"/>
        <v>99.7340425531915</v>
      </c>
      <c r="P252" s="67" t="str">
        <f t="shared" si="211"/>
        <v>1+399.222179968155i</v>
      </c>
      <c r="Q252" s="67">
        <f t="shared" si="222"/>
        <v>399.22343240161382</v>
      </c>
      <c r="R252" s="67">
        <f t="shared" si="223"/>
        <v>1.5682914611869079</v>
      </c>
      <c r="S252" s="67" t="str">
        <f t="shared" si="212"/>
        <v>1+0.750537698340132i</v>
      </c>
      <c r="T252" s="67">
        <f t="shared" si="224"/>
        <v>1.2503226929995723</v>
      </c>
      <c r="U252" s="67">
        <f t="shared" si="225"/>
        <v>0.6438451469228007</v>
      </c>
      <c r="V252" t="str">
        <f t="shared" si="213"/>
        <v>1-0.0775280699384312i</v>
      </c>
      <c r="W252" s="67">
        <f t="shared" si="226"/>
        <v>1.0030007984186147</v>
      </c>
      <c r="X252" s="67">
        <f t="shared" si="227"/>
        <v>-7.7373297606612157E-2</v>
      </c>
      <c r="Y252" t="str">
        <f t="shared" si="214"/>
        <v>0.998867147710479+0.119837896795175i</v>
      </c>
      <c r="Z252" s="67">
        <f t="shared" si="228"/>
        <v>1.0060301686746571</v>
      </c>
      <c r="AA252" s="67">
        <f t="shared" si="229"/>
        <v>0.11940310712904084</v>
      </c>
      <c r="AB252" s="92" t="str">
        <f t="shared" si="230"/>
        <v>0.13533529436139-0.280470632935636i</v>
      </c>
      <c r="AC252" s="37">
        <f t="shared" si="231"/>
        <v>-10.133204272526839</v>
      </c>
      <c r="AD252" s="60">
        <f t="shared" si="232"/>
        <v>-64.241329692868831</v>
      </c>
      <c r="AE252" t="str">
        <f t="shared" si="233"/>
        <v>118.329284003155</v>
      </c>
      <c r="AF252" t="str">
        <f t="shared" si="215"/>
        <v>1+319.377743974524i</v>
      </c>
      <c r="AG252">
        <f t="shared" si="234"/>
        <v>319.37930951496622</v>
      </c>
      <c r="AH252">
        <f t="shared" si="235"/>
        <v>1.5676652484684312</v>
      </c>
      <c r="AI252" t="str">
        <f t="shared" si="216"/>
        <v>1+0.750537698340132i</v>
      </c>
      <c r="AJ252">
        <f t="shared" si="236"/>
        <v>1.2503226929995723</v>
      </c>
      <c r="AK252">
        <f t="shared" si="237"/>
        <v>0.6438451469228007</v>
      </c>
      <c r="AL252" t="str">
        <f t="shared" si="217"/>
        <v>1-0.0522741665025142i</v>
      </c>
      <c r="AM252">
        <f t="shared" si="238"/>
        <v>1.0013653621348866</v>
      </c>
      <c r="AN252">
        <f t="shared" si="239"/>
        <v>-5.2226629821995899E-2</v>
      </c>
      <c r="AO252" s="58" t="str">
        <f t="shared" si="240"/>
        <v>0.259909298876376-0.384221745277636i</v>
      </c>
      <c r="AP252">
        <f t="shared" si="241"/>
        <v>-6.6719972520413231</v>
      </c>
      <c r="AQ252" s="60">
        <f t="shared" si="242"/>
        <v>-55.923358314904199</v>
      </c>
      <c r="AR252" t="str">
        <f t="shared" si="218"/>
        <v>-1.94444444444444</v>
      </c>
      <c r="AS252" t="str">
        <f t="shared" si="219"/>
        <v>1+0.769782254707825i</v>
      </c>
      <c r="AT252">
        <f t="shared" si="243"/>
        <v>1.2619685890160115</v>
      </c>
      <c r="AU252">
        <f t="shared" si="244"/>
        <v>0.65604200620004127</v>
      </c>
      <c r="AV252" t="str">
        <f t="shared" si="220"/>
        <v>1+0.769782254707825i</v>
      </c>
      <c r="AW252">
        <f t="shared" si="245"/>
        <v>1.2619685890160115</v>
      </c>
      <c r="AX252">
        <f t="shared" si="246"/>
        <v>0.65604200620004127</v>
      </c>
      <c r="AY252" t="str">
        <f t="shared" si="221"/>
        <v>1-0.00276397586649441i</v>
      </c>
      <c r="AZ252">
        <f t="shared" si="247"/>
        <v>1.000003819774</v>
      </c>
      <c r="BA252">
        <f t="shared" si="248"/>
        <v>-2.7639688280044626E-3</v>
      </c>
      <c r="BB252" s="58" t="str">
        <f t="shared" si="249"/>
        <v>-1.21835383180892+0.943241557199975i</v>
      </c>
      <c r="BC252">
        <f t="shared" si="250"/>
        <v>3.7549730579836189</v>
      </c>
      <c r="BD252" s="60">
        <f t="shared" si="251"/>
        <v>142.25319811289179</v>
      </c>
      <c r="BE252" s="58" t="str">
        <f t="shared" si="252"/>
        <v>0.0996652820948843+0.46936634414456i</v>
      </c>
      <c r="BF252" s="37">
        <f t="shared" si="253"/>
        <v>-6.378231214543213</v>
      </c>
      <c r="BG252" s="60">
        <f t="shared" si="254"/>
        <v>78.011868420022964</v>
      </c>
      <c r="BH252" s="58" t="str">
        <f t="shared" si="255"/>
        <v>0.045752427116967+0.713275287426225i</v>
      </c>
      <c r="BI252" s="37">
        <f t="shared" si="256"/>
        <v>-2.9170241940577051</v>
      </c>
      <c r="BJ252" s="60">
        <f t="shared" si="257"/>
        <v>86.329839797987589</v>
      </c>
      <c r="BK252">
        <f t="shared" si="258"/>
        <v>-6.378231214543213</v>
      </c>
      <c r="BL252" s="60">
        <f t="shared" si="259"/>
        <v>78.011868420022964</v>
      </c>
      <c r="BN252">
        <f t="shared" si="260"/>
        <v>0</v>
      </c>
      <c r="BO252">
        <f t="shared" si="261"/>
        <v>0</v>
      </c>
    </row>
    <row r="253" spans="13:67" ht="14.25" x14ac:dyDescent="0.2">
      <c r="M253" s="66">
        <v>35</v>
      </c>
      <c r="N253" s="36">
        <f t="shared" si="262"/>
        <v>2238.7211385683418</v>
      </c>
      <c r="O253" s="91" t="str">
        <f t="shared" si="210"/>
        <v>99.7340425531915</v>
      </c>
      <c r="P253" s="67" t="str">
        <f t="shared" si="211"/>
        <v>1+408.52125912446i</v>
      </c>
      <c r="Q253" s="67">
        <f t="shared" si="222"/>
        <v>408.52248304913911</v>
      </c>
      <c r="R253" s="67">
        <f t="shared" si="223"/>
        <v>1.5683484786588602</v>
      </c>
      <c r="S253" s="67" t="str">
        <f t="shared" si="212"/>
        <v>1+0.768019967153986i</v>
      </c>
      <c r="T253" s="67">
        <f t="shared" si="224"/>
        <v>1.2608943928605638</v>
      </c>
      <c r="U253" s="67">
        <f t="shared" si="225"/>
        <v>0.65493449123275638</v>
      </c>
      <c r="V253" t="str">
        <f t="shared" si="213"/>
        <v>1-0.079333930673049i</v>
      </c>
      <c r="W253" s="67">
        <f t="shared" si="226"/>
        <v>1.0031420001954041</v>
      </c>
      <c r="X253" s="67">
        <f t="shared" si="227"/>
        <v>-7.9168117173171404E-2</v>
      </c>
      <c r="Y253" t="str">
        <f t="shared" si="214"/>
        <v>0.998813758026918+0.122629280000167i</v>
      </c>
      <c r="Z253" s="67">
        <f t="shared" si="228"/>
        <v>1.0063135016172713</v>
      </c>
      <c r="AA253" s="67">
        <f t="shared" si="229"/>
        <v>0.12216355066670026</v>
      </c>
      <c r="AB253" s="92" t="str">
        <f t="shared" si="230"/>
        <v>0.135141384952416-0.275495373081879i</v>
      </c>
      <c r="AC253" s="37">
        <f t="shared" si="231"/>
        <v>-10.261294244033339</v>
      </c>
      <c r="AD253" s="60">
        <f t="shared" si="232"/>
        <v>-63.87022127728585</v>
      </c>
      <c r="AE253" t="str">
        <f t="shared" si="233"/>
        <v>118.329284003155</v>
      </c>
      <c r="AF253" t="str">
        <f t="shared" si="215"/>
        <v>1+326.817007299568i</v>
      </c>
      <c r="AG253">
        <f t="shared" si="234"/>
        <v>326.81853720412784</v>
      </c>
      <c r="AH253">
        <f t="shared" si="235"/>
        <v>1.5677365200625142</v>
      </c>
      <c r="AI253" t="str">
        <f t="shared" si="216"/>
        <v>1+0.768019967153986i</v>
      </c>
      <c r="AJ253">
        <f t="shared" si="236"/>
        <v>1.2608943928605638</v>
      </c>
      <c r="AK253">
        <f t="shared" si="237"/>
        <v>0.65493449123275638</v>
      </c>
      <c r="AL253" t="str">
        <f t="shared" si="217"/>
        <v>1-0.0534917882593403i</v>
      </c>
      <c r="AM253">
        <f t="shared" si="238"/>
        <v>1.0014296637363915</v>
      </c>
      <c r="AN253">
        <f t="shared" si="239"/>
        <v>-5.3440855715056815E-2</v>
      </c>
      <c r="AO253" s="58" t="str">
        <f t="shared" si="240"/>
        <v>0.259857202446836-0.37614542023112i</v>
      </c>
      <c r="AP253">
        <f t="shared" si="241"/>
        <v>-6.7983056011800631</v>
      </c>
      <c r="AQ253" s="60">
        <f t="shared" si="242"/>
        <v>-55.361639268964389</v>
      </c>
      <c r="AR253" t="str">
        <f t="shared" si="218"/>
        <v>-1.94444444444444</v>
      </c>
      <c r="AS253" t="str">
        <f t="shared" si="219"/>
        <v>1+0.787712786824598i</v>
      </c>
      <c r="AT253">
        <f t="shared" si="243"/>
        <v>1.2729852452118109</v>
      </c>
      <c r="AU253">
        <f t="shared" si="244"/>
        <v>0.66720370453278111</v>
      </c>
      <c r="AV253" t="str">
        <f t="shared" si="220"/>
        <v>1+0.787712786824598i</v>
      </c>
      <c r="AW253">
        <f t="shared" si="245"/>
        <v>1.2729852452118109</v>
      </c>
      <c r="AX253">
        <f t="shared" si="246"/>
        <v>0.66720370453278111</v>
      </c>
      <c r="AY253" t="str">
        <f t="shared" si="221"/>
        <v>1-0.00270106009456192i</v>
      </c>
      <c r="AZ253">
        <f t="shared" si="247"/>
        <v>1.0000036478561638</v>
      </c>
      <c r="BA253">
        <f t="shared" si="248"/>
        <v>-2.70105352585955E-3</v>
      </c>
      <c r="BB253" s="58" t="str">
        <f t="shared" si="249"/>
        <v>-1.19735734929792+0.948425755735357i</v>
      </c>
      <c r="BC253">
        <f t="shared" si="250"/>
        <v>3.6794750716292102</v>
      </c>
      <c r="BD253" s="60">
        <f t="shared" si="251"/>
        <v>141.61728468750744</v>
      </c>
      <c r="BE253" s="58" t="str">
        <f t="shared" si="252"/>
        <v>0.0994743769497006+0.458037979811778i</v>
      </c>
      <c r="BF253" s="37">
        <f t="shared" si="253"/>
        <v>-6.5818191724041286</v>
      </c>
      <c r="BG253" s="60">
        <f t="shared" si="254"/>
        <v>77.7470634102216</v>
      </c>
      <c r="BH253" s="58" t="str">
        <f t="shared" si="255"/>
        <v>0.0456040733313769+0.696835746932402i</v>
      </c>
      <c r="BI253" s="37">
        <f t="shared" si="256"/>
        <v>-3.1188305295508534</v>
      </c>
      <c r="BJ253" s="60">
        <f t="shared" si="257"/>
        <v>86.255645418543068</v>
      </c>
      <c r="BK253">
        <f t="shared" si="258"/>
        <v>-6.5818191724041286</v>
      </c>
      <c r="BL253" s="60">
        <f t="shared" si="259"/>
        <v>77.7470634102216</v>
      </c>
      <c r="BN253">
        <f t="shared" si="260"/>
        <v>0</v>
      </c>
      <c r="BO253">
        <f t="shared" si="261"/>
        <v>0</v>
      </c>
    </row>
    <row r="254" spans="13:67" ht="14.25" x14ac:dyDescent="0.2">
      <c r="M254" s="66">
        <v>36</v>
      </c>
      <c r="N254" s="36">
        <f t="shared" si="262"/>
        <v>2290.8676527677749</v>
      </c>
      <c r="O254" s="91" t="str">
        <f t="shared" si="210"/>
        <v>99.7340425531915</v>
      </c>
      <c r="P254" s="67" t="str">
        <f t="shared" si="211"/>
        <v>1+418.03694165977i</v>
      </c>
      <c r="Q254" s="67">
        <f t="shared" si="222"/>
        <v>418.03813772460279</v>
      </c>
      <c r="R254" s="67">
        <f t="shared" si="223"/>
        <v>1.5684041982700763</v>
      </c>
      <c r="S254" s="67" t="str">
        <f t="shared" si="212"/>
        <v>1+0.785909450320368i</v>
      </c>
      <c r="T254" s="67">
        <f t="shared" si="224"/>
        <v>1.2718701443554932</v>
      </c>
      <c r="U254" s="67">
        <f t="shared" si="225"/>
        <v>0.66608989553741704</v>
      </c>
      <c r="V254" t="str">
        <f t="shared" si="213"/>
        <v>1-0.0811818553078182i</v>
      </c>
      <c r="W254" s="67">
        <f t="shared" si="226"/>
        <v>1.0032898353074347</v>
      </c>
      <c r="X254" s="67">
        <f t="shared" si="227"/>
        <v>-8.1004214391848323E-2</v>
      </c>
      <c r="Y254" t="str">
        <f t="shared" si="214"/>
        <v>0.998757852165089+0.125485682872605i</v>
      </c>
      <c r="Z254" s="67">
        <f t="shared" si="228"/>
        <v>1.006610105188412</v>
      </c>
      <c r="AA254" s="67">
        <f t="shared" si="229"/>
        <v>0.12498682000295937</v>
      </c>
      <c r="AB254" s="92" t="str">
        <f t="shared" si="230"/>
        <v>0.134941127330513-0.27066444197946i</v>
      </c>
      <c r="AC254" s="37">
        <f t="shared" si="231"/>
        <v>-10.387291646029785</v>
      </c>
      <c r="AD254" s="60">
        <f t="shared" si="232"/>
        <v>-63.501218229227618</v>
      </c>
      <c r="AE254" t="str">
        <f t="shared" si="233"/>
        <v>118.329284003155</v>
      </c>
      <c r="AF254" t="str">
        <f t="shared" si="215"/>
        <v>1+334.429553327816i</v>
      </c>
      <c r="AG254">
        <f t="shared" si="234"/>
        <v>334.43104840765386</v>
      </c>
      <c r="AH254">
        <f t="shared" si="235"/>
        <v>1.5678061693470864</v>
      </c>
      <c r="AI254" t="str">
        <f t="shared" si="216"/>
        <v>1+0.785909450320368i</v>
      </c>
      <c r="AJ254">
        <f t="shared" si="236"/>
        <v>1.2718701443554932</v>
      </c>
      <c r="AK254">
        <f t="shared" si="237"/>
        <v>0.66608989553741704</v>
      </c>
      <c r="AL254" t="str">
        <f t="shared" si="217"/>
        <v>1-0.0547377720703488i</v>
      </c>
      <c r="AM254">
        <f t="shared" si="238"/>
        <v>1.0014969913540557</v>
      </c>
      <c r="AN254">
        <f t="shared" si="239"/>
        <v>-5.4683201270773064E-2</v>
      </c>
      <c r="AO254" s="58" t="str">
        <f t="shared" si="240"/>
        <v>0.25980745069995-0.368268518112748i</v>
      </c>
      <c r="AP254">
        <f t="shared" si="241"/>
        <v>-6.9224386363738235</v>
      </c>
      <c r="AQ254" s="60">
        <f t="shared" si="242"/>
        <v>-54.797653450636659</v>
      </c>
      <c r="AR254" t="str">
        <f t="shared" si="218"/>
        <v>-1.94444444444444</v>
      </c>
      <c r="AS254" t="str">
        <f t="shared" si="219"/>
        <v>1+0.806060974687554i</v>
      </c>
      <c r="AT254">
        <f t="shared" si="243"/>
        <v>1.2844198281380779</v>
      </c>
      <c r="AU254">
        <f t="shared" si="244"/>
        <v>0.67842574737439765</v>
      </c>
      <c r="AV254" t="str">
        <f t="shared" si="220"/>
        <v>1+0.806060974687554i</v>
      </c>
      <c r="AW254">
        <f t="shared" si="245"/>
        <v>1.2844198281380779</v>
      </c>
      <c r="AX254">
        <f t="shared" si="246"/>
        <v>0.67842574737439765</v>
      </c>
      <c r="AY254" t="str">
        <f t="shared" si="221"/>
        <v>1-0.00263957646044433i</v>
      </c>
      <c r="AZ254">
        <f t="shared" si="247"/>
        <v>1.0000034836758773</v>
      </c>
      <c r="BA254">
        <f t="shared" si="248"/>
        <v>-2.6395703301733847E-3</v>
      </c>
      <c r="BB254" s="58" t="str">
        <f t="shared" si="249"/>
        <v>-1.17613323223426+0.953167609321364i</v>
      </c>
      <c r="BC254">
        <f t="shared" si="250"/>
        <v>3.6018010169943482</v>
      </c>
      <c r="BD254" s="60">
        <f t="shared" si="251"/>
        <v>140.97783172279168</v>
      </c>
      <c r="BE254" s="58" t="str">
        <f t="shared" si="252"/>
        <v>0.0992798348412919+0.446958956732939i</v>
      </c>
      <c r="BF254" s="37">
        <f t="shared" si="253"/>
        <v>-6.7854906290354444</v>
      </c>
      <c r="BG254" s="60">
        <f t="shared" si="254"/>
        <v>77.476613493564031</v>
      </c>
      <c r="BH254" s="58" t="str">
        <f t="shared" si="255"/>
        <v>0.0454534462475742+0.680772889205617i</v>
      </c>
      <c r="BI254" s="37">
        <f t="shared" si="256"/>
        <v>-3.3206376193794718</v>
      </c>
      <c r="BJ254" s="60">
        <f t="shared" si="257"/>
        <v>86.180178272155018</v>
      </c>
      <c r="BK254">
        <f t="shared" si="258"/>
        <v>-6.7854906290354444</v>
      </c>
      <c r="BL254" s="60">
        <f t="shared" si="259"/>
        <v>77.476613493564031</v>
      </c>
      <c r="BN254">
        <f t="shared" si="260"/>
        <v>0</v>
      </c>
      <c r="BO254">
        <f t="shared" si="261"/>
        <v>0</v>
      </c>
    </row>
    <row r="255" spans="13:67" ht="14.25" x14ac:dyDescent="0.2">
      <c r="M255" s="66">
        <v>37</v>
      </c>
      <c r="N255" s="36">
        <f t="shared" si="262"/>
        <v>2344.2288153199238</v>
      </c>
      <c r="O255" s="91" t="str">
        <f t="shared" si="210"/>
        <v>99.7340425531915</v>
      </c>
      <c r="P255" s="67" t="str">
        <f t="shared" si="211"/>
        <v>1+427.774272914922i</v>
      </c>
      <c r="Q255" s="67">
        <f t="shared" si="222"/>
        <v>427.77544175407053</v>
      </c>
      <c r="R255" s="67">
        <f t="shared" si="223"/>
        <v>1.5684586495624466</v>
      </c>
      <c r="S255" s="67" t="str">
        <f t="shared" si="212"/>
        <v>1+0.804215633080053i</v>
      </c>
      <c r="T255" s="67">
        <f t="shared" si="224"/>
        <v>1.2832625547760483</v>
      </c>
      <c r="U255" s="67">
        <f t="shared" si="225"/>
        <v>0.67730616941132038</v>
      </c>
      <c r="V255" t="str">
        <f t="shared" si="213"/>
        <v>1-0.0830728236368406i</v>
      </c>
      <c r="W255" s="67">
        <f t="shared" si="226"/>
        <v>1.003444614329559</v>
      </c>
      <c r="X255" s="67">
        <f t="shared" si="227"/>
        <v>-8.2882513238492495E-2</v>
      </c>
      <c r="Y255" t="str">
        <f t="shared" si="214"/>
        <v>0.998699311541165+0.128408619915102i</v>
      </c>
      <c r="Z255" s="67">
        <f t="shared" si="228"/>
        <v>1.0069205969396484</v>
      </c>
      <c r="AA255" s="67">
        <f t="shared" si="229"/>
        <v>0.1278742750195962</v>
      </c>
      <c r="AB255" s="92" t="str">
        <f t="shared" si="230"/>
        <v>0.134734124520105-0.265975157697614i</v>
      </c>
      <c r="AC255" s="37">
        <f t="shared" si="231"/>
        <v>-10.511174440518134</v>
      </c>
      <c r="AD255" s="60">
        <f t="shared" si="232"/>
        <v>-63.134750486196175</v>
      </c>
      <c r="AE255" t="str">
        <f t="shared" si="233"/>
        <v>118.329284003155</v>
      </c>
      <c r="AF255" t="str">
        <f t="shared" si="215"/>
        <v>1+342.219418331937i</v>
      </c>
      <c r="AG255">
        <f t="shared" si="234"/>
        <v>342.22087937974982</v>
      </c>
      <c r="AH255">
        <f t="shared" si="235"/>
        <v>1.5678742332484159</v>
      </c>
      <c r="AI255" t="str">
        <f t="shared" si="216"/>
        <v>1+0.804215633080053i</v>
      </c>
      <c r="AJ255">
        <f t="shared" si="236"/>
        <v>1.2832625547760483</v>
      </c>
      <c r="AK255">
        <f t="shared" si="237"/>
        <v>0.67730616941132038</v>
      </c>
      <c r="AL255" t="str">
        <f t="shared" si="217"/>
        <v>1-0.0560127785726491i</v>
      </c>
      <c r="AM255">
        <f t="shared" si="238"/>
        <v>1.0015674871736946</v>
      </c>
      <c r="AN255">
        <f t="shared" si="239"/>
        <v>-5.5954309848796235E-2</v>
      </c>
      <c r="AO255" s="58" t="str">
        <f t="shared" si="240"/>
        <v>0.259759938111392-0.360586863442709i</v>
      </c>
      <c r="AP255">
        <f t="shared" si="241"/>
        <v>-7.0443705271505479</v>
      </c>
      <c r="AQ255" s="60">
        <f t="shared" si="242"/>
        <v>-54.231737226906183</v>
      </c>
      <c r="AR255" t="str">
        <f t="shared" si="218"/>
        <v>-1.94444444444444</v>
      </c>
      <c r="AS255" t="str">
        <f t="shared" si="219"/>
        <v>1+0.824836546748769i</v>
      </c>
      <c r="AT255">
        <f t="shared" si="243"/>
        <v>1.2962852035151964</v>
      </c>
      <c r="AU255">
        <f t="shared" si="244"/>
        <v>0.68970277950976144</v>
      </c>
      <c r="AV255" t="str">
        <f t="shared" si="220"/>
        <v>1+0.824836546748769i</v>
      </c>
      <c r="AW255">
        <f t="shared" si="245"/>
        <v>1.2962852035151964</v>
      </c>
      <c r="AX255">
        <f t="shared" si="246"/>
        <v>0.68970277950976144</v>
      </c>
      <c r="AY255" t="str">
        <f t="shared" si="221"/>
        <v>1-0.00257949236470499i</v>
      </c>
      <c r="AZ255">
        <f t="shared" si="247"/>
        <v>1.0000033268848958</v>
      </c>
      <c r="BA255">
        <f t="shared" si="248"/>
        <v>-2.5794866436021887E-3</v>
      </c>
      <c r="BB255" s="58" t="str">
        <f t="shared" si="249"/>
        <v>-1.15470061319131+0.957454945911446i</v>
      </c>
      <c r="BC255">
        <f t="shared" si="250"/>
        <v>3.5219284060001637</v>
      </c>
      <c r="BD255" s="60">
        <f t="shared" si="251"/>
        <v>140.33514791765984</v>
      </c>
      <c r="BE255" s="58" t="str">
        <f t="shared" si="252"/>
        <v>0.0990816540259978+0.436123531591913i</v>
      </c>
      <c r="BF255" s="37">
        <f t="shared" si="253"/>
        <v>-6.9892460345179774</v>
      </c>
      <c r="BG255" s="60">
        <f t="shared" si="254"/>
        <v>77.200397431463657</v>
      </c>
      <c r="BH255" s="58" t="str">
        <f t="shared" si="255"/>
        <v>0.0453007160141559+0.665078309820431i</v>
      </c>
      <c r="BI255" s="37">
        <f t="shared" si="256"/>
        <v>-3.5224421211503785</v>
      </c>
      <c r="BJ255" s="60">
        <f t="shared" si="257"/>
        <v>86.103410690753662</v>
      </c>
      <c r="BK255">
        <f t="shared" si="258"/>
        <v>-6.9892460345179774</v>
      </c>
      <c r="BL255" s="60">
        <f t="shared" si="259"/>
        <v>77.200397431463657</v>
      </c>
      <c r="BN255">
        <f t="shared" si="260"/>
        <v>0</v>
      </c>
      <c r="BO255">
        <f t="shared" si="261"/>
        <v>0</v>
      </c>
    </row>
    <row r="256" spans="13:67" ht="14.25" x14ac:dyDescent="0.2">
      <c r="M256" s="66">
        <v>38</v>
      </c>
      <c r="N256" s="36">
        <f t="shared" si="262"/>
        <v>2398.8329190194918</v>
      </c>
      <c r="O256" s="91" t="str">
        <f t="shared" si="210"/>
        <v>99.7340425531915</v>
      </c>
      <c r="P256" s="67" t="str">
        <f t="shared" si="211"/>
        <v>1+437.738415751833i</v>
      </c>
      <c r="Q256" s="67">
        <f t="shared" si="222"/>
        <v>437.73955798502442</v>
      </c>
      <c r="R256" s="67">
        <f t="shared" si="223"/>
        <v>1.5685118614054749</v>
      </c>
      <c r="S256" s="67" t="str">
        <f t="shared" si="212"/>
        <v>1+0.822948221613446i</v>
      </c>
      <c r="T256" s="67">
        <f t="shared" si="224"/>
        <v>1.2950844665336441</v>
      </c>
      <c r="U256" s="67">
        <f t="shared" si="225"/>
        <v>0.68857797199957449</v>
      </c>
      <c r="V256" t="str">
        <f t="shared" si="213"/>
        <v>1-0.0850078382765537i</v>
      </c>
      <c r="W256" s="67">
        <f t="shared" si="226"/>
        <v>1.0036066622778332</v>
      </c>
      <c r="X256" s="67">
        <f t="shared" si="227"/>
        <v>-8.4803956569288741E-2</v>
      </c>
      <c r="Y256" t="str">
        <f t="shared" si="214"/>
        <v>0.998638011982634+0.131399640907566i</v>
      </c>
      <c r="Z256" s="67">
        <f t="shared" si="228"/>
        <v>1.0072456227789053</v>
      </c>
      <c r="AA256" s="67">
        <f t="shared" si="229"/>
        <v>0.13082730009160984</v>
      </c>
      <c r="AB256" s="92" t="str">
        <f t="shared" si="230"/>
        <v>0.134519967846814-0.261424905121977i</v>
      </c>
      <c r="AC256" s="37">
        <f t="shared" si="231"/>
        <v>-10.632922618634211</v>
      </c>
      <c r="AD256" s="60">
        <f t="shared" si="232"/>
        <v>-62.771259051261104</v>
      </c>
      <c r="AE256" t="str">
        <f t="shared" si="233"/>
        <v>118.329284003155</v>
      </c>
      <c r="AF256" t="str">
        <f t="shared" si="215"/>
        <v>1+350.190732601466i</v>
      </c>
      <c r="AG256">
        <f t="shared" si="234"/>
        <v>350.19216039190746</v>
      </c>
      <c r="AH256">
        <f t="shared" si="235"/>
        <v>1.5679407478523602</v>
      </c>
      <c r="AI256" t="str">
        <f t="shared" si="216"/>
        <v>1+0.822948221613446i</v>
      </c>
      <c r="AJ256">
        <f t="shared" si="236"/>
        <v>1.2950844665336441</v>
      </c>
      <c r="AK256">
        <f t="shared" si="237"/>
        <v>0.68857797199957449</v>
      </c>
      <c r="AL256" t="str">
        <f t="shared" si="217"/>
        <v>1-0.0573174837915653i</v>
      </c>
      <c r="AM256">
        <f t="shared" si="238"/>
        <v>1.0016413000411857</v>
      </c>
      <c r="AN256">
        <f t="shared" si="239"/>
        <v>-5.7254838968399058E-2</v>
      </c>
      <c r="AO256" s="58" t="str">
        <f t="shared" si="240"/>
        <v>0.25971456390588-0.353096384200033i</v>
      </c>
      <c r="AP256">
        <f t="shared" si="241"/>
        <v>-7.1640773039412089</v>
      </c>
      <c r="AQ256" s="60">
        <f t="shared" si="242"/>
        <v>-53.664236346863653</v>
      </c>
      <c r="AR256" t="str">
        <f t="shared" si="218"/>
        <v>-1.94444444444444</v>
      </c>
      <c r="AS256" t="str">
        <f t="shared" si="219"/>
        <v>1+0.84404945806507i</v>
      </c>
      <c r="AT256">
        <f t="shared" si="243"/>
        <v>1.3085944702847931</v>
      </c>
      <c r="AU256">
        <f t="shared" si="244"/>
        <v>0.7010293079433797</v>
      </c>
      <c r="AV256" t="str">
        <f t="shared" si="220"/>
        <v>1+0.84404945806507i</v>
      </c>
      <c r="AW256">
        <f t="shared" si="245"/>
        <v>1.3085944702847931</v>
      </c>
      <c r="AX256">
        <f t="shared" si="246"/>
        <v>0.7010293079433797</v>
      </c>
      <c r="AY256" t="str">
        <f t="shared" si="221"/>
        <v>1-0.00252077594996104i</v>
      </c>
      <c r="AZ256">
        <f t="shared" si="247"/>
        <v>1.0000031771506479</v>
      </c>
      <c r="BA256">
        <f t="shared" si="248"/>
        <v>-2.520770610716286E-3</v>
      </c>
      <c r="BB256" s="58" t="str">
        <f t="shared" si="249"/>
        <v>-1.13307944845727+0.961276603206615i</v>
      </c>
      <c r="BC256">
        <f t="shared" si="250"/>
        <v>3.439836765832248</v>
      </c>
      <c r="BD256" s="60">
        <f t="shared" si="251"/>
        <v>139.68954982275284</v>
      </c>
      <c r="BE256" s="58" t="str">
        <f t="shared" si="252"/>
        <v>0.098879833814908+0.425526085063852i</v>
      </c>
      <c r="BF256" s="37">
        <f t="shared" si="253"/>
        <v>-7.1930858528019677</v>
      </c>
      <c r="BG256" s="60">
        <f t="shared" si="254"/>
        <v>76.918290771491755</v>
      </c>
      <c r="BH256" s="58" t="str">
        <f t="shared" si="255"/>
        <v>0.0451460579815507+0.649743790056361i</v>
      </c>
      <c r="BI256" s="37">
        <f t="shared" si="256"/>
        <v>-3.7242405381089663</v>
      </c>
      <c r="BJ256" s="60">
        <f t="shared" si="257"/>
        <v>86.025313475889206</v>
      </c>
      <c r="BK256">
        <f t="shared" si="258"/>
        <v>-7.1930858528019677</v>
      </c>
      <c r="BL256" s="60">
        <f t="shared" si="259"/>
        <v>76.918290771491755</v>
      </c>
      <c r="BN256">
        <f t="shared" si="260"/>
        <v>0</v>
      </c>
      <c r="BO256">
        <f t="shared" si="261"/>
        <v>0</v>
      </c>
    </row>
    <row r="257" spans="13:67" ht="14.25" x14ac:dyDescent="0.2">
      <c r="M257" s="66">
        <v>39</v>
      </c>
      <c r="N257" s="36">
        <f t="shared" si="262"/>
        <v>2454.7089156850338</v>
      </c>
      <c r="O257" s="91" t="str">
        <f t="shared" si="210"/>
        <v>99.7340425531915</v>
      </c>
      <c r="P257" s="67" t="str">
        <f t="shared" si="211"/>
        <v>1+447.934653290929i</v>
      </c>
      <c r="Q257" s="67">
        <f t="shared" si="222"/>
        <v>447.9357695237843</v>
      </c>
      <c r="R257" s="67">
        <f t="shared" si="223"/>
        <v>1.5685638620115785</v>
      </c>
      <c r="S257" s="67" t="str">
        <f t="shared" si="212"/>
        <v>1+0.842117148186946i</v>
      </c>
      <c r="T257" s="67">
        <f t="shared" si="224"/>
        <v>1.3073489554325253</v>
      </c>
      <c r="U257" s="67">
        <f t="shared" si="225"/>
        <v>0.69989982347996194</v>
      </c>
      <c r="V257" t="str">
        <f t="shared" si="213"/>
        <v>1-0.0869879251973329i</v>
      </c>
      <c r="W257" s="67">
        <f t="shared" si="226"/>
        <v>1.0037763192714484</v>
      </c>
      <c r="X257" s="67">
        <f t="shared" si="227"/>
        <v>-8.6769506376473168E-2</v>
      </c>
      <c r="Y257" t="str">
        <f t="shared" si="214"/>
        <v>0.998573823464913+0.13446033172892i</v>
      </c>
      <c r="Z257" s="67">
        <f t="shared" si="228"/>
        <v>1.0075858582364019</v>
      </c>
      <c r="AA257" s="67">
        <f t="shared" si="229"/>
        <v>0.13384730417040305</v>
      </c>
      <c r="AB257" s="92" t="str">
        <f t="shared" si="230"/>
        <v>0.134298236311776-0.257011134025174i</v>
      </c>
      <c r="AC257" s="37">
        <f t="shared" si="231"/>
        <v>-10.752518293742785</v>
      </c>
      <c r="AD257" s="60">
        <f t="shared" si="232"/>
        <v>-62.411195356624326</v>
      </c>
      <c r="AE257" t="str">
        <f t="shared" si="233"/>
        <v>118.329284003155</v>
      </c>
      <c r="AF257" t="str">
        <f t="shared" si="215"/>
        <v>1+358.347722632743i</v>
      </c>
      <c r="AG257">
        <f t="shared" si="234"/>
        <v>358.34911792283418</v>
      </c>
      <c r="AH257">
        <f t="shared" si="235"/>
        <v>1.5680057484234871</v>
      </c>
      <c r="AI257" t="str">
        <f t="shared" si="216"/>
        <v>1+0.842117148186946i</v>
      </c>
      <c r="AJ257">
        <f t="shared" si="236"/>
        <v>1.3073489554325253</v>
      </c>
      <c r="AK257">
        <f t="shared" si="237"/>
        <v>0.69989982347996194</v>
      </c>
      <c r="AL257" t="str">
        <f t="shared" si="217"/>
        <v>1-0.0586525794990744i</v>
      </c>
      <c r="AM257">
        <f t="shared" si="238"/>
        <v>1.0017185857724189</v>
      </c>
      <c r="AN257">
        <f t="shared" si="239"/>
        <v>-5.8585460579904741E-2</v>
      </c>
      <c r="AO257" s="58" t="str">
        <f t="shared" si="240"/>
        <v>0.259671231843464-0.345793109667822i</v>
      </c>
      <c r="AP257">
        <f t="shared" si="241"/>
        <v>-7.2815369442066755</v>
      </c>
      <c r="AQ257" s="60">
        <f t="shared" si="242"/>
        <v>-53.095505301623106</v>
      </c>
      <c r="AR257" t="str">
        <f t="shared" si="218"/>
        <v>-1.94444444444444</v>
      </c>
      <c r="AS257" t="str">
        <f t="shared" si="219"/>
        <v>1+0.863709895576352i</v>
      </c>
      <c r="AT257">
        <f t="shared" si="243"/>
        <v>1.3213609589043083</v>
      </c>
      <c r="AU257">
        <f t="shared" si="244"/>
        <v>0.71239971426525905</v>
      </c>
      <c r="AV257" t="str">
        <f t="shared" si="220"/>
        <v>1+0.863709895576352i</v>
      </c>
      <c r="AW257">
        <f t="shared" si="245"/>
        <v>1.3213609589043083</v>
      </c>
      <c r="AX257">
        <f t="shared" si="246"/>
        <v>0.71239971426525905</v>
      </c>
      <c r="AY257" t="str">
        <f t="shared" si="221"/>
        <v>1-0.00246339608399218i</v>
      </c>
      <c r="AZ257">
        <f t="shared" si="247"/>
        <v>1.0000030341555304</v>
      </c>
      <c r="BA257">
        <f t="shared" si="248"/>
        <v>-2.4633911011181955E-3</v>
      </c>
      <c r="BB257" s="58" t="str">
        <f t="shared" si="249"/>
        <v>-1.1112904498346+0.964622495211628i</v>
      </c>
      <c r="BC257">
        <f t="shared" si="250"/>
        <v>3.3555077203808157</v>
      </c>
      <c r="BD257" s="60">
        <f t="shared" si="251"/>
        <v>139.04136113289061</v>
      </c>
      <c r="BE257" s="58" t="str">
        <f t="shared" si="252"/>
        <v>0.0986743739576265+0.415161118556923i</v>
      </c>
      <c r="BF257" s="37">
        <f t="shared" si="253"/>
        <v>-7.3970105733619604</v>
      </c>
      <c r="BG257" s="60">
        <f t="shared" si="254"/>
        <v>76.630165776266296</v>
      </c>
      <c r="BH257" s="58" t="str">
        <f t="shared" si="255"/>
        <v>0.0449896522303348+0.634761291987978i</v>
      </c>
      <c r="BI257" s="37">
        <f t="shared" si="256"/>
        <v>-3.9260292238258647</v>
      </c>
      <c r="BJ257" s="60">
        <f t="shared" si="257"/>
        <v>85.945855831267508</v>
      </c>
      <c r="BK257">
        <f t="shared" si="258"/>
        <v>-7.3970105733619604</v>
      </c>
      <c r="BL257" s="60">
        <f t="shared" si="259"/>
        <v>76.630165776266296</v>
      </c>
      <c r="BN257">
        <f t="shared" si="260"/>
        <v>0</v>
      </c>
      <c r="BO257">
        <f t="shared" si="261"/>
        <v>0</v>
      </c>
    </row>
    <row r="258" spans="13:67" ht="14.25" x14ac:dyDescent="0.2">
      <c r="M258" s="66">
        <v>40</v>
      </c>
      <c r="N258" s="36">
        <f t="shared" si="262"/>
        <v>2511.8864315095811</v>
      </c>
      <c r="O258" s="91" t="str">
        <f t="shared" si="210"/>
        <v>99.7340425531915</v>
      </c>
      <c r="P258" s="67" t="str">
        <f t="shared" si="211"/>
        <v>1+458.368391712319i</v>
      </c>
      <c r="Q258" s="67">
        <f t="shared" si="222"/>
        <v>458.36948253667356</v>
      </c>
      <c r="R258" s="67">
        <f t="shared" si="223"/>
        <v>1.5686146789510418</v>
      </c>
      <c r="S258" s="67" t="str">
        <f t="shared" si="212"/>
        <v>1+0.861732576419159i</v>
      </c>
      <c r="T258" s="67">
        <f t="shared" si="224"/>
        <v>1.3200693289604155</v>
      </c>
      <c r="U258" s="67">
        <f t="shared" si="225"/>
        <v>0.71126611734983203</v>
      </c>
      <c r="V258" t="str">
        <f t="shared" si="213"/>
        <v>1-0.0890141342674735i</v>
      </c>
      <c r="W258" s="67">
        <f t="shared" si="226"/>
        <v>1.0039539412240921</v>
      </c>
      <c r="X258" s="67">
        <f t="shared" si="227"/>
        <v>-8.8780144037423347E-2</v>
      </c>
      <c r="Y258" t="str">
        <f t="shared" si="214"/>
        <v>0.99850660983555+0.13759231519795i</v>
      </c>
      <c r="Z258" s="67">
        <f t="shared" si="228"/>
        <v>1.0079420097837055</v>
      </c>
      <c r="AA258" s="67">
        <f t="shared" si="229"/>
        <v>0.13693572083714081</v>
      </c>
      <c r="AB258" s="92" t="str">
        <f t="shared" si="230"/>
        <v>0.134068495961574-0.25273135713809i</v>
      </c>
      <c r="AC258" s="37">
        <f t="shared" si="231"/>
        <v>-10.869945788038155</v>
      </c>
      <c r="AD258" s="60">
        <f t="shared" si="232"/>
        <v>-62.055020577819036</v>
      </c>
      <c r="AE258" t="str">
        <f t="shared" si="233"/>
        <v>118.329284003155</v>
      </c>
      <c r="AF258" t="str">
        <f t="shared" si="215"/>
        <v>1+366.694713369855i</v>
      </c>
      <c r="AG258">
        <f t="shared" si="234"/>
        <v>366.69607689938562</v>
      </c>
      <c r="AH258">
        <f t="shared" si="235"/>
        <v>1.5680692694237617</v>
      </c>
      <c r="AI258" t="str">
        <f t="shared" si="216"/>
        <v>1+0.861732576419159i</v>
      </c>
      <c r="AJ258">
        <f t="shared" si="236"/>
        <v>1.3200693289604155</v>
      </c>
      <c r="AK258">
        <f t="shared" si="237"/>
        <v>0.71126611734983203</v>
      </c>
      <c r="AL258" t="str">
        <f t="shared" si="217"/>
        <v>1-0.0600187735805928i</v>
      </c>
      <c r="AM258">
        <f t="shared" si="238"/>
        <v>1.0017995074774786</v>
      </c>
      <c r="AN258">
        <f t="shared" si="239"/>
        <v>-5.9946861338345835E-2</v>
      </c>
      <c r="AO258" s="58" t="str">
        <f t="shared" si="240"/>
        <v>0.259629850015429-0.338673168331908i</v>
      </c>
      <c r="AP258">
        <f t="shared" si="241"/>
        <v>-7.3967294518303097</v>
      </c>
      <c r="AQ258" s="60">
        <f t="shared" si="242"/>
        <v>-52.525906637085001</v>
      </c>
      <c r="AR258" t="str">
        <f t="shared" si="218"/>
        <v>-1.94444444444444</v>
      </c>
      <c r="AS258" t="str">
        <f t="shared" si="219"/>
        <v>1+0.883828283506827i</v>
      </c>
      <c r="AT258">
        <f t="shared" si="243"/>
        <v>1.3345982297030909</v>
      </c>
      <c r="AU258">
        <f t="shared" si="244"/>
        <v>0.72380826777511165</v>
      </c>
      <c r="AV258" t="str">
        <f t="shared" si="220"/>
        <v>1+0.883828283506827i</v>
      </c>
      <c r="AW258">
        <f t="shared" si="245"/>
        <v>1.3345982297030909</v>
      </c>
      <c r="AX258">
        <f t="shared" si="246"/>
        <v>0.72380826777511165</v>
      </c>
      <c r="AY258" t="str">
        <f t="shared" si="221"/>
        <v>1-0.00240732234323394i</v>
      </c>
      <c r="AZ258">
        <f t="shared" si="247"/>
        <v>1.0000028975962341</v>
      </c>
      <c r="BA258">
        <f t="shared" si="248"/>
        <v>-2.4073176929446014E-3</v>
      </c>
      <c r="BB258" s="58" t="str">
        <f t="shared" si="249"/>
        <v>-1.08935501014712+0.967483673304183i</v>
      </c>
      <c r="BC258">
        <f t="shared" si="250"/>
        <v>3.2689250643238394</v>
      </c>
      <c r="BD258" s="60">
        <f t="shared" si="251"/>
        <v>138.39091193605816</v>
      </c>
      <c r="BE258" s="58" t="str">
        <f t="shared" si="252"/>
        <v>0.098465273984481+0.40502325106693i</v>
      </c>
      <c r="BF258" s="37">
        <f t="shared" si="253"/>
        <v>-7.6010207237143179</v>
      </c>
      <c r="BG258" s="60">
        <f t="shared" si="254"/>
        <v>76.335891358239124</v>
      </c>
      <c r="BH258" s="58" t="str">
        <f t="shared" si="255"/>
        <v>0.0448316830492674+0.620122953717104i</v>
      </c>
      <c r="BI258" s="37">
        <f t="shared" si="256"/>
        <v>-4.1278043875064743</v>
      </c>
      <c r="BJ258" s="60">
        <f t="shared" si="257"/>
        <v>85.865005298973159</v>
      </c>
      <c r="BK258">
        <f t="shared" si="258"/>
        <v>-7.6010207237143179</v>
      </c>
      <c r="BL258" s="60">
        <f t="shared" si="259"/>
        <v>76.335891358239124</v>
      </c>
      <c r="BN258">
        <f t="shared" si="260"/>
        <v>0</v>
      </c>
      <c r="BO258">
        <f t="shared" si="261"/>
        <v>0</v>
      </c>
    </row>
    <row r="259" spans="13:67" ht="14.25" x14ac:dyDescent="0.2">
      <c r="M259" s="66">
        <v>41</v>
      </c>
      <c r="N259" s="36">
        <f t="shared" si="262"/>
        <v>2570.3957827688669</v>
      </c>
      <c r="O259" s="91" t="str">
        <f t="shared" si="210"/>
        <v>99.7340425531915</v>
      </c>
      <c r="P259" s="67" t="str">
        <f t="shared" si="211"/>
        <v>1+469.045163122214i</v>
      </c>
      <c r="Q259" s="67">
        <f t="shared" si="222"/>
        <v>469.0462291164319</v>
      </c>
      <c r="R259" s="67">
        <f t="shared" si="223"/>
        <v>1.568664339166628</v>
      </c>
      <c r="S259" s="67" t="str">
        <f t="shared" si="212"/>
        <v>1+0.881804906669762i</v>
      </c>
      <c r="T259" s="67">
        <f t="shared" si="224"/>
        <v>1.333259124636643</v>
      </c>
      <c r="U259" s="67">
        <f t="shared" si="225"/>
        <v>0.72267113347777967</v>
      </c>
      <c r="V259" t="str">
        <f t="shared" si="213"/>
        <v>1-0.0910875398098436i</v>
      </c>
      <c r="W259" s="67">
        <f t="shared" si="226"/>
        <v>1.004139900565957</v>
      </c>
      <c r="X259" s="67">
        <f t="shared" si="227"/>
        <v>-9.0836870556140953E-2</v>
      </c>
      <c r="Y259" t="str">
        <f t="shared" si="214"/>
        <v>0.998436228525426+0.140797251933746i</v>
      </c>
      <c r="Z259" s="67">
        <f t="shared" si="228"/>
        <v>1.0083148162078008</v>
      </c>
      <c r="AA259" s="67">
        <f t="shared" si="229"/>
        <v>0.14009400832369939</v>
      </c>
      <c r="AB259" s="92" t="str">
        <f t="shared" si="230"/>
        <v>0.133830299254334-0.24858314821901i</v>
      </c>
      <c r="AC259" s="37">
        <f t="shared" si="231"/>
        <v>-10.985191711972988</v>
      </c>
      <c r="AD259" s="60">
        <f t="shared" si="232"/>
        <v>-61.703204901775663</v>
      </c>
      <c r="AE259" t="str">
        <f t="shared" si="233"/>
        <v>118.329284003155</v>
      </c>
      <c r="AF259" t="str">
        <f t="shared" si="215"/>
        <v>1+375.236130497771i</v>
      </c>
      <c r="AG259">
        <f t="shared" si="234"/>
        <v>375.23746298969166</v>
      </c>
      <c r="AH259">
        <f t="shared" si="235"/>
        <v>1.5681313445308074</v>
      </c>
      <c r="AI259" t="str">
        <f t="shared" si="216"/>
        <v>1+0.881804906669762i</v>
      </c>
      <c r="AJ259">
        <f t="shared" si="236"/>
        <v>1.333259124636643</v>
      </c>
      <c r="AK259">
        <f t="shared" si="237"/>
        <v>0.72267113347777967</v>
      </c>
      <c r="AL259" t="str">
        <f t="shared" si="217"/>
        <v>1-0.0614167904103058i</v>
      </c>
      <c r="AM259">
        <f t="shared" si="238"/>
        <v>1.0018842358996889</v>
      </c>
      <c r="AN259">
        <f t="shared" si="239"/>
        <v>-6.1339742879122403E-2</v>
      </c>
      <c r="AO259" s="58" t="str">
        <f t="shared" si="240"/>
        <v>0.25959033064938-0.331732785831838i</v>
      </c>
      <c r="AP259">
        <f t="shared" si="241"/>
        <v>-7.509636929095346</v>
      </c>
      <c r="AQ259" s="60">
        <f t="shared" si="242"/>
        <v>-51.955810222969696</v>
      </c>
      <c r="AR259" t="str">
        <f t="shared" si="218"/>
        <v>-1.94444444444444</v>
      </c>
      <c r="AS259" t="str">
        <f t="shared" si="219"/>
        <v>1+0.904415288892061i</v>
      </c>
      <c r="AT259">
        <f t="shared" si="243"/>
        <v>1.3483200713412635</v>
      </c>
      <c r="AU259">
        <f t="shared" si="244"/>
        <v>0.7352491392957009</v>
      </c>
      <c r="AV259" t="str">
        <f t="shared" si="220"/>
        <v>1+0.904415288892061i</v>
      </c>
      <c r="AW259">
        <f t="shared" si="245"/>
        <v>1.3483200713412635</v>
      </c>
      <c r="AX259">
        <f t="shared" si="246"/>
        <v>0.7352491392957009</v>
      </c>
      <c r="AY259" t="str">
        <f t="shared" si="221"/>
        <v>1-0.00235252499664677i</v>
      </c>
      <c r="AZ259">
        <f t="shared" si="247"/>
        <v>1.0000027671831013</v>
      </c>
      <c r="BA259">
        <f t="shared" si="248"/>
        <v>-2.3525206567435657E-3</v>
      </c>
      <c r="BB259" s="58" t="str">
        <f t="shared" si="249"/>
        <v>-1.06729512297459+0.969852381138299i</v>
      </c>
      <c r="BC259">
        <f t="shared" si="250"/>
        <v>3.180074829228773</v>
      </c>
      <c r="BD259" s="60">
        <f t="shared" si="251"/>
        <v>137.73853792288119</v>
      </c>
      <c r="BE259" s="58" t="str">
        <f t="shared" si="252"/>
        <v>0.0982525325106809+0.395107216148086i</v>
      </c>
      <c r="BF259" s="37">
        <f t="shared" si="253"/>
        <v>-7.8051168827442154</v>
      </c>
      <c r="BG259" s="60">
        <f t="shared" si="254"/>
        <v>76.035333021105544</v>
      </c>
      <c r="BH259" s="58" t="str">
        <f t="shared" si="255"/>
        <v>0.044672338367205+0.605821084749874i</v>
      </c>
      <c r="BI259" s="37">
        <f t="shared" si="256"/>
        <v>-4.3295620998665809</v>
      </c>
      <c r="BJ259" s="60">
        <f t="shared" si="257"/>
        <v>85.782727699911504</v>
      </c>
      <c r="BK259">
        <f t="shared" si="258"/>
        <v>-7.8051168827442154</v>
      </c>
      <c r="BL259" s="60">
        <f t="shared" si="259"/>
        <v>76.035333021105544</v>
      </c>
      <c r="BN259">
        <f t="shared" si="260"/>
        <v>0</v>
      </c>
      <c r="BO259">
        <f t="shared" si="261"/>
        <v>0</v>
      </c>
    </row>
    <row r="260" spans="13:67" ht="14.25" x14ac:dyDescent="0.2">
      <c r="M260" s="66">
        <v>42</v>
      </c>
      <c r="N260" s="36">
        <f t="shared" si="262"/>
        <v>2630.2679918953822</v>
      </c>
      <c r="O260" s="91" t="str">
        <f t="shared" si="210"/>
        <v>99.7340425531915</v>
      </c>
      <c r="P260" s="67" t="str">
        <f t="shared" si="211"/>
        <v>1+479.970628486144i</v>
      </c>
      <c r="Q260" s="67">
        <f t="shared" si="222"/>
        <v>479.97167021542435</v>
      </c>
      <c r="R260" s="67">
        <f t="shared" si="223"/>
        <v>1.5687128689878607</v>
      </c>
      <c r="S260" s="67" t="str">
        <f t="shared" si="212"/>
        <v>1+0.902344781553951i</v>
      </c>
      <c r="T260" s="67">
        <f t="shared" si="224"/>
        <v>1.3469321084589407</v>
      </c>
      <c r="U260" s="67">
        <f t="shared" si="225"/>
        <v>0.73410905185175668</v>
      </c>
      <c r="V260" t="str">
        <f t="shared" si="213"/>
        <v>1-0.093209241171507i</v>
      </c>
      <c r="W260" s="67">
        <f t="shared" si="226"/>
        <v>1.0043345869976639</v>
      </c>
      <c r="X260" s="67">
        <f t="shared" si="227"/>
        <v>-9.2940706796072567E-2</v>
      </c>
      <c r="Y260" t="str">
        <f t="shared" si="214"/>
        <v>0.998362530246346+0.14407684123619i</v>
      </c>
      <c r="Z260" s="67">
        <f t="shared" si="228"/>
        <v>1.0087050500421244</v>
      </c>
      <c r="AA260" s="67">
        <f t="shared" si="229"/>
        <v>0.14332364949844259</v>
      </c>
      <c r="AB260" s="92" t="str">
        <f t="shared" si="230"/>
        <v>0.133583184422662-0.244564140117763i</v>
      </c>
      <c r="AC260" s="37">
        <f t="shared" si="231"/>
        <v>-11.098245035885693</v>
      </c>
      <c r="AD260" s="60">
        <f t="shared" si="232"/>
        <v>-61.35622675245807</v>
      </c>
      <c r="AE260" t="str">
        <f t="shared" si="233"/>
        <v>118.329284003155</v>
      </c>
      <c r="AF260" t="str">
        <f t="shared" si="215"/>
        <v>1+383.976502788915i</v>
      </c>
      <c r="AG260">
        <f t="shared" si="234"/>
        <v>383.97780494972056</v>
      </c>
      <c r="AH260">
        <f t="shared" si="235"/>
        <v>1.5681920066557529</v>
      </c>
      <c r="AI260" t="str">
        <f t="shared" si="216"/>
        <v>1+0.902344781553951i</v>
      </c>
      <c r="AJ260">
        <f t="shared" si="236"/>
        <v>1.3469321084589407</v>
      </c>
      <c r="AK260">
        <f t="shared" si="237"/>
        <v>0.73410905185175668</v>
      </c>
      <c r="AL260" t="str">
        <f t="shared" si="217"/>
        <v>1-0.0628473712352416i</v>
      </c>
      <c r="AM260">
        <f t="shared" si="238"/>
        <v>1.0019729497701921</v>
      </c>
      <c r="AN260">
        <f t="shared" si="239"/>
        <v>-6.2764822095406889E-2</v>
      </c>
      <c r="AO260" s="58" t="str">
        <f t="shared" si="240"/>
        <v>0.259552589923104-0.324968282963129i</v>
      </c>
      <c r="AP260">
        <f t="shared" si="241"/>
        <v>-7.620243640613884</v>
      </c>
      <c r="AQ260" s="60">
        <f t="shared" si="242"/>
        <v>-51.385592482026262</v>
      </c>
      <c r="AR260" t="str">
        <f t="shared" si="218"/>
        <v>-1.94444444444444</v>
      </c>
      <c r="AS260" t="str">
        <f t="shared" si="219"/>
        <v>1+0.925481827234819i</v>
      </c>
      <c r="AT260">
        <f t="shared" si="243"/>
        <v>1.3625404994134669</v>
      </c>
      <c r="AU260">
        <f t="shared" si="244"/>
        <v>0.7467164155984447</v>
      </c>
      <c r="AV260" t="str">
        <f t="shared" si="220"/>
        <v>1+0.925481827234819i</v>
      </c>
      <c r="AW260">
        <f t="shared" si="245"/>
        <v>1.3625404994134669</v>
      </c>
      <c r="AX260">
        <f t="shared" si="246"/>
        <v>0.7467164155984447</v>
      </c>
      <c r="AY260" t="str">
        <f t="shared" si="221"/>
        <v>1-0.00229897498995217i</v>
      </c>
      <c r="AZ260">
        <f t="shared" si="247"/>
        <v>1.0000026426395103</v>
      </c>
      <c r="BA260">
        <f t="shared" si="248"/>
        <v>-2.2989709397182342E-3</v>
      </c>
      <c r="BB260" s="58" t="str">
        <f t="shared" si="249"/>
        <v>-1.04513329721762+0.97172210276004i</v>
      </c>
      <c r="BC260">
        <f t="shared" si="250"/>
        <v>3.08894534110948</v>
      </c>
      <c r="BD260" s="60">
        <f t="shared" si="251"/>
        <v>137.08457956100338</v>
      </c>
      <c r="BE260" s="58" t="str">
        <f t="shared" si="252"/>
        <v>0.0980361465064476+0.385407859003041i</v>
      </c>
      <c r="BF260" s="37">
        <f t="shared" si="253"/>
        <v>-8.0092996947762121</v>
      </c>
      <c r="BG260" s="60">
        <f t="shared" si="254"/>
        <v>75.728352808545324</v>
      </c>
      <c r="BH260" s="58" t="str">
        <f t="shared" si="255"/>
        <v>0.044511809143545+0.591848161521296i</v>
      </c>
      <c r="BI260" s="37">
        <f t="shared" si="256"/>
        <v>-4.5312982995044084</v>
      </c>
      <c r="BJ260" s="60">
        <f t="shared" si="257"/>
        <v>85.698987078977112</v>
      </c>
      <c r="BK260">
        <f t="shared" si="258"/>
        <v>-8.0092996947762121</v>
      </c>
      <c r="BL260" s="60">
        <f t="shared" si="259"/>
        <v>75.728352808545324</v>
      </c>
      <c r="BN260">
        <f t="shared" si="260"/>
        <v>0</v>
      </c>
      <c r="BO260">
        <f t="shared" si="261"/>
        <v>0</v>
      </c>
    </row>
    <row r="261" spans="13:67" ht="14.25" x14ac:dyDescent="0.2">
      <c r="M261" s="66">
        <v>43</v>
      </c>
      <c r="N261" s="36">
        <f t="shared" si="262"/>
        <v>2691.5348039269184</v>
      </c>
      <c r="O261" s="91" t="str">
        <f t="shared" si="210"/>
        <v>99.7340425531915</v>
      </c>
      <c r="P261" s="67" t="str">
        <f t="shared" si="211"/>
        <v>1+491.150580630462i</v>
      </c>
      <c r="Q261" s="67">
        <f t="shared" si="222"/>
        <v>491.1515986471386</v>
      </c>
      <c r="R261" s="67">
        <f t="shared" si="223"/>
        <v>1.5687602941449783</v>
      </c>
      <c r="S261" s="67" t="str">
        <f t="shared" si="212"/>
        <v>1+0.923363091585268i</v>
      </c>
      <c r="T261" s="67">
        <f t="shared" si="224"/>
        <v>1.3611022734908291</v>
      </c>
      <c r="U261" s="67">
        <f t="shared" si="225"/>
        <v>0.74557396694734834</v>
      </c>
      <c r="V261" t="str">
        <f t="shared" si="213"/>
        <v>1-0.0953803633066101i</v>
      </c>
      <c r="W261" s="67">
        <f t="shared" si="226"/>
        <v>1.0045384082774043</v>
      </c>
      <c r="X261" s="67">
        <f t="shared" si="227"/>
        <v>-9.509269370312344E-2</v>
      </c>
      <c r="Y261" t="str">
        <f t="shared" si="214"/>
        <v>0.998285358674379+0.147432821986941i</v>
      </c>
      <c r="Z261" s="67">
        <f t="shared" si="228"/>
        <v>1.0091135190565363</v>
      </c>
      <c r="AA261" s="67">
        <f t="shared" si="229"/>
        <v>0.14662615181388416</v>
      </c>
      <c r="AB261" s="92" t="str">
        <f t="shared" si="230"/>
        <v>0.133326674834303-0.240672022831948i</v>
      </c>
      <c r="AC261" s="37">
        <f t="shared" si="231"/>
        <v>-11.209097153251983</v>
      </c>
      <c r="AD261" s="60">
        <f t="shared" si="232"/>
        <v>-61.014571978198767</v>
      </c>
      <c r="AE261" t="str">
        <f t="shared" si="233"/>
        <v>118.329284003155</v>
      </c>
      <c r="AF261" t="str">
        <f t="shared" si="215"/>
        <v>1+392.920464504369i</v>
      </c>
      <c r="AG261">
        <f t="shared" si="234"/>
        <v>392.92173702447298</v>
      </c>
      <c r="AH261">
        <f t="shared" si="235"/>
        <v>1.5682512879606729</v>
      </c>
      <c r="AI261" t="str">
        <f t="shared" si="216"/>
        <v>1+0.923363091585268i</v>
      </c>
      <c r="AJ261">
        <f t="shared" si="236"/>
        <v>1.3611022734908291</v>
      </c>
      <c r="AK261">
        <f t="shared" si="237"/>
        <v>0.74557396694734834</v>
      </c>
      <c r="AL261" t="str">
        <f t="shared" si="217"/>
        <v>1-0.0643112745682899i</v>
      </c>
      <c r="AM261">
        <f t="shared" si="238"/>
        <v>1.0020658361787402</v>
      </c>
      <c r="AN261">
        <f t="shared" si="239"/>
        <v>-6.4222831417011322E-2</v>
      </c>
      <c r="AO261" s="58" t="str">
        <f t="shared" si="240"/>
        <v>0.259516547786795-0.318376073729739i</v>
      </c>
      <c r="AP261">
        <f t="shared" si="241"/>
        <v>-7.7285360686318336</v>
      </c>
      <c r="AQ261" s="60">
        <f t="shared" si="242"/>
        <v>-50.815635583767673</v>
      </c>
      <c r="AR261" t="str">
        <f t="shared" si="218"/>
        <v>-1.94444444444444</v>
      </c>
      <c r="AS261" t="str">
        <f t="shared" si="219"/>
        <v>1+0.947039068292579i</v>
      </c>
      <c r="AT261">
        <f t="shared" si="243"/>
        <v>1.3772737552398493</v>
      </c>
      <c r="AU261">
        <f t="shared" si="244"/>
        <v>0.75820411435728341</v>
      </c>
      <c r="AV261" t="str">
        <f t="shared" si="220"/>
        <v>1+0.947039068292579i</v>
      </c>
      <c r="AW261">
        <f t="shared" si="245"/>
        <v>1.3772737552398493</v>
      </c>
      <c r="AX261">
        <f t="shared" si="246"/>
        <v>0.75820411435728341</v>
      </c>
      <c r="AY261" t="str">
        <f t="shared" si="221"/>
        <v>1-0.00224664393022777i</v>
      </c>
      <c r="AZ261">
        <f t="shared" si="247"/>
        <v>1.0000025237012902</v>
      </c>
      <c r="BA261">
        <f t="shared" si="248"/>
        <v>-2.2466401503289904E-3</v>
      </c>
      <c r="BB261" s="58" t="str">
        <f t="shared" si="249"/>
        <v>-1.02289246717078+0.973087603381692i</v>
      </c>
      <c r="BC261">
        <f t="shared" si="250"/>
        <v>2.9955272689394126</v>
      </c>
      <c r="BD261" s="60">
        <f t="shared" si="251"/>
        <v>136.42938123917466</v>
      </c>
      <c r="BE261" s="58" t="str">
        <f t="shared" si="252"/>
        <v>0.0978161105376276+0.375920133694916i</v>
      </c>
      <c r="BF261" s="37">
        <f t="shared" si="253"/>
        <v>-8.2135698843125624</v>
      </c>
      <c r="BG261" s="60">
        <f t="shared" si="254"/>
        <v>75.414809260975915</v>
      </c>
      <c r="BH261" s="58" t="str">
        <f t="shared" si="255"/>
        <v>0.0443502887224662+0.578196823069302i</v>
      </c>
      <c r="BI261" s="37">
        <f t="shared" si="256"/>
        <v>-4.7330087996924153</v>
      </c>
      <c r="BJ261" s="60">
        <f t="shared" si="257"/>
        <v>85.613745655407001</v>
      </c>
      <c r="BK261">
        <f t="shared" si="258"/>
        <v>-8.2135698843125624</v>
      </c>
      <c r="BL261" s="60">
        <f t="shared" si="259"/>
        <v>75.414809260975915</v>
      </c>
      <c r="BN261">
        <f t="shared" si="260"/>
        <v>0</v>
      </c>
      <c r="BO261">
        <f t="shared" si="261"/>
        <v>0</v>
      </c>
    </row>
    <row r="262" spans="13:67" ht="14.25" x14ac:dyDescent="0.2">
      <c r="M262" s="66">
        <v>44</v>
      </c>
      <c r="N262" s="36">
        <f t="shared" si="262"/>
        <v>2754.228703338169</v>
      </c>
      <c r="O262" s="91" t="str">
        <f t="shared" si="210"/>
        <v>99.7340425531915</v>
      </c>
      <c r="P262" s="67" t="str">
        <f t="shared" si="211"/>
        <v>1+502.590947313776i</v>
      </c>
      <c r="Q262" s="67">
        <f t="shared" si="222"/>
        <v>502.59194215761039</v>
      </c>
      <c r="R262" s="67">
        <f t="shared" si="223"/>
        <v>1.5688066397825733</v>
      </c>
      <c r="S262" s="67" t="str">
        <f t="shared" si="212"/>
        <v>1+0.944870980949899i</v>
      </c>
      <c r="T262" s="67">
        <f t="shared" si="224"/>
        <v>1.3757838386320811</v>
      </c>
      <c r="U262" s="67">
        <f t="shared" si="225"/>
        <v>0.75705990263301515</v>
      </c>
      <c r="V262" t="str">
        <f t="shared" si="213"/>
        <v>1-0.0976020573728466i</v>
      </c>
      <c r="W262" s="67">
        <f t="shared" si="226"/>
        <v>1.0047517910426498</v>
      </c>
      <c r="X262" s="67">
        <f t="shared" si="227"/>
        <v>-9.7293892517648917E-2</v>
      </c>
      <c r="Y262" t="str">
        <f t="shared" si="214"/>
        <v>0.998204550118274+0.150866973571412i</v>
      </c>
      <c r="Z262" s="67">
        <f t="shared" si="228"/>
        <v>1.0095410678082506</v>
      </c>
      <c r="AA262" s="67">
        <f t="shared" si="229"/>
        <v>0.15000304721316188</v>
      </c>
      <c r="AB262" s="92" t="str">
        <f t="shared" si="230"/>
        <v>0.133060278351504-0.236904541552238i</v>
      </c>
      <c r="AC262" s="37">
        <f t="shared" si="231"/>
        <v>-11.317741935052513</v>
      </c>
      <c r="AD262" s="60">
        <f t="shared" si="232"/>
        <v>-60.678733005261549</v>
      </c>
      <c r="AE262" t="str">
        <f t="shared" si="233"/>
        <v>118.329284003155</v>
      </c>
      <c r="AF262" t="str">
        <f t="shared" si="215"/>
        <v>1+402.072757851021i</v>
      </c>
      <c r="AG262">
        <f t="shared" si="234"/>
        <v>402.07400140512163</v>
      </c>
      <c r="AH262">
        <f t="shared" si="235"/>
        <v>1.5683092198756325</v>
      </c>
      <c r="AI262" t="str">
        <f t="shared" si="216"/>
        <v>1+0.944870980949899i</v>
      </c>
      <c r="AJ262">
        <f t="shared" si="236"/>
        <v>1.3757838386320811</v>
      </c>
      <c r="AK262">
        <f t="shared" si="237"/>
        <v>0.75705990263301515</v>
      </c>
      <c r="AL262" t="str">
        <f t="shared" si="217"/>
        <v>1-0.0658092765903747i</v>
      </c>
      <c r="AM262">
        <f t="shared" si="238"/>
        <v>1.0021630909614205</v>
      </c>
      <c r="AN262">
        <f t="shared" si="239"/>
        <v>-6.5714519090408693E-2</v>
      </c>
      <c r="AO262" s="58" t="str">
        <f t="shared" si="240"/>
        <v>0.259482127793296-0.311952663445754i</v>
      </c>
      <c r="AP262">
        <f t="shared" si="241"/>
        <v>-7.8345029591982644</v>
      </c>
      <c r="AQ262" s="60">
        <f t="shared" si="242"/>
        <v>-50.246326607483859</v>
      </c>
      <c r="AR262" t="str">
        <f t="shared" si="218"/>
        <v>-1.94444444444444</v>
      </c>
      <c r="AS262" t="str">
        <f t="shared" si="219"/>
        <v>1+0.969098441999893i</v>
      </c>
      <c r="AT262">
        <f t="shared" si="243"/>
        <v>1.3925343048868204</v>
      </c>
      <c r="AU262">
        <f t="shared" si="244"/>
        <v>0.76970619954083597</v>
      </c>
      <c r="AV262" t="str">
        <f t="shared" si="220"/>
        <v>1+0.969098441999893i</v>
      </c>
      <c r="AW262">
        <f t="shared" si="245"/>
        <v>1.3925343048868204</v>
      </c>
      <c r="AX262">
        <f t="shared" si="246"/>
        <v>0.76970619954083597</v>
      </c>
      <c r="AY262" t="str">
        <f t="shared" si="221"/>
        <v>1-0.00219550407085302i</v>
      </c>
      <c r="AZ262">
        <f t="shared" si="247"/>
        <v>1.0000024101161582</v>
      </c>
      <c r="BA262">
        <f t="shared" si="248"/>
        <v>-2.195500543245747E-3</v>
      </c>
      <c r="BB262" s="58" t="str">
        <f t="shared" si="249"/>
        <v>-1.00059589884833+0.973944962338728i</v>
      </c>
      <c r="BC262">
        <f t="shared" si="250"/>
        <v>2.8998136636960274</v>
      </c>
      <c r="BD262" s="60">
        <f t="shared" si="251"/>
        <v>135.77329038620894</v>
      </c>
      <c r="BE262" s="58" t="str">
        <f t="shared" si="252"/>
        <v>0.097592415981836+0.366639100483549i</v>
      </c>
      <c r="BF262" s="37">
        <f t="shared" si="253"/>
        <v>-8.4179282713564909</v>
      </c>
      <c r="BG262" s="60">
        <f t="shared" si="254"/>
        <v>75.094557380947393</v>
      </c>
      <c r="BH262" s="58" t="str">
        <f t="shared" si="255"/>
        <v>0.0441879721567306+0.564859866859849i</v>
      </c>
      <c r="BI262" s="37">
        <f t="shared" si="256"/>
        <v>-4.9346892955022419</v>
      </c>
      <c r="BJ262" s="60">
        <f t="shared" si="257"/>
        <v>85.52696377872509</v>
      </c>
      <c r="BK262">
        <f t="shared" si="258"/>
        <v>-8.4179282713564909</v>
      </c>
      <c r="BL262" s="60">
        <f t="shared" si="259"/>
        <v>75.094557380947393</v>
      </c>
      <c r="BN262">
        <f t="shared" si="260"/>
        <v>0</v>
      </c>
      <c r="BO262">
        <f t="shared" si="261"/>
        <v>0</v>
      </c>
    </row>
    <row r="263" spans="13:67" ht="14.25" x14ac:dyDescent="0.2">
      <c r="M263" s="66">
        <v>45</v>
      </c>
      <c r="N263" s="36">
        <f t="shared" si="262"/>
        <v>2818.3829312644561</v>
      </c>
      <c r="O263" s="91" t="str">
        <f t="shared" si="210"/>
        <v>99.7340425531915</v>
      </c>
      <c r="P263" s="67" t="str">
        <f t="shared" si="211"/>
        <v>1+514.297794369933i</v>
      </c>
      <c r="Q263" s="67">
        <f t="shared" si="222"/>
        <v>514.2987665684002</v>
      </c>
      <c r="R263" s="67">
        <f t="shared" si="223"/>
        <v>1.5688519304729192</v>
      </c>
      <c r="S263" s="67" t="str">
        <f t="shared" si="212"/>
        <v>1+0.966879853415473i</v>
      </c>
      <c r="T263" s="67">
        <f t="shared" si="224"/>
        <v>1.3909912476147097</v>
      </c>
      <c r="U263" s="67">
        <f t="shared" si="225"/>
        <v>0.76856082752281152</v>
      </c>
      <c r="V263" t="str">
        <f t="shared" si="213"/>
        <v>1-0.0998755013418181i</v>
      </c>
      <c r="W263" s="67">
        <f t="shared" si="226"/>
        <v>1.0049751816678258</v>
      </c>
      <c r="X263" s="67">
        <f t="shared" si="227"/>
        <v>-9.9545384974117107E-2</v>
      </c>
      <c r="Y263" t="str">
        <f t="shared" si="214"/>
        <v>0.99811993317225+0.154381116822232i</v>
      </c>
      <c r="Z263" s="67">
        <f t="shared" si="228"/>
        <v>1.0099885792557541</v>
      </c>
      <c r="AA263" s="67">
        <f t="shared" si="229"/>
        <v>0.15345589199206169</v>
      </c>
      <c r="AB263" s="92" t="str">
        <f t="shared" si="230"/>
        <v>0.132783486690306-0.23325949469373i</v>
      </c>
      <c r="AC263" s="37">
        <f t="shared" si="231"/>
        <v>-11.424175774818536</v>
      </c>
      <c r="AD263" s="60">
        <f t="shared" si="232"/>
        <v>-60.349207962493296</v>
      </c>
      <c r="AE263" t="str">
        <f t="shared" si="233"/>
        <v>118.329284003155</v>
      </c>
      <c r="AF263" t="str">
        <f t="shared" si="215"/>
        <v>1+411.438235495946i</v>
      </c>
      <c r="AG263">
        <f t="shared" si="234"/>
        <v>411.43945074338399</v>
      </c>
      <c r="AH263">
        <f t="shared" si="235"/>
        <v>1.5683658331153436</v>
      </c>
      <c r="AI263" t="str">
        <f t="shared" si="216"/>
        <v>1+0.966879853415473i</v>
      </c>
      <c r="AJ263">
        <f t="shared" si="236"/>
        <v>1.3909912476147097</v>
      </c>
      <c r="AK263">
        <f t="shared" si="237"/>
        <v>0.76856082752281152</v>
      </c>
      <c r="AL263" t="str">
        <f t="shared" si="217"/>
        <v>1-0.0673421715619963i</v>
      </c>
      <c r="AM263">
        <f t="shared" si="238"/>
        <v>1.0022649191060642</v>
      </c>
      <c r="AN263">
        <f t="shared" si="239"/>
        <v>-6.7240649459571478E-2</v>
      </c>
      <c r="AO263" s="58" t="str">
        <f t="shared" si="240"/>
        <v>0.259449256935959-0.305694646885268i</v>
      </c>
      <c r="AP263">
        <f t="shared" si="241"/>
        <v>-7.9381353587617189</v>
      </c>
      <c r="AQ263" s="60">
        <f t="shared" si="242"/>
        <v>-49.678056679641216</v>
      </c>
      <c r="AR263" t="str">
        <f t="shared" si="218"/>
        <v>-1.94444444444444</v>
      </c>
      <c r="AS263" t="str">
        <f t="shared" si="219"/>
        <v>1+0.991671644528687i</v>
      </c>
      <c r="AT263">
        <f t="shared" si="243"/>
        <v>1.4083368384595465</v>
      </c>
      <c r="AU263">
        <f t="shared" si="244"/>
        <v>0.78121659714764724</v>
      </c>
      <c r="AV263" t="str">
        <f t="shared" si="220"/>
        <v>1+0.991671644528687i</v>
      </c>
      <c r="AW263">
        <f t="shared" si="245"/>
        <v>1.4083368384595465</v>
      </c>
      <c r="AX263">
        <f t="shared" si="246"/>
        <v>0.78121659714764724</v>
      </c>
      <c r="AY263" t="str">
        <f t="shared" si="221"/>
        <v>1-0.00214552829679757i</v>
      </c>
      <c r="AZ263">
        <f t="shared" si="247"/>
        <v>1.0000023016431874</v>
      </c>
      <c r="BA263">
        <f t="shared" si="248"/>
        <v>-2.1455250046424823E-3</v>
      </c>
      <c r="BB263" s="58" t="str">
        <f t="shared" si="249"/>
        <v>-0.978267093363141+0.974291597840831i</v>
      </c>
      <c r="BC263">
        <f t="shared" si="250"/>
        <v>2.8017999875905044</v>
      </c>
      <c r="BD263" s="60">
        <f t="shared" si="251"/>
        <v>135.11665657026214</v>
      </c>
      <c r="BE263" s="58" t="str">
        <f t="shared" si="252"/>
        <v>0.0973650502255501+0.357559923287765i</v>
      </c>
      <c r="BF263" s="37">
        <f t="shared" si="253"/>
        <v>-8.6223757872280373</v>
      </c>
      <c r="BG263" s="60">
        <f t="shared" si="254"/>
        <v>74.767448607768841</v>
      </c>
      <c r="BH263" s="58" t="str">
        <f t="shared" si="255"/>
        <v>0.044025055507269+0.551830244763875i</v>
      </c>
      <c r="BI263" s="37">
        <f t="shared" si="256"/>
        <v>-5.1363353711712101</v>
      </c>
      <c r="BJ263" s="60">
        <f t="shared" si="257"/>
        <v>85.438599890620949</v>
      </c>
      <c r="BK263">
        <f t="shared" si="258"/>
        <v>-8.6223757872280373</v>
      </c>
      <c r="BL263" s="60">
        <f t="shared" si="259"/>
        <v>74.767448607768841</v>
      </c>
      <c r="BN263">
        <f t="shared" si="260"/>
        <v>0</v>
      </c>
      <c r="BO263">
        <f t="shared" si="261"/>
        <v>0</v>
      </c>
    </row>
    <row r="264" spans="13:67" ht="14.25" x14ac:dyDescent="0.2">
      <c r="M264" s="66">
        <v>46</v>
      </c>
      <c r="N264" s="36">
        <f t="shared" si="262"/>
        <v>2884.0315031266077</v>
      </c>
      <c r="O264" s="91" t="str">
        <f t="shared" si="210"/>
        <v>99.7340425531915</v>
      </c>
      <c r="P264" s="67" t="str">
        <f t="shared" si="211"/>
        <v>1+526.2773289242i</v>
      </c>
      <c r="Q264" s="67">
        <f t="shared" si="222"/>
        <v>526.27827899276883</v>
      </c>
      <c r="R264" s="67">
        <f t="shared" si="223"/>
        <v>1.568896190228996</v>
      </c>
      <c r="S264" s="67" t="str">
        <f t="shared" si="212"/>
        <v>1+0.989401378377497i</v>
      </c>
      <c r="T264" s="67">
        <f t="shared" si="224"/>
        <v>1.4067391682665593</v>
      </c>
      <c r="U264" s="67">
        <f t="shared" si="225"/>
        <v>0.78007067068187586</v>
      </c>
      <c r="V264" t="str">
        <f t="shared" si="213"/>
        <v>1-0.10220190062361i</v>
      </c>
      <c r="W264" s="67">
        <f t="shared" si="226"/>
        <v>1.0052090471593849</v>
      </c>
      <c r="X264" s="67">
        <f t="shared" si="227"/>
        <v>-0.10184827348703772</v>
      </c>
      <c r="Y264" t="str">
        <f t="shared" si="214"/>
        <v>0.99803132835242+0.157977114984667i</v>
      </c>
      <c r="Z264" s="67">
        <f t="shared" si="228"/>
        <v>1.0104569764377773</v>
      </c>
      <c r="AA264" s="67">
        <f t="shared" si="229"/>
        <v>0.15698626661311987</v>
      </c>
      <c r="AB264" s="92" t="str">
        <f t="shared" si="230"/>
        <v>0.132495774781157-0.229734731910222i</v>
      </c>
      <c r="AC264" s="37">
        <f t="shared" si="231"/>
        <v>-11.528397623997076</v>
      </c>
      <c r="AD264" s="60">
        <f t="shared" si="232"/>
        <v>-60.026499782213051</v>
      </c>
      <c r="AE264" t="str">
        <f t="shared" si="233"/>
        <v>118.329284003155</v>
      </c>
      <c r="AF264" t="str">
        <f t="shared" si="215"/>
        <v>1+421.02186313936i</v>
      </c>
      <c r="AG264">
        <f t="shared" si="234"/>
        <v>421.02305072446802</v>
      </c>
      <c r="AH264">
        <f t="shared" si="235"/>
        <v>1.5684211576954425</v>
      </c>
      <c r="AI264" t="str">
        <f t="shared" si="216"/>
        <v>1+0.989401378377497i</v>
      </c>
      <c r="AJ264">
        <f t="shared" si="236"/>
        <v>1.4067391682665593</v>
      </c>
      <c r="AK264">
        <f t="shared" si="237"/>
        <v>0.78007067068187586</v>
      </c>
      <c r="AL264" t="str">
        <f t="shared" si="217"/>
        <v>1-0.0689107722443591i</v>
      </c>
      <c r="AM264">
        <f t="shared" si="238"/>
        <v>1.0023715351761113</v>
      </c>
      <c r="AN264">
        <f t="shared" si="239"/>
        <v>-6.8802003247253954E-2</v>
      </c>
      <c r="AO264" s="58" t="str">
        <f t="shared" si="240"/>
        <v>0.259417865493819-0.299598706479528i</v>
      </c>
      <c r="AP264">
        <f t="shared" si="241"/>
        <v>-8.0394266408329216</v>
      </c>
      <c r="AQ264" s="60">
        <f t="shared" si="242"/>
        <v>-49.111220091073555</v>
      </c>
      <c r="AR264" t="str">
        <f t="shared" si="218"/>
        <v>-1.94444444444444</v>
      </c>
      <c r="AS264" t="str">
        <f t="shared" si="219"/>
        <v>1+1.01477064448974i</v>
      </c>
      <c r="AT264">
        <f t="shared" si="243"/>
        <v>1.4246962697073795</v>
      </c>
      <c r="AU264">
        <f t="shared" si="244"/>
        <v>0.79272921118530792</v>
      </c>
      <c r="AV264" t="str">
        <f t="shared" si="220"/>
        <v>1+1.01477064448974i</v>
      </c>
      <c r="AW264">
        <f t="shared" si="245"/>
        <v>1.4246962697073795</v>
      </c>
      <c r="AX264">
        <f t="shared" si="246"/>
        <v>0.79272921118530792</v>
      </c>
      <c r="AY264" t="str">
        <f t="shared" si="221"/>
        <v>1-0.00209669011024451i</v>
      </c>
      <c r="AZ264">
        <f t="shared" si="247"/>
        <v>1.0000021980522935</v>
      </c>
      <c r="BA264">
        <f t="shared" si="248"/>
        <v>-2.0966870378262338E-3</v>
      </c>
      <c r="BB264" s="58" t="str">
        <f t="shared" si="249"/>
        <v>-0.955929688204304+0.974126283222544i</v>
      </c>
      <c r="BC264">
        <f t="shared" si="250"/>
        <v>2.7014841332227468</v>
      </c>
      <c r="BD264" s="60">
        <f t="shared" si="251"/>
        <v>134.45983058411971</v>
      </c>
      <c r="BE264" s="58" t="str">
        <f t="shared" si="252"/>
        <v>0.097133995847893+0.348677867274898i</v>
      </c>
      <c r="BF264" s="37">
        <f t="shared" si="253"/>
        <v>-8.8269134907743165</v>
      </c>
      <c r="BG264" s="60">
        <f t="shared" si="254"/>
        <v>74.433330801906678</v>
      </c>
      <c r="BH264" s="58" t="str">
        <f t="shared" si="255"/>
        <v>0.0438617351250521+0.539101059186408i</v>
      </c>
      <c r="BI264" s="37">
        <f t="shared" si="256"/>
        <v>-5.3379425076101708</v>
      </c>
      <c r="BJ264" s="60">
        <f t="shared" si="257"/>
        <v>85.348610493046152</v>
      </c>
      <c r="BK264">
        <f t="shared" si="258"/>
        <v>-8.8269134907743165</v>
      </c>
      <c r="BL264" s="60">
        <f t="shared" si="259"/>
        <v>74.433330801906678</v>
      </c>
      <c r="BN264">
        <f t="shared" si="260"/>
        <v>0</v>
      </c>
      <c r="BO264">
        <f t="shared" si="261"/>
        <v>0</v>
      </c>
    </row>
    <row r="265" spans="13:67" ht="14.25" x14ac:dyDescent="0.2">
      <c r="M265" s="66">
        <v>47</v>
      </c>
      <c r="N265" s="36">
        <f t="shared" si="262"/>
        <v>2951.2092266663876</v>
      </c>
      <c r="O265" s="91" t="str">
        <f t="shared" si="210"/>
        <v>99.7340425531915</v>
      </c>
      <c r="P265" s="67" t="str">
        <f t="shared" si="211"/>
        <v>1+538.535902684367i</v>
      </c>
      <c r="Q265" s="67">
        <f t="shared" si="222"/>
        <v>538.53683112677265</v>
      </c>
      <c r="R265" s="67">
        <f t="shared" si="223"/>
        <v>1.5689394425172181</v>
      </c>
      <c r="S265" s="67" t="str">
        <f t="shared" si="212"/>
        <v>1+1.01244749704661i</v>
      </c>
      <c r="T265" s="67">
        <f t="shared" si="224"/>
        <v>1.4230424920837554</v>
      </c>
      <c r="U265" s="67">
        <f t="shared" si="225"/>
        <v>0.79158333758580079</v>
      </c>
      <c r="V265" t="str">
        <f t="shared" si="213"/>
        <v>1-0.104582488705914i</v>
      </c>
      <c r="W265" s="67">
        <f t="shared" si="226"/>
        <v>1.00545387608976</v>
      </c>
      <c r="X265" s="67">
        <f t="shared" si="227"/>
        <v>-0.10420368132165762</v>
      </c>
      <c r="Y265" t="str">
        <f t="shared" si="214"/>
        <v>0.99793854771608+0.16165687470454i</v>
      </c>
      <c r="Z265" s="67">
        <f t="shared" si="228"/>
        <v>1.0109472242194042</v>
      </c>
      <c r="AA265" s="67">
        <f t="shared" si="229"/>
        <v>0.16059577546820206</v>
      </c>
      <c r="AB265" s="92" t="str">
        <f t="shared" si="230"/>
        <v>0.132196600132446-0.226328152088297i</v>
      </c>
      <c r="AC265" s="37">
        <f t="shared" si="231"/>
        <v>-11.630409017359337</v>
      </c>
      <c r="AD265" s="60">
        <f t="shared" si="232"/>
        <v>-59.711115282714694</v>
      </c>
      <c r="AE265" t="str">
        <f t="shared" si="233"/>
        <v>118.329284003155</v>
      </c>
      <c r="AF265" t="str">
        <f t="shared" si="215"/>
        <v>1+430.828722147494i</v>
      </c>
      <c r="AG265">
        <f t="shared" si="234"/>
        <v>430.82988269993825</v>
      </c>
      <c r="AH265">
        <f t="shared" si="235"/>
        <v>1.5684752229483987</v>
      </c>
      <c r="AI265" t="str">
        <f t="shared" si="216"/>
        <v>1+1.01244749704661i</v>
      </c>
      <c r="AJ265">
        <f t="shared" si="236"/>
        <v>1.4230424920837554</v>
      </c>
      <c r="AK265">
        <f t="shared" si="237"/>
        <v>0.79158333758580079</v>
      </c>
      <c r="AL265" t="str">
        <f t="shared" si="217"/>
        <v>1-0.0705159103303077i</v>
      </c>
      <c r="AM265">
        <f t="shared" si="238"/>
        <v>1.0024831637537421</v>
      </c>
      <c r="AN265">
        <f t="shared" si="239"/>
        <v>-7.0399377836312407E-2</v>
      </c>
      <c r="AO265" s="58" t="str">
        <f t="shared" si="240"/>
        <v>0.259387886883731-0.293661610560358i</v>
      </c>
      <c r="AP265">
        <f t="shared" si="241"/>
        <v>-8.1383725224396901</v>
      </c>
      <c r="AQ265" s="60">
        <f t="shared" si="242"/>
        <v>-48.546213399605534</v>
      </c>
      <c r="AR265" t="str">
        <f t="shared" si="218"/>
        <v>-1.94444444444444</v>
      </c>
      <c r="AS265" t="str">
        <f t="shared" si="219"/>
        <v>1+1.03840768927857i</v>
      </c>
      <c r="AT265">
        <f t="shared" si="243"/>
        <v>1.4416277359820944</v>
      </c>
      <c r="AU265">
        <f t="shared" si="244"/>
        <v>0.80423793979127745</v>
      </c>
      <c r="AV265" t="str">
        <f t="shared" si="220"/>
        <v>1+1.03840768927857i</v>
      </c>
      <c r="AW265">
        <f t="shared" si="245"/>
        <v>1.4416277359820944</v>
      </c>
      <c r="AX265">
        <f t="shared" si="246"/>
        <v>0.80423793979127745</v>
      </c>
      <c r="AY265" t="str">
        <f t="shared" si="221"/>
        <v>1-0.00204896361654088i</v>
      </c>
      <c r="AZ265">
        <f t="shared" si="247"/>
        <v>1.0000020991237477</v>
      </c>
      <c r="BA265">
        <f t="shared" si="248"/>
        <v>-2.0489607491929692E-3</v>
      </c>
      <c r="BB265" s="58" t="str">
        <f t="shared" si="249"/>
        <v>-0.933607357290943+0.973449154499012i</v>
      </c>
      <c r="BC265">
        <f t="shared" si="250"/>
        <v>2.5988664324901984</v>
      </c>
      <c r="BD265" s="60">
        <f t="shared" si="251"/>
        <v>133.80316352234667</v>
      </c>
      <c r="BE265" s="58" t="str">
        <f t="shared" si="252"/>
        <v>0.0968992297971761+0.339988296578271i</v>
      </c>
      <c r="BF265" s="37">
        <f t="shared" si="253"/>
        <v>-9.0315425848691433</v>
      </c>
      <c r="BG265" s="60">
        <f t="shared" si="254"/>
        <v>74.092048239631978</v>
      </c>
      <c r="BH265" s="58" t="str">
        <f t="shared" si="255"/>
        <v>0.0436982069219965+0.526665559347311i</v>
      </c>
      <c r="BI265" s="37">
        <f t="shared" si="256"/>
        <v>-5.5395060899494988</v>
      </c>
      <c r="BJ265" s="60">
        <f t="shared" si="257"/>
        <v>85.256950122741145</v>
      </c>
      <c r="BK265">
        <f t="shared" si="258"/>
        <v>-9.0315425848691433</v>
      </c>
      <c r="BL265" s="60">
        <f t="shared" si="259"/>
        <v>74.092048239631978</v>
      </c>
      <c r="BN265">
        <f t="shared" si="260"/>
        <v>0</v>
      </c>
      <c r="BO265">
        <f t="shared" si="261"/>
        <v>0</v>
      </c>
    </row>
    <row r="266" spans="13:67" ht="14.25" x14ac:dyDescent="0.2">
      <c r="M266" s="66">
        <v>48</v>
      </c>
      <c r="N266" s="36">
        <f t="shared" si="262"/>
        <v>3019.9517204020176</v>
      </c>
      <c r="O266" s="91" t="str">
        <f t="shared" si="210"/>
        <v>99.7340425531915</v>
      </c>
      <c r="P266" s="67" t="str">
        <f t="shared" si="211"/>
        <v>1+551.080015308503i</v>
      </c>
      <c r="Q266" s="67">
        <f t="shared" si="222"/>
        <v>551.08092261701461</v>
      </c>
      <c r="R266" s="67">
        <f t="shared" si="223"/>
        <v>1.5689817102698738</v>
      </c>
      <c r="S266" s="67" t="str">
        <f t="shared" si="212"/>
        <v>1+1.03603042877999i</v>
      </c>
      <c r="T266" s="67">
        <f t="shared" si="224"/>
        <v>1.4399163341521095</v>
      </c>
      <c r="U266" s="67">
        <f t="shared" si="225"/>
        <v>0.80309272623200889</v>
      </c>
      <c r="V266" t="str">
        <f t="shared" si="213"/>
        <v>1-0.107018527808042i</v>
      </c>
      <c r="W266" s="67">
        <f t="shared" si="226"/>
        <v>1.0057101795717296</v>
      </c>
      <c r="X266" s="67">
        <f t="shared" si="227"/>
        <v>-0.10661275274782629</v>
      </c>
      <c r="Y266" t="str">
        <f t="shared" si="214"/>
        <v>0.997841394463063+0.165422347039164i</v>
      </c>
      <c r="Z266" s="67">
        <f t="shared" si="228"/>
        <v>1.011460331107422</v>
      </c>
      <c r="AA266" s="67">
        <f t="shared" si="229"/>
        <v>0.16428604658572871</v>
      </c>
      <c r="AB266" s="92" t="str">
        <f t="shared" si="230"/>
        <v>0.131885402198818-0.223037701318011i</v>
      </c>
      <c r="AC266" s="37">
        <f t="shared" si="231"/>
        <v>-11.730214088264152</v>
      </c>
      <c r="AD266" s="60">
        <f t="shared" si="232"/>
        <v>-59.403564237906217</v>
      </c>
      <c r="AE266" t="str">
        <f t="shared" si="233"/>
        <v>118.329284003155</v>
      </c>
      <c r="AF266" t="str">
        <f t="shared" si="215"/>
        <v>1+440.864012246802i</v>
      </c>
      <c r="AG266">
        <f t="shared" si="234"/>
        <v>440.86514638191619</v>
      </c>
      <c r="AH266">
        <f t="shared" si="235"/>
        <v>1.5685280575390599</v>
      </c>
      <c r="AI266" t="str">
        <f t="shared" si="216"/>
        <v>1+1.03603042877999i</v>
      </c>
      <c r="AJ266">
        <f t="shared" si="236"/>
        <v>1.4399163341521095</v>
      </c>
      <c r="AK266">
        <f t="shared" si="237"/>
        <v>0.80309272623200889</v>
      </c>
      <c r="AL266" t="str">
        <f t="shared" si="217"/>
        <v>1-0.0721584368853019i</v>
      </c>
      <c r="AM266">
        <f t="shared" si="238"/>
        <v>1.0026000399031161</v>
      </c>
      <c r="AN266">
        <f t="shared" si="239"/>
        <v>-7.20335875506221E-2</v>
      </c>
      <c r="AO266" s="58" t="str">
        <f t="shared" si="240"/>
        <v>0.259359257519145-0.287880211648998i</v>
      </c>
      <c r="AP266">
        <f t="shared" si="241"/>
        <v>-8.2349710701865408</v>
      </c>
      <c r="AQ266" s="60">
        <f t="shared" si="242"/>
        <v>-47.983434523928715</v>
      </c>
      <c r="AR266" t="str">
        <f t="shared" si="218"/>
        <v>-1.94444444444444</v>
      </c>
      <c r="AS266" t="str">
        <f t="shared" si="219"/>
        <v>1+1.06259531156921i</v>
      </c>
      <c r="AT266">
        <f t="shared" si="243"/>
        <v>1.4591465985872929</v>
      </c>
      <c r="AU266">
        <f t="shared" si="244"/>
        <v>0.81573669139163707</v>
      </c>
      <c r="AV266" t="str">
        <f t="shared" si="220"/>
        <v>1+1.06259531156921i</v>
      </c>
      <c r="AW266">
        <f t="shared" si="245"/>
        <v>1.4591465985872929</v>
      </c>
      <c r="AX266">
        <f t="shared" si="246"/>
        <v>0.81573669139163707</v>
      </c>
      <c r="AY266" t="str">
        <f t="shared" si="221"/>
        <v>1-0.00200232351046798i</v>
      </c>
      <c r="AZ266">
        <f t="shared" si="247"/>
        <v>1.0000020046477109</v>
      </c>
      <c r="BA266">
        <f t="shared" si="248"/>
        <v>-2.002320834502907E-3</v>
      </c>
      <c r="BB266" s="58" t="str">
        <f t="shared" si="249"/>
        <v>-0.911323710698391+0.972261709135876i</v>
      </c>
      <c r="BC266">
        <f t="shared" si="250"/>
        <v>2.4939496551695859</v>
      </c>
      <c r="BD266" s="60">
        <f t="shared" si="251"/>
        <v>133.14700585624533</v>
      </c>
      <c r="BE266" s="58" t="str">
        <f t="shared" si="252"/>
        <v>0.0966607225664098+0.331486672142664i</v>
      </c>
      <c r="BF266" s="37">
        <f t="shared" si="253"/>
        <v>-9.2362644330945756</v>
      </c>
      <c r="BG266" s="60">
        <f t="shared" si="254"/>
        <v>73.743441618339119</v>
      </c>
      <c r="BH266" s="58" t="str">
        <f t="shared" si="255"/>
        <v>0.0435346656379257+0.514517137712379i</v>
      </c>
      <c r="BI266" s="37">
        <f t="shared" si="256"/>
        <v>-5.7410214150169523</v>
      </c>
      <c r="BJ266" s="60">
        <f t="shared" si="257"/>
        <v>85.163571332316621</v>
      </c>
      <c r="BK266">
        <f t="shared" si="258"/>
        <v>-9.2362644330945756</v>
      </c>
      <c r="BL266" s="60">
        <f t="shared" si="259"/>
        <v>73.743441618339119</v>
      </c>
      <c r="BN266">
        <f t="shared" si="260"/>
        <v>0</v>
      </c>
      <c r="BO266">
        <f t="shared" si="261"/>
        <v>0</v>
      </c>
    </row>
    <row r="267" spans="13:67" ht="14.25" x14ac:dyDescent="0.2">
      <c r="M267" s="66">
        <v>49</v>
      </c>
      <c r="N267" s="36">
        <f t="shared" si="262"/>
        <v>3090.295432513592</v>
      </c>
      <c r="O267" s="91" t="str">
        <f t="shared" si="210"/>
        <v>99.7340425531915</v>
      </c>
      <c r="P267" s="67" t="str">
        <f t="shared" si="211"/>
        <v>1+563.916317851161i</v>
      </c>
      <c r="Q267" s="67">
        <f t="shared" si="222"/>
        <v>563.91720450684215</v>
      </c>
      <c r="R267" s="67">
        <f t="shared" si="223"/>
        <v>1.56902301589728</v>
      </c>
      <c r="S267" s="67" t="str">
        <f t="shared" si="212"/>
        <v>1+1.06016267756018i</v>
      </c>
      <c r="T267" s="67">
        <f t="shared" si="224"/>
        <v>1.4573760334558716</v>
      </c>
      <c r="U267" s="67">
        <f t="shared" si="225"/>
        <v>0.81459274329936915</v>
      </c>
      <c r="V267" t="str">
        <f t="shared" si="213"/>
        <v>1-0.109511309550173i</v>
      </c>
      <c r="W267" s="67">
        <f t="shared" si="226"/>
        <v>1.0059784922747572</v>
      </c>
      <c r="X267" s="67">
        <f t="shared" si="227"/>
        <v>-0.10907665317531415</v>
      </c>
      <c r="Y267" t="str">
        <f t="shared" si="214"/>
        <v>0.997739662518292+0.169275528491811i</v>
      </c>
      <c r="Z267" s="67">
        <f t="shared" si="228"/>
        <v>1.0119973511369964</v>
      </c>
      <c r="AA267" s="67">
        <f t="shared" si="229"/>
        <v>0.16805873127852619</v>
      </c>
      <c r="AB267" s="92" t="str">
        <f t="shared" si="230"/>
        <v>0.131561601756336-0.219861370836971i</v>
      </c>
      <c r="AC267" s="37">
        <f t="shared" si="231"/>
        <v>-11.827819573678207</v>
      </c>
      <c r="AD267" s="60">
        <f t="shared" si="232"/>
        <v>-59.104358439705116</v>
      </c>
      <c r="AE267" t="str">
        <f t="shared" si="233"/>
        <v>118.329284003155</v>
      </c>
      <c r="AF267" t="str">
        <f t="shared" si="215"/>
        <v>1+451.133054280929i</v>
      </c>
      <c r="AG267">
        <f t="shared" si="234"/>
        <v>451.13416260004038</v>
      </c>
      <c r="AH267">
        <f t="shared" si="235"/>
        <v>1.5685796894798447</v>
      </c>
      <c r="AI267" t="str">
        <f t="shared" si="216"/>
        <v>1+1.06016267756018i</v>
      </c>
      <c r="AJ267">
        <f t="shared" si="236"/>
        <v>1.4573760334558716</v>
      </c>
      <c r="AK267">
        <f t="shared" si="237"/>
        <v>0.81459274329936915</v>
      </c>
      <c r="AL267" t="str">
        <f t="shared" si="217"/>
        <v>1-0.0738392227986625i</v>
      </c>
      <c r="AM267">
        <f t="shared" si="238"/>
        <v>1.0027224096545915</v>
      </c>
      <c r="AN267">
        <f t="shared" si="239"/>
        <v>-7.3705463935107823E-2</v>
      </c>
      <c r="AO267" s="58" t="str">
        <f t="shared" si="240"/>
        <v>0.259331916675262-0.282251444789384i</v>
      </c>
      <c r="AP267">
        <f t="shared" si="241"/>
        <v>-8.3292226958240647</v>
      </c>
      <c r="AQ267" s="60">
        <f t="shared" si="242"/>
        <v>-47.42328183463399</v>
      </c>
      <c r="AR267" t="str">
        <f t="shared" si="218"/>
        <v>-1.94444444444444</v>
      </c>
      <c r="AS267" t="str">
        <f t="shared" si="219"/>
        <v>1+1.08734633595916i</v>
      </c>
      <c r="AT267">
        <f t="shared" si="243"/>
        <v>1.4772684435551349</v>
      </c>
      <c r="AU267">
        <f t="shared" si="244"/>
        <v>0.82721940079340528</v>
      </c>
      <c r="AV267" t="str">
        <f t="shared" si="220"/>
        <v>1+1.08734633595916i</v>
      </c>
      <c r="AW267">
        <f t="shared" si="245"/>
        <v>1.4772684435551349</v>
      </c>
      <c r="AX267">
        <f t="shared" si="246"/>
        <v>0.82721940079340528</v>
      </c>
      <c r="AY267" t="str">
        <f t="shared" si="221"/>
        <v>1-0.00195674506282421i</v>
      </c>
      <c r="AZ267">
        <f t="shared" si="247"/>
        <v>1.0000019144237879</v>
      </c>
      <c r="BA267">
        <f t="shared" si="248"/>
        <v>-1.9567425654680266E-3</v>
      </c>
      <c r="BB267" s="58" t="str">
        <f t="shared" si="249"/>
        <v>-0.889102194958295+0.970566796047752i</v>
      </c>
      <c r="BC267">
        <f t="shared" si="250"/>
        <v>2.3867389971853177</v>
      </c>
      <c r="BD267" s="60">
        <f t="shared" si="251"/>
        <v>132.49170651260204</v>
      </c>
      <c r="BE267" s="58" t="str">
        <f t="shared" si="252"/>
        <v>0.0964184373741182+0.323168549697248i</v>
      </c>
      <c r="BF267" s="37">
        <f t="shared" si="253"/>
        <v>-9.4410805764928867</v>
      </c>
      <c r="BG267" s="60">
        <f t="shared" si="254"/>
        <v>73.387348072896927</v>
      </c>
      <c r="BH267" s="58" t="str">
        <f t="shared" si="255"/>
        <v>0.0433713041103643+0.502649326572823i</v>
      </c>
      <c r="BI267" s="37">
        <f t="shared" si="256"/>
        <v>-5.9424836986387488</v>
      </c>
      <c r="BJ267" s="60">
        <f t="shared" si="257"/>
        <v>85.068424677968039</v>
      </c>
      <c r="BK267">
        <f t="shared" si="258"/>
        <v>-9.4410805764928867</v>
      </c>
      <c r="BL267" s="60">
        <f t="shared" si="259"/>
        <v>73.387348072896927</v>
      </c>
      <c r="BN267">
        <f t="shared" si="260"/>
        <v>0</v>
      </c>
      <c r="BO267">
        <f t="shared" si="261"/>
        <v>0</v>
      </c>
    </row>
    <row r="268" spans="13:67" ht="14.25" x14ac:dyDescent="0.2">
      <c r="M268" s="66">
        <v>50</v>
      </c>
      <c r="N268" s="36">
        <f t="shared" si="262"/>
        <v>3162.2776601683804</v>
      </c>
      <c r="O268" s="91" t="str">
        <f t="shared" si="210"/>
        <v>99.7340425531915</v>
      </c>
      <c r="P268" s="67" t="str">
        <f t="shared" si="211"/>
        <v>1+577.051616289859i</v>
      </c>
      <c r="Q268" s="67">
        <f t="shared" si="222"/>
        <v>577.05248276282339</v>
      </c>
      <c r="R268" s="67">
        <f t="shared" si="223"/>
        <v>1.5690633812996637</v>
      </c>
      <c r="S268" s="67" t="str">
        <f t="shared" si="212"/>
        <v>1+1.08485703862493i</v>
      </c>
      <c r="T268" s="67">
        <f t="shared" si="224"/>
        <v>1.4754371536104318</v>
      </c>
      <c r="U268" s="67">
        <f t="shared" si="225"/>
        <v>0.82607732025183189</v>
      </c>
      <c r="V268" t="str">
        <f t="shared" si="213"/>
        <v>1-0.11206215563818i</v>
      </c>
      <c r="W268" s="67">
        <f t="shared" si="226"/>
        <v>1.0062593734849259</v>
      </c>
      <c r="X268" s="67">
        <f t="shared" si="227"/>
        <v>-0.11159656926874928</v>
      </c>
      <c r="Y268" t="str">
        <f t="shared" si="214"/>
        <v>0.997633136094675+0.173218462070291i</v>
      </c>
      <c r="Z268" s="67">
        <f t="shared" si="228"/>
        <v>1.0125593858318105</v>
      </c>
      <c r="AA268" s="67">
        <f t="shared" si="229"/>
        <v>0.17191550372811687</v>
      </c>
      <c r="AB268" s="92" t="str">
        <f t="shared" si="230"/>
        <v>0.131224600286861-0.216797194944553i</v>
      </c>
      <c r="AC268" s="37">
        <f t="shared" si="231"/>
        <v>-11.923234808945992</v>
      </c>
      <c r="AD268" s="60">
        <f t="shared" si="232"/>
        <v>-58.814010758815371</v>
      </c>
      <c r="AE268" t="str">
        <f t="shared" si="233"/>
        <v>118.329284003155</v>
      </c>
      <c r="AF268" t="str">
        <f t="shared" si="215"/>
        <v>1+461.641293031887i</v>
      </c>
      <c r="AG268">
        <f t="shared" si="234"/>
        <v>461.6423761226352</v>
      </c>
      <c r="AH268">
        <f t="shared" si="235"/>
        <v>1.5686301461455898</v>
      </c>
      <c r="AI268" t="str">
        <f t="shared" si="216"/>
        <v>1+1.08485703862493i</v>
      </c>
      <c r="AJ268">
        <f t="shared" si="236"/>
        <v>1.4754371536104318</v>
      </c>
      <c r="AK268">
        <f t="shared" si="237"/>
        <v>0.82607732025183189</v>
      </c>
      <c r="AL268" t="str">
        <f t="shared" si="217"/>
        <v>1-0.0755591592453285i</v>
      </c>
      <c r="AM268">
        <f t="shared" si="238"/>
        <v>1.0028505305108339</v>
      </c>
      <c r="AN268">
        <f t="shared" si="239"/>
        <v>-7.5415856034365042E-2</v>
      </c>
      <c r="AO268" s="58" t="str">
        <f t="shared" si="240"/>
        <v>0.259305806360237-0.276772325925084i</v>
      </c>
      <c r="AP268">
        <f t="shared" si="241"/>
        <v>-8.4211301413241948</v>
      </c>
      <c r="AQ268" s="60">
        <f t="shared" si="242"/>
        <v>-46.866153248360298</v>
      </c>
      <c r="AR268" t="str">
        <f t="shared" si="218"/>
        <v>-1.94444444444444</v>
      </c>
      <c r="AS268" t="str">
        <f t="shared" si="219"/>
        <v>1+1.11267388576916i</v>
      </c>
      <c r="AT268">
        <f t="shared" si="243"/>
        <v>1.4960090828844061</v>
      </c>
      <c r="AU268">
        <f t="shared" si="244"/>
        <v>0.83868004510698357</v>
      </c>
      <c r="AV268" t="str">
        <f t="shared" si="220"/>
        <v>1+1.11267388576916i</v>
      </c>
      <c r="AW268">
        <f t="shared" si="245"/>
        <v>1.4960090828844061</v>
      </c>
      <c r="AX268">
        <f t="shared" si="246"/>
        <v>0.83868004510698357</v>
      </c>
      <c r="AY268" t="str">
        <f t="shared" si="221"/>
        <v>1-0.00191220410731334i</v>
      </c>
      <c r="AZ268">
        <f t="shared" si="247"/>
        <v>1.0000018282606027</v>
      </c>
      <c r="BA268">
        <f t="shared" si="248"/>
        <v>-1.9122017766447002E-3</v>
      </c>
      <c r="BB268" s="58" t="str">
        <f t="shared" si="249"/>
        <v>-0.866965994825034+0.968368596944805i</v>
      </c>
      <c r="BC268">
        <f t="shared" si="250"/>
        <v>2.2772420586691098</v>
      </c>
      <c r="BD268" s="60">
        <f t="shared" si="251"/>
        <v>131.83761196214917</v>
      </c>
      <c r="BE268" s="58" t="str">
        <f t="shared" si="252"/>
        <v>0.0961723293568103+0.315029577854812i</v>
      </c>
      <c r="BF268" s="37">
        <f t="shared" si="253"/>
        <v>-9.6459927502768732</v>
      </c>
      <c r="BG268" s="60">
        <f t="shared" si="254"/>
        <v>73.023601203333811</v>
      </c>
      <c r="BH268" s="58" t="str">
        <f t="shared" si="255"/>
        <v>0.0432083125542134+0.491055794770383i</v>
      </c>
      <c r="BI268" s="37">
        <f t="shared" si="256"/>
        <v>-6.143888082655085</v>
      </c>
      <c r="BJ268" s="60">
        <f t="shared" si="257"/>
        <v>84.971458713788877</v>
      </c>
      <c r="BK268">
        <f t="shared" si="258"/>
        <v>-9.6459927502768732</v>
      </c>
      <c r="BL268" s="60">
        <f t="shared" si="259"/>
        <v>73.023601203333811</v>
      </c>
      <c r="BN268">
        <f t="shared" si="260"/>
        <v>0</v>
      </c>
      <c r="BO268">
        <f t="shared" si="261"/>
        <v>0</v>
      </c>
    </row>
    <row r="269" spans="13:67" ht="14.25" x14ac:dyDescent="0.2">
      <c r="M269" s="66">
        <v>51</v>
      </c>
      <c r="N269" s="36">
        <f t="shared" si="262"/>
        <v>3235.9365692962833</v>
      </c>
      <c r="O269" s="91" t="str">
        <f t="shared" si="210"/>
        <v>99.7340425531915</v>
      </c>
      <c r="P269" s="67" t="str">
        <f t="shared" si="211"/>
        <v>1+590.492875133695i</v>
      </c>
      <c r="Q269" s="67">
        <f t="shared" si="222"/>
        <v>590.49372188335542</v>
      </c>
      <c r="R269" s="67">
        <f t="shared" si="223"/>
        <v>1.5691028278787684</v>
      </c>
      <c r="S269" s="67" t="str">
        <f t="shared" si="212"/>
        <v>1+1.11012660525135i</v>
      </c>
      <c r="T269" s="67">
        <f t="shared" si="224"/>
        <v>1.4941154840529853</v>
      </c>
      <c r="U269" s="67">
        <f t="shared" si="225"/>
        <v>0.83754042928234818</v>
      </c>
      <c r="V269" t="str">
        <f t="shared" si="213"/>
        <v>1-0.114672418564425i</v>
      </c>
      <c r="W269" s="67">
        <f t="shared" si="226"/>
        <v>1.0065534082101231</v>
      </c>
      <c r="X269" s="67">
        <f t="shared" si="227"/>
        <v>-0.11417370904025008</v>
      </c>
      <c r="Y269" t="str">
        <f t="shared" si="214"/>
        <v>0.997521589235382+0.177253238370178i</v>
      </c>
      <c r="Z269" s="67">
        <f t="shared" si="228"/>
        <v>1.0131475862397332</v>
      </c>
      <c r="AA269" s="67">
        <f t="shared" si="229"/>
        <v>0.17585806050102212</v>
      </c>
      <c r="AB269" s="92" t="str">
        <f t="shared" si="230"/>
        <v>0.130873779374262-0.213843248883044i</v>
      </c>
      <c r="AC269" s="37">
        <f t="shared" si="231"/>
        <v>-12.016471712392722</v>
      </c>
      <c r="AD269" s="60">
        <f t="shared" si="232"/>
        <v>-58.533034209468056</v>
      </c>
      <c r="AE269" t="str">
        <f t="shared" si="233"/>
        <v>118.329284003155</v>
      </c>
      <c r="AF269" t="str">
        <f t="shared" si="215"/>
        <v>1+472.394300106956i</v>
      </c>
      <c r="AG269">
        <f t="shared" si="234"/>
        <v>472.39535854360474</v>
      </c>
      <c r="AH269">
        <f t="shared" si="235"/>
        <v>1.5686794542880591</v>
      </c>
      <c r="AI269" t="str">
        <f t="shared" si="216"/>
        <v>1+1.11012660525135i</v>
      </c>
      <c r="AJ269">
        <f t="shared" si="236"/>
        <v>1.4941154840529853</v>
      </c>
      <c r="AK269">
        <f t="shared" si="237"/>
        <v>0.83754042928234818</v>
      </c>
      <c r="AL269" t="str">
        <f t="shared" si="217"/>
        <v>1-0.0773191581583701i</v>
      </c>
      <c r="AM269">
        <f t="shared" si="238"/>
        <v>1.0029846719757582</v>
      </c>
      <c r="AN269">
        <f t="shared" si="239"/>
        <v>-7.7165630669302571E-2</v>
      </c>
      <c r="AO269" s="58" t="str">
        <f t="shared" si="240"/>
        <v>0.259280871192193-0.271439950318962i</v>
      </c>
      <c r="AP269">
        <f t="shared" si="241"/>
        <v>-8.5106984535514751</v>
      </c>
      <c r="AQ269" s="60">
        <f t="shared" si="242"/>
        <v>-46.312445330953572</v>
      </c>
      <c r="AR269" t="str">
        <f t="shared" si="218"/>
        <v>-1.94444444444444</v>
      </c>
      <c r="AS269" t="str">
        <f t="shared" si="219"/>
        <v>1+1.13859139000138i</v>
      </c>
      <c r="AT269">
        <f t="shared" si="243"/>
        <v>1.5153845562712041</v>
      </c>
      <c r="AU269">
        <f t="shared" si="244"/>
        <v>0.85011265939726477</v>
      </c>
      <c r="AV269" t="str">
        <f t="shared" si="220"/>
        <v>1+1.13859139000138i</v>
      </c>
      <c r="AW269">
        <f t="shared" si="245"/>
        <v>1.5153845562712041</v>
      </c>
      <c r="AX269">
        <f t="shared" si="246"/>
        <v>0.85011265939726477</v>
      </c>
      <c r="AY269" t="str">
        <f t="shared" si="221"/>
        <v>1-0.00186867702773118i</v>
      </c>
      <c r="AZ269">
        <f t="shared" si="247"/>
        <v>1.0000017459753927</v>
      </c>
      <c r="BA269">
        <f t="shared" si="248"/>
        <v>-1.8686748526244334E-3</v>
      </c>
      <c r="BB269" s="58" t="str">
        <f t="shared" si="249"/>
        <v>-0.844937937378482+0.965672599249697i</v>
      </c>
      <c r="BC269">
        <f t="shared" si="250"/>
        <v>2.1654688120071555</v>
      </c>
      <c r="BD269" s="60">
        <f t="shared" si="251"/>
        <v>131.18506532355667</v>
      </c>
      <c r="BE269" s="58" t="str">
        <f t="shared" si="252"/>
        <v>0.0959223447794735+0.307065496335528i</v>
      </c>
      <c r="BF269" s="37">
        <f t="shared" si="253"/>
        <v>-9.8510029003855593</v>
      </c>
      <c r="BG269" s="60">
        <f t="shared" si="254"/>
        <v>72.652031114088643</v>
      </c>
      <c r="BH269" s="58" t="str">
        <f t="shared" si="255"/>
        <v>0.0430458778578932+0.479730344564512i</v>
      </c>
      <c r="BI269" s="37">
        <f t="shared" si="256"/>
        <v>-6.3452296415443241</v>
      </c>
      <c r="BJ269" s="60">
        <f t="shared" si="257"/>
        <v>84.872619992603106</v>
      </c>
      <c r="BK269">
        <f t="shared" si="258"/>
        <v>-9.8510029003855593</v>
      </c>
      <c r="BL269" s="60">
        <f t="shared" si="259"/>
        <v>72.652031114088643</v>
      </c>
      <c r="BN269">
        <f t="shared" si="260"/>
        <v>0</v>
      </c>
      <c r="BO269">
        <f t="shared" si="261"/>
        <v>0</v>
      </c>
    </row>
    <row r="270" spans="13:67" ht="14.25" x14ac:dyDescent="0.2">
      <c r="M270" s="66">
        <v>52</v>
      </c>
      <c r="N270" s="36">
        <f t="shared" si="262"/>
        <v>3311.3112148259115</v>
      </c>
      <c r="O270" s="91" t="str">
        <f t="shared" si="210"/>
        <v>99.7340425531915</v>
      </c>
      <c r="P270" s="67" t="str">
        <f t="shared" si="211"/>
        <v>1+604.247221116026i</v>
      </c>
      <c r="Q270" s="67">
        <f t="shared" si="222"/>
        <v>604.24804859133781</v>
      </c>
      <c r="R270" s="67">
        <f t="shared" si="223"/>
        <v>1.5691413765492017</v>
      </c>
      <c r="S270" s="67" t="str">
        <f t="shared" si="212"/>
        <v>1+1.13598477569813i</v>
      </c>
      <c r="T270" s="67">
        <f t="shared" si="224"/>
        <v>1.5134270417228348</v>
      </c>
      <c r="U270" s="67">
        <f t="shared" si="225"/>
        <v>0.84897609899543569</v>
      </c>
      <c r="V270" t="str">
        <f t="shared" si="213"/>
        <v>1-0.117343482324862i</v>
      </c>
      <c r="W270" s="67">
        <f t="shared" si="226"/>
        <v>1.006861208332174</v>
      </c>
      <c r="X270" s="67">
        <f t="shared" si="227"/>
        <v>-0.11680930191764866</v>
      </c>
      <c r="Y270" t="str">
        <f t="shared" si="214"/>
        <v>0.997404785334572+0.181381996683274i</v>
      </c>
      <c r="Z270" s="67">
        <f t="shared" si="228"/>
        <v>1.0137631550461454</v>
      </c>
      <c r="AA270" s="67">
        <f t="shared" si="229"/>
        <v>0.17988811999248433</v>
      </c>
      <c r="AB270" s="92" t="str">
        <f>(IMDIV(IMPRODUCT(O270,S270,V270),IMPRODUCT(P270,Y270)))</f>
        <v>0.130508500115406-0.210997646682397i</v>
      </c>
      <c r="AC270" s="37">
        <f t="shared" si="231"/>
        <v>-12.107544759935271</v>
      </c>
      <c r="AD270" s="60">
        <f t="shared" si="232"/>
        <v>-58.261941023561093</v>
      </c>
      <c r="AE270" t="str">
        <f t="shared" si="233"/>
        <v>118.329284003155</v>
      </c>
      <c r="AF270" t="str">
        <f t="shared" si="215"/>
        <v>1+483.397776892821i</v>
      </c>
      <c r="AG270">
        <f t="shared" si="234"/>
        <v>483.39881123656221</v>
      </c>
      <c r="AH270">
        <f t="shared" si="235"/>
        <v>1.5687276400501229</v>
      </c>
      <c r="AI270" t="str">
        <f t="shared" si="216"/>
        <v>1+1.13598477569813i</v>
      </c>
      <c r="AJ270">
        <f t="shared" si="236"/>
        <v>1.5134270417228348</v>
      </c>
      <c r="AK270">
        <f t="shared" si="237"/>
        <v>0.84897609899543569</v>
      </c>
      <c r="AL270" t="str">
        <f t="shared" si="217"/>
        <v>1-0.0791201527125077i</v>
      </c>
      <c r="AM270">
        <f t="shared" si="238"/>
        <v>1.0031251161072832</v>
      </c>
      <c r="AN270">
        <f t="shared" si="239"/>
        <v>-7.8955672711189848E-2</v>
      </c>
      <c r="AO270" s="58" t="str">
        <f t="shared" si="240"/>
        <v>0.259257058281744-0.266251491014788i</v>
      </c>
      <c r="AP270">
        <f t="shared" si="241"/>
        <v>-8.5979349487105932</v>
      </c>
      <c r="AQ270" s="60">
        <f t="shared" si="242"/>
        <v>-45.762552415438073</v>
      </c>
      <c r="AR270" t="str">
        <f t="shared" si="218"/>
        <v>-1.94444444444444</v>
      </c>
      <c r="AS270" t="str">
        <f t="shared" si="219"/>
        <v>1+1.16511259045962i</v>
      </c>
      <c r="AT270">
        <f t="shared" si="243"/>
        <v>1.5354111333605491</v>
      </c>
      <c r="AU270">
        <f t="shared" si="244"/>
        <v>0.86151135196512774</v>
      </c>
      <c r="AV270" t="str">
        <f t="shared" si="220"/>
        <v>1+1.16511259045962i</v>
      </c>
      <c r="AW270">
        <f t="shared" si="245"/>
        <v>1.5354111333605491</v>
      </c>
      <c r="AX270">
        <f t="shared" si="246"/>
        <v>0.86151135196512774</v>
      </c>
      <c r="AY270" t="str">
        <f t="shared" si="221"/>
        <v>1-0.00182614074544397i</v>
      </c>
      <c r="AZ270">
        <f t="shared" si="247"/>
        <v>1.000001667393621</v>
      </c>
      <c r="BA270">
        <f t="shared" si="248"/>
        <v>-1.8261387155160526E-3</v>
      </c>
      <c r="BB270" s="58" t="str">
        <f t="shared" si="249"/>
        <v>-0.823040399297559+0.962485560905752i</v>
      </c>
      <c r="BC270">
        <f t="shared" si="250"/>
        <v>2.0514315601594371</v>
      </c>
      <c r="BD270" s="60">
        <f t="shared" si="251"/>
        <v>130.53440548858404</v>
      </c>
      <c r="BE270" s="58" t="str">
        <f t="shared" si="252"/>
        <v>0.0956684202701913+0.29927213431287i</v>
      </c>
      <c r="BF270" s="37">
        <f t="shared" si="253"/>
        <v>-10.056113199775842</v>
      </c>
      <c r="BG270" s="60">
        <f t="shared" si="254"/>
        <v>72.272464465022935</v>
      </c>
      <c r="BH270" s="58" t="str">
        <f t="shared" si="255"/>
        <v>0.0428841829024439+0.468666908637461i</v>
      </c>
      <c r="BI270" s="37">
        <f t="shared" si="256"/>
        <v>-6.5465033885511579</v>
      </c>
      <c r="BJ270" s="60">
        <f t="shared" si="257"/>
        <v>84.771853073145977</v>
      </c>
      <c r="BK270">
        <f t="shared" si="258"/>
        <v>-10.056113199775842</v>
      </c>
      <c r="BL270" s="60">
        <f t="shared" si="259"/>
        <v>72.272464465022935</v>
      </c>
      <c r="BN270">
        <f t="shared" si="260"/>
        <v>0</v>
      </c>
      <c r="BO270">
        <f t="shared" si="261"/>
        <v>0</v>
      </c>
    </row>
    <row r="271" spans="13:67" ht="14.25" x14ac:dyDescent="0.2">
      <c r="M271" s="66">
        <v>53</v>
      </c>
      <c r="N271" s="36">
        <f t="shared" si="262"/>
        <v>3388.4415613920314</v>
      </c>
      <c r="O271" s="91" t="str">
        <f t="shared" si="210"/>
        <v>99.7340425531915</v>
      </c>
      <c r="P271" s="67" t="str">
        <f t="shared" si="211"/>
        <v>1+618.32194697315i</v>
      </c>
      <c r="Q271" s="67">
        <f t="shared" si="222"/>
        <v>618.32275561284894</v>
      </c>
      <c r="R271" s="67">
        <f t="shared" si="223"/>
        <v>1.5691790477495202</v>
      </c>
      <c r="S271" s="67" t="str">
        <f t="shared" si="212"/>
        <v>1+1.16244526030952i</v>
      </c>
      <c r="T271" s="67">
        <f t="shared" si="224"/>
        <v>1.5333880732600171</v>
      </c>
      <c r="U271" s="67">
        <f t="shared" si="225"/>
        <v>0.86037842972978451</v>
      </c>
      <c r="V271" t="str">
        <f t="shared" si="213"/>
        <v>1-0.120076763152852i</v>
      </c>
      <c r="W271" s="67">
        <f t="shared" si="226"/>
        <v>1.007183413807667</v>
      </c>
      <c r="X271" s="67">
        <f t="shared" si="227"/>
        <v>-0.11950459878612221</v>
      </c>
      <c r="Y271" t="str">
        <f t="shared" si="214"/>
        <v>0.99728247663551+0.185606926131886i</v>
      </c>
      <c r="Z271" s="67">
        <f t="shared" si="228"/>
        <v>1.0144073487669456</v>
      </c>
      <c r="AA271" s="67">
        <f t="shared" si="229"/>
        <v>0.18400742179279486</v>
      </c>
      <c r="AB271" s="92" t="str">
        <f t="shared" si="230"/>
        <v>0.130128102549182-0.208258538965439i</v>
      </c>
      <c r="AC271" s="37">
        <f t="shared" si="231"/>
        <v>-12.196470949959075</v>
      </c>
      <c r="AD271" s="60">
        <f t="shared" si="232"/>
        <v>-58.001241739455097</v>
      </c>
      <c r="AE271" t="str">
        <f t="shared" si="233"/>
        <v>118.329284003155</v>
      </c>
      <c r="AF271" t="str">
        <f t="shared" si="215"/>
        <v>1+494.65755757852i</v>
      </c>
      <c r="AG271">
        <f t="shared" si="234"/>
        <v>494.65856837777193</v>
      </c>
      <c r="AH271">
        <f t="shared" si="235"/>
        <v>1.5687747289796141</v>
      </c>
      <c r="AI271" t="str">
        <f t="shared" si="216"/>
        <v>1+1.16244526030952i</v>
      </c>
      <c r="AJ271">
        <f t="shared" si="236"/>
        <v>1.5333880732600171</v>
      </c>
      <c r="AK271">
        <f t="shared" si="237"/>
        <v>0.86037842972978451</v>
      </c>
      <c r="AL271" t="str">
        <f t="shared" si="217"/>
        <v>1-0.0809630978188923i</v>
      </c>
      <c r="AM271">
        <f t="shared" si="238"/>
        <v>1.0032721580949167</v>
      </c>
      <c r="AN271">
        <f t="shared" si="239"/>
        <v>-8.0786885352440066E-2</v>
      </c>
      <c r="AO271" s="58" t="str">
        <f t="shared" si="240"/>
        <v>0.259234317119849-0.261204197339982i</v>
      </c>
      <c r="AP271">
        <f t="shared" si="241"/>
        <v>-8.682849166837638</v>
      </c>
      <c r="AQ271" s="60">
        <f t="shared" si="242"/>
        <v>-45.21686574040379</v>
      </c>
      <c r="AR271" t="str">
        <f t="shared" si="218"/>
        <v>-1.94444444444444</v>
      </c>
      <c r="AS271" t="str">
        <f t="shared" si="219"/>
        <v>1+1.1922515490354i</v>
      </c>
      <c r="AT271">
        <f t="shared" si="243"/>
        <v>1.5561053165442598</v>
      </c>
      <c r="AU271">
        <f t="shared" si="244"/>
        <v>0.8728703191654964</v>
      </c>
      <c r="AV271" t="str">
        <f t="shared" si="220"/>
        <v>1+1.1922515490354i</v>
      </c>
      <c r="AW271">
        <f t="shared" si="245"/>
        <v>1.5561053165442598</v>
      </c>
      <c r="AX271">
        <f t="shared" si="246"/>
        <v>0.8728703191654964</v>
      </c>
      <c r="AY271" t="str">
        <f t="shared" si="221"/>
        <v>1-0.00178457270715184i</v>
      </c>
      <c r="AZ271">
        <f t="shared" si="247"/>
        <v>1.0000015923486056</v>
      </c>
      <c r="BA271">
        <f t="shared" si="248"/>
        <v>-1.7845708127127101E-3</v>
      </c>
      <c r="BB271" s="58" t="str">
        <f t="shared" si="249"/>
        <v>-0.801295218090854+0.958815467489608i</v>
      </c>
      <c r="BC271">
        <f t="shared" si="250"/>
        <v>1.935144885618536</v>
      </c>
      <c r="BD271" s="60">
        <f t="shared" si="251"/>
        <v>129.88596627376927</v>
      </c>
      <c r="BE271" s="58" t="str">
        <f t="shared" si="252"/>
        <v>0.0954104820849543+0.291645408878824i</v>
      </c>
      <c r="BF271" s="37">
        <f t="shared" si="253"/>
        <v>-10.26132606434053</v>
      </c>
      <c r="BG271" s="60">
        <f t="shared" si="254"/>
        <v>71.884724534314188</v>
      </c>
      <c r="BH271" s="58" t="str">
        <f t="shared" si="255"/>
        <v>0.0427234059095996+0.457859547232405i</v>
      </c>
      <c r="BI271" s="37">
        <f t="shared" si="256"/>
        <v>-6.7477042812190957</v>
      </c>
      <c r="BJ271" s="60">
        <f t="shared" si="257"/>
        <v>84.66910053336548</v>
      </c>
      <c r="BK271">
        <f t="shared" si="258"/>
        <v>-10.26132606434053</v>
      </c>
      <c r="BL271" s="60">
        <f t="shared" si="259"/>
        <v>71.884724534314188</v>
      </c>
      <c r="BN271">
        <f t="shared" si="260"/>
        <v>0</v>
      </c>
      <c r="BO271">
        <f t="shared" si="261"/>
        <v>0</v>
      </c>
    </row>
    <row r="272" spans="13:67" ht="14.25" x14ac:dyDescent="0.2">
      <c r="M272" s="66">
        <v>54</v>
      </c>
      <c r="N272" s="36">
        <f t="shared" si="262"/>
        <v>3467.3685045253224</v>
      </c>
      <c r="O272" s="91" t="str">
        <f t="shared" si="210"/>
        <v>99.7340425531915</v>
      </c>
      <c r="P272" s="67" t="str">
        <f t="shared" si="211"/>
        <v>1+632.724515311016i</v>
      </c>
      <c r="Q272" s="67">
        <f t="shared" si="222"/>
        <v>632.7253055438515</v>
      </c>
      <c r="R272" s="67">
        <f t="shared" si="223"/>
        <v>1.5692158614530649</v>
      </c>
      <c r="S272" s="67" t="str">
        <f t="shared" si="212"/>
        <v>1+1.18952208878471i</v>
      </c>
      <c r="T272" s="67">
        <f t="shared" si="224"/>
        <v>1.554015057747749</v>
      </c>
      <c r="U272" s="67">
        <f t="shared" si="225"/>
        <v>0.87174160842649406</v>
      </c>
      <c r="V272" t="str">
        <f t="shared" si="213"/>
        <v>1-0.122873710270069i</v>
      </c>
      <c r="W272" s="67">
        <f t="shared" si="226"/>
        <v>1.0075206939192529</v>
      </c>
      <c r="X272" s="67">
        <f t="shared" si="227"/>
        <v>-0.12226087200087732</v>
      </c>
      <c r="Y272" t="str">
        <f t="shared" si="214"/>
        <v>0.997154403705047+0.18993026682953i</v>
      </c>
      <c r="Z272" s="67">
        <f t="shared" si="228"/>
        <v>1.0150814800233054</v>
      </c>
      <c r="AA272" s="67">
        <f t="shared" si="229"/>
        <v>0.18821772597123007</v>
      </c>
      <c r="AB272" s="92" t="str">
        <f t="shared" si="230"/>
        <v>0.129731905107166-0.205624110710289i</v>
      </c>
      <c r="AC272" s="37">
        <f t="shared" si="231"/>
        <v>-12.283269758804376</v>
      </c>
      <c r="AD272" s="60">
        <f t="shared" si="232"/>
        <v>-57.751444310402846</v>
      </c>
      <c r="AE272" t="str">
        <f t="shared" si="233"/>
        <v>118.329284003155</v>
      </c>
      <c r="AF272" t="str">
        <f t="shared" si="215"/>
        <v>1+506.179612248813i</v>
      </c>
      <c r="AG272">
        <f t="shared" si="234"/>
        <v>506.18060003951024</v>
      </c>
      <c r="AH272">
        <f t="shared" si="235"/>
        <v>1.5688207460428709</v>
      </c>
      <c r="AI272" t="str">
        <f t="shared" si="216"/>
        <v>1+1.18952208878471i</v>
      </c>
      <c r="AJ272">
        <f t="shared" si="236"/>
        <v>1.554015057747749</v>
      </c>
      <c r="AK272">
        <f t="shared" si="237"/>
        <v>0.87174160842649406</v>
      </c>
      <c r="AL272" t="str">
        <f t="shared" si="217"/>
        <v>1-0.0828489706314138i</v>
      </c>
      <c r="AM272">
        <f t="shared" si="238"/>
        <v>1.0034261068632233</v>
      </c>
      <c r="AN272">
        <f t="shared" si="239"/>
        <v>-8.2660190373411629E-2</v>
      </c>
      <c r="AO272" s="58" t="str">
        <f t="shared" si="240"/>
        <v>0.259212599470662-0.256295393448669i</v>
      </c>
      <c r="AP272">
        <f t="shared" si="241"/>
        <v>-8.7654528166897148</v>
      </c>
      <c r="AQ272" s="60">
        <f t="shared" si="242"/>
        <v>-44.67577261418198</v>
      </c>
      <c r="AR272" t="str">
        <f t="shared" si="218"/>
        <v>-1.94444444444444</v>
      </c>
      <c r="AS272" t="str">
        <f t="shared" si="219"/>
        <v>1+1.2200226551638i</v>
      </c>
      <c r="AT272">
        <f t="shared" si="243"/>
        <v>1.5774838443270753</v>
      </c>
      <c r="AU272">
        <f t="shared" si="244"/>
        <v>0.88418385967350421</v>
      </c>
      <c r="AV272" t="str">
        <f t="shared" si="220"/>
        <v>1+1.2200226551638i</v>
      </c>
      <c r="AW272">
        <f t="shared" si="245"/>
        <v>1.5774838443270753</v>
      </c>
      <c r="AX272">
        <f t="shared" si="246"/>
        <v>0.88418385967350421</v>
      </c>
      <c r="AY272" t="str">
        <f t="shared" si="221"/>
        <v>1-0.00174395087293065i</v>
      </c>
      <c r="AZ272">
        <f t="shared" si="247"/>
        <v>1.0000015206811674</v>
      </c>
      <c r="BA272">
        <f t="shared" si="248"/>
        <v>-1.7439491049370324E-3</v>
      </c>
      <c r="BB272" s="58" t="str">
        <f t="shared" si="249"/>
        <v>-0.7797236080115+0.954671482126342i</v>
      </c>
      <c r="BC272">
        <f t="shared" si="250"/>
        <v>1.816625590453842</v>
      </c>
      <c r="BD272" s="60">
        <f t="shared" si="251"/>
        <v>129.24007560372226</v>
      </c>
      <c r="BE272" s="58" t="str">
        <f t="shared" si="252"/>
        <v>0.0951484454083376+0.284181323624915i</v>
      </c>
      <c r="BF272" s="37">
        <f t="shared" si="253"/>
        <v>-10.466644168350532</v>
      </c>
      <c r="BG272" s="60">
        <f t="shared" si="254"/>
        <v>71.488631293319457</v>
      </c>
      <c r="BH272" s="58" t="str">
        <f t="shared" si="255"/>
        <v>0.0425637198244904+0.447302445419002i</v>
      </c>
      <c r="BI272" s="37">
        <f t="shared" si="256"/>
        <v>-6.9488272262358706</v>
      </c>
      <c r="BJ272" s="60">
        <f t="shared" si="257"/>
        <v>84.564302989540295</v>
      </c>
      <c r="BK272">
        <f t="shared" si="258"/>
        <v>-10.466644168350532</v>
      </c>
      <c r="BL272" s="60">
        <f t="shared" si="259"/>
        <v>71.488631293319457</v>
      </c>
      <c r="BN272">
        <f t="shared" si="260"/>
        <v>0</v>
      </c>
      <c r="BO272">
        <f t="shared" si="261"/>
        <v>0</v>
      </c>
    </row>
    <row r="273" spans="13:67" ht="14.25" x14ac:dyDescent="0.2">
      <c r="M273" s="66">
        <v>55</v>
      </c>
      <c r="N273" s="36">
        <f t="shared" si="262"/>
        <v>3548.1338923357539</v>
      </c>
      <c r="O273" s="91" t="str">
        <f t="shared" si="210"/>
        <v>99.7340425531915</v>
      </c>
      <c r="P273" s="67" t="str">
        <f t="shared" si="211"/>
        <v>1+647.462562561997i</v>
      </c>
      <c r="Q273" s="67">
        <f t="shared" si="222"/>
        <v>647.46333480695864</v>
      </c>
      <c r="R273" s="67">
        <f t="shared" si="223"/>
        <v>1.5692518371785495</v>
      </c>
      <c r="S273" s="67" t="str">
        <f t="shared" si="212"/>
        <v>1+1.21722961761655i</v>
      </c>
      <c r="T273" s="67">
        <f t="shared" si="224"/>
        <v>1.5753247100210586</v>
      </c>
      <c r="U273" s="67">
        <f t="shared" si="225"/>
        <v>0.88305992295394264</v>
      </c>
      <c r="V273" t="str">
        <f t="shared" si="213"/>
        <v>1-0.125735806654897i</v>
      </c>
      <c r="W273" s="67">
        <f t="shared" si="226"/>
        <v>1.0078737485792342</v>
      </c>
      <c r="X273" s="67">
        <f t="shared" si="227"/>
        <v>-0.12507941536839909</v>
      </c>
      <c r="Y273" t="str">
        <f t="shared" si="214"/>
        <v>0.997020294883327+0.194354311068671i</v>
      </c>
      <c r="Z273" s="67">
        <f t="shared" si="228"/>
        <v>1.0157869199001404</v>
      </c>
      <c r="AA273" s="67">
        <f t="shared" si="229"/>
        <v>0.19252081227239107</v>
      </c>
      <c r="AB273" s="92" t="str">
        <f t="shared" si="230"/>
        <v>0.129319204089846-0.203092578966875i</v>
      </c>
      <c r="AC273" s="37">
        <f t="shared" si="231"/>
        <v>-12.367963087280538</v>
      </c>
      <c r="AD273" s="60">
        <f t="shared" si="232"/>
        <v>-57.513053237284339</v>
      </c>
      <c r="AE273" t="str">
        <f t="shared" si="233"/>
        <v>118.329284003155</v>
      </c>
      <c r="AF273" t="str">
        <f t="shared" si="215"/>
        <v>1+517.970050049597i</v>
      </c>
      <c r="AG273">
        <f t="shared" si="234"/>
        <v>517.9710153554754</v>
      </c>
      <c r="AH273">
        <f t="shared" si="235"/>
        <v>1.5688657156379695</v>
      </c>
      <c r="AI273" t="str">
        <f t="shared" si="216"/>
        <v>1+1.21722961761655i</v>
      </c>
      <c r="AJ273">
        <f t="shared" si="236"/>
        <v>1.5753247100210586</v>
      </c>
      <c r="AK273">
        <f t="shared" si="237"/>
        <v>0.88305992295394264</v>
      </c>
      <c r="AL273" t="str">
        <f t="shared" si="217"/>
        <v>1-0.0847787710647993i</v>
      </c>
      <c r="AM273">
        <f t="shared" si="238"/>
        <v>1.0035872857022741</v>
      </c>
      <c r="AN273">
        <f t="shared" si="239"/>
        <v>-8.4576528404441478E-2</v>
      </c>
      <c r="AO273" s="58" t="str">
        <f t="shared" si="240"/>
        <v>0.259191859269246-0.251522476904338i</v>
      </c>
      <c r="AP273">
        <f t="shared" si="241"/>
        <v>-8.8457597114614046</v>
      </c>
      <c r="AQ273" s="60">
        <f t="shared" si="242"/>
        <v>-44.139655609861578</v>
      </c>
      <c r="AR273" t="str">
        <f t="shared" si="218"/>
        <v>-1.94444444444444</v>
      </c>
      <c r="AS273" t="str">
        <f t="shared" si="219"/>
        <v>1+1.24844063345287i</v>
      </c>
      <c r="AT273">
        <f t="shared" si="243"/>
        <v>1.599563695279498</v>
      </c>
      <c r="AU273">
        <f t="shared" si="244"/>
        <v>0.89544638811662158</v>
      </c>
      <c r="AV273" t="str">
        <f t="shared" si="220"/>
        <v>1+1.24844063345287i</v>
      </c>
      <c r="AW273">
        <f t="shared" si="245"/>
        <v>1.599563695279498</v>
      </c>
      <c r="AX273">
        <f t="shared" si="246"/>
        <v>0.89544638811662158</v>
      </c>
      <c r="AY273" t="str">
        <f t="shared" si="221"/>
        <v>1-0.00170425370454622i</v>
      </c>
      <c r="AZ273">
        <f t="shared" si="247"/>
        <v>1.0000014522392902</v>
      </c>
      <c r="BA273">
        <f t="shared" si="248"/>
        <v>-1.704252054558437E-3</v>
      </c>
      <c r="BB273" s="58" t="str">
        <f t="shared" si="249"/>
        <v>-0.758346081314543+0.950063888780558i</v>
      </c>
      <c r="BC273">
        <f t="shared" si="250"/>
        <v>1.6958926279591504</v>
      </c>
      <c r="BD273" s="60">
        <f t="shared" si="251"/>
        <v>128.59705473073143</v>
      </c>
      <c r="BE273" s="58" t="str">
        <f t="shared" si="252"/>
        <v>0.0948822136954915+0.2768759673352i</v>
      </c>
      <c r="BF273" s="37">
        <f t="shared" si="253"/>
        <v>-10.672070459321381</v>
      </c>
      <c r="BG273" s="60">
        <f t="shared" si="254"/>
        <v>71.084001493447104</v>
      </c>
      <c r="BH273" s="58" t="str">
        <f t="shared" si="255"/>
        <v>0.0424052917379903+0.436989910480535i</v>
      </c>
      <c r="BI273" s="37">
        <f t="shared" si="256"/>
        <v>-7.1498670835022606</v>
      </c>
      <c r="BJ273" s="60">
        <f t="shared" si="257"/>
        <v>84.457399120869837</v>
      </c>
      <c r="BK273">
        <f t="shared" si="258"/>
        <v>-10.672070459321381</v>
      </c>
      <c r="BL273" s="60">
        <f t="shared" si="259"/>
        <v>71.084001493447104</v>
      </c>
      <c r="BN273">
        <f t="shared" si="260"/>
        <v>0</v>
      </c>
      <c r="BO273">
        <f t="shared" si="261"/>
        <v>0</v>
      </c>
    </row>
    <row r="274" spans="13:67" ht="14.25" x14ac:dyDescent="0.2">
      <c r="M274" s="66">
        <v>56</v>
      </c>
      <c r="N274" s="36">
        <f t="shared" si="262"/>
        <v>3630.7805477010188</v>
      </c>
      <c r="O274" s="91" t="str">
        <f t="shared" si="210"/>
        <v>99.7340425531915</v>
      </c>
      <c r="P274" s="67" t="str">
        <f t="shared" si="211"/>
        <v>1+662.543903033833i</v>
      </c>
      <c r="Q274" s="67">
        <f t="shared" si="222"/>
        <v>662.54465770037348</v>
      </c>
      <c r="R274" s="67">
        <f t="shared" si="223"/>
        <v>1.5692869940004071</v>
      </c>
      <c r="S274" s="67" t="str">
        <f t="shared" si="212"/>
        <v>1+1.24558253770361i</v>
      </c>
      <c r="T274" s="67">
        <f t="shared" si="224"/>
        <v>1.5973339845605756</v>
      </c>
      <c r="U274" s="67">
        <f t="shared" si="225"/>
        <v>0.89432777580655076</v>
      </c>
      <c r="V274" t="str">
        <f t="shared" si="213"/>
        <v>1-0.128664569828724i</v>
      </c>
      <c r="W274" s="67">
        <f t="shared" si="226"/>
        <v>1.0082433096873049</v>
      </c>
      <c r="X274" s="67">
        <f t="shared" si="227"/>
        <v>-0.12796154409362295</v>
      </c>
      <c r="Y274" t="str">
        <f t="shared" si="214"/>
        <v>0.996879865707559+0.198881404536126i</v>
      </c>
      <c r="Z274" s="67">
        <f t="shared" si="228"/>
        <v>1.0165251003902378</v>
      </c>
      <c r="AA274" s="67">
        <f t="shared" si="229"/>
        <v>0.19691847921954969</v>
      </c>
      <c r="AB274" s="92" t="str">
        <f t="shared" si="230"/>
        <v>0.128889273172824-0.200662190524498i</v>
      </c>
      <c r="AC274" s="37">
        <f t="shared" si="231"/>
        <v>-12.45057519869553</v>
      </c>
      <c r="AD274" s="60">
        <f t="shared" si="232"/>
        <v>-57.286568729914265</v>
      </c>
      <c r="AE274" t="str">
        <f t="shared" si="233"/>
        <v>118.329284003155</v>
      </c>
      <c r="AF274" t="str">
        <f t="shared" si="215"/>
        <v>1+530.035122427066i</v>
      </c>
      <c r="AG274">
        <f t="shared" si="234"/>
        <v>530.03606575993933</v>
      </c>
      <c r="AH274">
        <f t="shared" si="235"/>
        <v>1.5689096616076561</v>
      </c>
      <c r="AI274" t="str">
        <f t="shared" si="216"/>
        <v>1+1.24558253770361i</v>
      </c>
      <c r="AJ274">
        <f t="shared" si="236"/>
        <v>1.5973339845605756</v>
      </c>
      <c r="AK274">
        <f t="shared" si="237"/>
        <v>0.89432777580655076</v>
      </c>
      <c r="AL274" t="str">
        <f t="shared" si="217"/>
        <v>1-0.0867535223247838i</v>
      </c>
      <c r="AM274">
        <f t="shared" si="238"/>
        <v>1.003756032926207</v>
      </c>
      <c r="AN274">
        <f t="shared" si="239"/>
        <v>-8.6536859182277104E-2</v>
      </c>
      <c r="AO274" s="58" t="str">
        <f t="shared" si="240"/>
        <v>0.259172052523862-0.246882917301297i</v>
      </c>
      <c r="AP274">
        <f t="shared" si="241"/>
        <v>-8.9237856958333808</v>
      </c>
      <c r="AQ274" s="60">
        <f t="shared" si="242"/>
        <v>-43.608891795841672</v>
      </c>
      <c r="AR274" t="str">
        <f t="shared" si="218"/>
        <v>-1.94444444444444</v>
      </c>
      <c r="AS274" t="str">
        <f t="shared" si="219"/>
        <v>1+1.27752055149087i</v>
      </c>
      <c r="AT274">
        <f t="shared" si="243"/>
        <v>1.6223620925926299</v>
      </c>
      <c r="AU274">
        <f t="shared" si="244"/>
        <v>0.90665244799795297</v>
      </c>
      <c r="AV274" t="str">
        <f t="shared" si="220"/>
        <v>1+1.27752055149087i</v>
      </c>
      <c r="AW274">
        <f t="shared" si="245"/>
        <v>1.6223620925926299</v>
      </c>
      <c r="AX274">
        <f t="shared" si="246"/>
        <v>0.90665244799795297</v>
      </c>
      <c r="AY274" t="str">
        <f t="shared" si="221"/>
        <v>1-0.00166546015403438i</v>
      </c>
      <c r="AZ274">
        <f t="shared" si="247"/>
        <v>1.0000013868778006</v>
      </c>
      <c r="BA274">
        <f t="shared" si="248"/>
        <v>-1.6654586141760647E-3</v>
      </c>
      <c r="BB274" s="58" t="str">
        <f t="shared" si="249"/>
        <v>-0.737182375437317+0.945004029561986i</v>
      </c>
      <c r="BC274">
        <f t="shared" si="250"/>
        <v>1.572967026483993</v>
      </c>
      <c r="BD274" s="60">
        <f t="shared" si="251"/>
        <v>127.95721749496697</v>
      </c>
      <c r="BE274" s="58" t="str">
        <f t="shared" si="252"/>
        <v>0.0946116780604539+0.269725512786939i</v>
      </c>
      <c r="BF274" s="37">
        <f t="shared" si="253"/>
        <v>-10.877608172211543</v>
      </c>
      <c r="BG274" s="60">
        <f t="shared" si="254"/>
        <v>70.670648765052704</v>
      </c>
      <c r="BH274" s="58" t="str">
        <f t="shared" si="255"/>
        <v>0.0422482823532385+0.426916369415965i</v>
      </c>
      <c r="BI274" s="37">
        <f t="shared" si="256"/>
        <v>-7.3508186693493904</v>
      </c>
      <c r="BJ274" s="60">
        <f t="shared" si="257"/>
        <v>84.348325699125311</v>
      </c>
      <c r="BK274">
        <f t="shared" si="258"/>
        <v>-10.877608172211543</v>
      </c>
      <c r="BL274" s="60">
        <f t="shared" si="259"/>
        <v>70.670648765052704</v>
      </c>
      <c r="BN274">
        <f t="shared" si="260"/>
        <v>0</v>
      </c>
      <c r="BO274">
        <f t="shared" si="261"/>
        <v>0</v>
      </c>
    </row>
    <row r="275" spans="13:67" ht="14.25" x14ac:dyDescent="0.2">
      <c r="M275" s="66">
        <v>57</v>
      </c>
      <c r="N275" s="36">
        <f t="shared" si="262"/>
        <v>3715.352290971724</v>
      </c>
      <c r="O275" s="91" t="str">
        <f t="shared" ref="O275:O338" si="263">COMPLEX(adc,0)</f>
        <v>99.7340425531915</v>
      </c>
      <c r="P275" s="67" t="str">
        <f t="shared" ref="P275:P338" si="264">IMSUM(COMPLEX(1,0),IMDIV(COMPLEX(0,2*PI()*N275),COMPLEX(wp_lf,0)))</f>
        <v>1+677.97653305286i</v>
      </c>
      <c r="Q275" s="67">
        <f t="shared" si="222"/>
        <v>677.97727054111169</v>
      </c>
      <c r="R275" s="67">
        <f t="shared" si="223"/>
        <v>1.5693213505589021</v>
      </c>
      <c r="S275" s="67" t="str">
        <f t="shared" ref="S275:S338" si="265">IMSUM(COMPLEX(1,0),IMDIV(COMPLEX(0,2*PI()*N275),COMPLEX(wz_esr,0)))</f>
        <v>1+1.27459588213938i</v>
      </c>
      <c r="T275" s="67">
        <f t="shared" si="224"/>
        <v>1.6200600799867466</v>
      </c>
      <c r="U275" s="67">
        <f t="shared" si="225"/>
        <v>0.9055396971017069</v>
      </c>
      <c r="V275" t="str">
        <f t="shared" ref="V275:V338" si="266">IMSUB(COMPLEX(1,0),IMDIV(COMPLEX(0,2*PI()*N275),COMPLEX(wz_rhp,0)))</f>
        <v>1-0.131661552660551i</v>
      </c>
      <c r="W275" s="67">
        <f t="shared" si="226"/>
        <v>1.0086301425443258</v>
      </c>
      <c r="X275" s="67">
        <f t="shared" si="227"/>
        <v>-0.13090859469023172</v>
      </c>
      <c r="Y275" t="str">
        <f t="shared" ref="Y275:Y338" si="267">IMSUM(COMPLEX(1,0),IMDIV(COMPLEX(0,2*PI()*N275),COMPLEX(Q*(wsl/2),0)),IMDIV(IMPOWER(COMPLEX(0,2*PI()*N275),2),IMPOWER(COMPLEX(wsl/2,0),2)))</f>
        <v>0.996732818308632+0.203513947556771i</v>
      </c>
      <c r="Z275" s="67">
        <f t="shared" si="228"/>
        <v>1.0172975169259033</v>
      </c>
      <c r="AA275" s="67">
        <f t="shared" si="229"/>
        <v>0.20141254311941975</v>
      </c>
      <c r="AB275" s="92" t="str">
        <f t="shared" si="230"/>
        <v>0.128441362947667-0.198331219527507i</v>
      </c>
      <c r="AC275" s="37">
        <f t="shared" si="231"/>
        <v>-12.531132648952561</v>
      </c>
      <c r="AD275" s="60">
        <f t="shared" si="232"/>
        <v>-57.072485900791015</v>
      </c>
      <c r="AE275" t="str">
        <f t="shared" si="233"/>
        <v>118.329284003155</v>
      </c>
      <c r="AF275" t="str">
        <f t="shared" ref="AF275:AF338" si="268">IMSUM(COMPLEX(1,0),IMDIV(COMPLEX(0,2*PI()*N275),COMPLEX(wp_lf_DCM,0)))</f>
        <v>1+542.381226442288i</v>
      </c>
      <c r="AG275">
        <f t="shared" si="234"/>
        <v>542.38214830232062</v>
      </c>
      <c r="AH275">
        <f t="shared" si="235"/>
        <v>1.5689526072519866</v>
      </c>
      <c r="AI275" t="str">
        <f t="shared" ref="AI275:AI338" si="269">IMSUM(COMPLEX(1,0),IMDIV(COMPLEX(0,2*PI()*N275),COMPLEX(wz1_dcm,0)))</f>
        <v>1+1.27459588213938i</v>
      </c>
      <c r="AJ275">
        <f t="shared" si="236"/>
        <v>1.6200600799867466</v>
      </c>
      <c r="AK275">
        <f t="shared" si="237"/>
        <v>0.9055396971017069</v>
      </c>
      <c r="AL275" t="str">
        <f t="shared" ref="AL275:AL338" si="270">IMSUB(COMPLEX(1,0),IMDIV(COMPLEX(0,2*PI()*N275),COMPLEX(wz2_dcm,0)))</f>
        <v>1-0.0887742714506232i</v>
      </c>
      <c r="AM275">
        <f t="shared" si="238"/>
        <v>1.0039327025610776</v>
      </c>
      <c r="AN275">
        <f t="shared" si="239"/>
        <v>-8.8542161799989152E-2</v>
      </c>
      <c r="AO275" s="58" t="str">
        <f t="shared" si="240"/>
        <v>0.259153137222661-0.242374254924272i</v>
      </c>
      <c r="AP275">
        <f t="shared" si="241"/>
        <v>-8.9995485649189391</v>
      </c>
      <c r="AQ275" s="60">
        <f t="shared" si="242"/>
        <v>-43.083852006206413</v>
      </c>
      <c r="AR275" t="str">
        <f t="shared" ref="AR275:AR338" si="271">COMPLEX(adc_ea,0)</f>
        <v>-1.94444444444444</v>
      </c>
      <c r="AS275" t="str">
        <f t="shared" ref="AS275:AS338" si="272">IMSUM(COMPLEX(1,0), IMDIV(COMPLEX(0,2*PI()*N275), COMPLEX(wp0_ea,0)))</f>
        <v>1+1.30727782783525i</v>
      </c>
      <c r="AT275">
        <f t="shared" si="243"/>
        <v>1.6458965092464501</v>
      </c>
      <c r="AU275">
        <f t="shared" si="244"/>
        <v>0.91779672384363042</v>
      </c>
      <c r="AV275" t="str">
        <f t="shared" ref="AV275:AV338" si="273">IMSUM(COMPLEX(1,0),IMDIV(COMPLEX(0,2*PI()*N275),COMPLEX(wp1_ea,0)))</f>
        <v>1+1.30727782783525i</v>
      </c>
      <c r="AW275">
        <f t="shared" si="245"/>
        <v>1.6458965092464501</v>
      </c>
      <c r="AX275">
        <f t="shared" si="246"/>
        <v>0.91779672384363042</v>
      </c>
      <c r="AY275" t="str">
        <f t="shared" ref="AY275:AY338" si="274">IMSUM(COMPLEX(1,0),IMDIV(COMPLEX(wz_ea,0),COMPLEX(0,2*PI()*N275)))</f>
        <v>1-0.0016275496525412i</v>
      </c>
      <c r="AZ275">
        <f t="shared" si="247"/>
        <v>1.0000013244580586</v>
      </c>
      <c r="BA275">
        <f t="shared" si="248"/>
        <v>-1.6275482154616968E-3</v>
      </c>
      <c r="BB275" s="58" t="str">
        <f t="shared" si="249"/>
        <v>-0.716251386599661+0.939504236737932i</v>
      </c>
      <c r="BC275">
        <f t="shared" si="250"/>
        <v>1.4478718060865692</v>
      </c>
      <c r="BD275" s="60">
        <f t="shared" si="251"/>
        <v>127.32086962912605</v>
      </c>
      <c r="BE275" s="58" t="str">
        <f t="shared" si="252"/>
        <v>0.0943367167154769+0.262726215654306i</v>
      </c>
      <c r="BF275" s="37">
        <f t="shared" si="253"/>
        <v>-11.083260842866004</v>
      </c>
      <c r="BG275" s="60">
        <f t="shared" si="254"/>
        <v>70.248383728335014</v>
      </c>
      <c r="BH275" s="58" t="str">
        <f t="shared" si="255"/>
        <v>0.04209284550017+0.417076366550186i</v>
      </c>
      <c r="BI275" s="37">
        <f t="shared" si="256"/>
        <v>-7.5516767588323752</v>
      </c>
      <c r="BJ275" s="60">
        <f t="shared" si="257"/>
        <v>84.237017622919623</v>
      </c>
      <c r="BK275">
        <f t="shared" si="258"/>
        <v>-11.083260842866004</v>
      </c>
      <c r="BL275" s="60">
        <f t="shared" si="259"/>
        <v>70.248383728335014</v>
      </c>
      <c r="BN275">
        <f t="shared" si="260"/>
        <v>0</v>
      </c>
      <c r="BO275">
        <f t="shared" si="261"/>
        <v>0</v>
      </c>
    </row>
    <row r="276" spans="13:67" ht="14.25" x14ac:dyDescent="0.2">
      <c r="M276" s="66">
        <v>58</v>
      </c>
      <c r="N276" s="36">
        <f t="shared" si="262"/>
        <v>3801.8939632056172</v>
      </c>
      <c r="O276" s="91" t="str">
        <f t="shared" si="263"/>
        <v>99.7340425531915</v>
      </c>
      <c r="P276" s="67" t="str">
        <f t="shared" si="264"/>
        <v>1+693.768635203793i</v>
      </c>
      <c r="Q276" s="67">
        <f t="shared" ref="Q276:Q339" si="275">IMABS(P276)</f>
        <v>693.76935590478024</v>
      </c>
      <c r="R276" s="67">
        <f t="shared" ref="R276:R339" si="276">IMARGUMENT(P276)</f>
        <v>1.5693549250700121</v>
      </c>
      <c r="S276" s="67" t="str">
        <f t="shared" si="265"/>
        <v>1+1.30428503418313i</v>
      </c>
      <c r="T276" s="67">
        <f t="shared" ref="T276:T339" si="277">IMABS(S276)</f>
        <v>1.6435204441667552</v>
      </c>
      <c r="U276" s="67">
        <f t="shared" ref="U276:U339" si="278">IMARGUMENT(S276)</f>
        <v>0.91669035680722244</v>
      </c>
      <c r="V276" t="str">
        <f t="shared" si="266"/>
        <v>1-0.134728344190345i</v>
      </c>
      <c r="W276" s="67">
        <f t="shared" ref="W276:W339" si="279">IMABS(V276)</f>
        <v>1.0090350473240619</v>
      </c>
      <c r="X276" s="67">
        <f t="shared" ref="X276:X339" si="280">IMARGUMENT(V276)</f>
        <v>-0.13392192485111987</v>
      </c>
      <c r="Y276" t="str">
        <f t="shared" si="267"/>
        <v>0.9965788407793+0.208254396366237i</v>
      </c>
      <c r="Z276" s="67">
        <f t="shared" ref="Z276:Z339" si="281">IMABS(Y276)</f>
        <v>1.0181057309999191</v>
      </c>
      <c r="AA276" s="67">
        <f t="shared" ref="AA276:AA339" si="282">IMARGUMENT(Y276)</f>
        <v>0.2060048369626197</v>
      </c>
      <c r="AB276" s="92" t="str">
        <f t="shared" ref="AB276:AB339" si="283">(IMDIV(IMPRODUCT(O276,S276,V276),IMPRODUCT(P276,Y276)))</f>
        <v>0.12797470050262-0.196097965036277i</v>
      </c>
      <c r="AC276" s="37">
        <f t="shared" ref="AC276:AC339" si="284">20*LOG(IMABS(AB276))</f>
        <v>-12.60966420931773</v>
      </c>
      <c r="AD276" s="60">
        <f t="shared" ref="AD276:AD339" si="285">(180/PI())*IMARGUMENT(AB276)</f>
        <v>-56.871293994661855</v>
      </c>
      <c r="AE276" t="str">
        <f t="shared" ref="AE276:AE339" si="286">COMPLEX($B$67,0)</f>
        <v>118.329284003155</v>
      </c>
      <c r="AF276" t="str">
        <f t="shared" si="268"/>
        <v>1+555.014908163034i</v>
      </c>
      <c r="AG276">
        <f t="shared" ref="AG276:AG339" si="287">IMABS(AF276)</f>
        <v>555.01580903900481</v>
      </c>
      <c r="AH276">
        <f t="shared" ref="AH276:AH339" si="288">IMARGUMENT(AF276)</f>
        <v>1.5689945753406758</v>
      </c>
      <c r="AI276" t="str">
        <f t="shared" si="269"/>
        <v>1+1.30428503418313i</v>
      </c>
      <c r="AJ276">
        <f t="shared" ref="AJ276:AJ339" si="289">IMABS(AI276)</f>
        <v>1.6435204441667552</v>
      </c>
      <c r="AK276">
        <f t="shared" ref="AK276:AK339" si="290">IMARGUMENT(AI276)</f>
        <v>0.91669035680722244</v>
      </c>
      <c r="AL276" t="str">
        <f t="shared" si="270"/>
        <v>1-0.0908420898702521i</v>
      </c>
      <c r="AM276">
        <f t="shared" ref="AM276:AM339" si="291">IMABS(AL276)</f>
        <v>1.0041176650632111</v>
      </c>
      <c r="AN276">
        <f t="shared" ref="AN276:AN339" si="292">IMARGUMENT(AL276)</f>
        <v>-9.0593434949403875E-2</v>
      </c>
      <c r="AO276" s="58" t="str">
        <f t="shared" ref="AO276:AO339" si="293">(IMDIV(IMPRODUCT(AE276,AI276,AL276),IMPRODUCT(AF276)))</f>
        <v>0.259135073244592-0.237994099445362i</v>
      </c>
      <c r="AP276">
        <f t="shared" ref="AP276:AP339" si="294">20*LOG(IMABS(AO276))</f>
        <v>-9.0730679757335313</v>
      </c>
      <c r="AQ276" s="60">
        <f t="shared" ref="AQ276:AQ339" si="295">(180/PI())*IMARGUMENT(AO276)</f>
        <v>-42.564900154740116</v>
      </c>
      <c r="AR276" t="str">
        <f t="shared" si="271"/>
        <v>-1.94444444444444</v>
      </c>
      <c r="AS276" t="str">
        <f t="shared" si="272"/>
        <v>1+1.33772824018782i</v>
      </c>
      <c r="AT276">
        <f t="shared" ref="AT276:AT339" si="296">IMABS(AS276)</f>
        <v>1.6701846737998771</v>
      </c>
      <c r="AU276">
        <f t="shared" ref="AU276:AU339" si="297">IMARGUMENT(AS276)</f>
        <v>0.9288740525158935</v>
      </c>
      <c r="AV276" t="str">
        <f t="shared" si="273"/>
        <v>1+1.33772824018782i</v>
      </c>
      <c r="AW276">
        <f t="shared" ref="AW276:AW339" si="298">IMABS(AV276)</f>
        <v>1.6701846737998771</v>
      </c>
      <c r="AX276">
        <f t="shared" ref="AX276:AX339" si="299">IMARGUMENT(AV276)</f>
        <v>0.9288740525158935</v>
      </c>
      <c r="AY276" t="str">
        <f t="shared" si="274"/>
        <v>1-0.00159050209941696i</v>
      </c>
      <c r="AZ276">
        <f t="shared" ref="AZ276:AZ339" si="300">IMABS(AY276)</f>
        <v>1.0000012648476642</v>
      </c>
      <c r="BA276">
        <f t="shared" ref="BA276:BA339" si="301">IMARGUMENT(AY276)</f>
        <v>-1.5905007582562372E-3</v>
      </c>
      <c r="BB276" s="58" t="str">
        <f t="shared" ref="BB276:BB339" si="302">IMDIV(IMPRODUCT(AR276,AY276), AS276)</f>
        <v>-0.69557111023153+0.933577760186602i</v>
      </c>
      <c r="BC276">
        <f t="shared" ref="BC276:BC339" si="303">20*LOG(IMABS(BB276))</f>
        <v>1.3206318886908823</v>
      </c>
      <c r="BD276" s="60">
        <f t="shared" ref="BD276:BD339" si="304">(180/PI())*IMARGUMENT(BB276)</f>
        <v>126.68830811086565</v>
      </c>
      <c r="BE276" s="58" t="str">
        <f t="shared" ref="BE276:BE339" si="305">IMPRODUCT(AB276,BB276)</f>
        <v>0.0940571944655631+0.255874413510214i</v>
      </c>
      <c r="BF276" s="37">
        <f t="shared" ref="BF276:BF339" si="306">20*LOG(IMABS(BE276))</f>
        <v>-11.28903232062685</v>
      </c>
      <c r="BG276" s="60">
        <f t="shared" ref="BG276:BG339" si="307">(180/PI())*IMARGUMENT(BE276)</f>
        <v>69.817014116203794</v>
      </c>
      <c r="BH276" s="58" t="str">
        <f t="shared" ref="BH276:BH339" si="308">IMPRODUCT(AO276,BB276)</f>
        <v>0.0419391277011588+0.407464561245241i</v>
      </c>
      <c r="BI276" s="37">
        <f t="shared" ref="BI276:BI339" si="309">20*LOG(IMABS(BH276))</f>
        <v>-7.7524360870426454</v>
      </c>
      <c r="BJ276" s="60">
        <f t="shared" ref="BJ276:BJ339" si="310">(180/PI())*IMARGUMENT(BH276)</f>
        <v>84.123407956125547</v>
      </c>
      <c r="BK276">
        <f t="shared" ref="BK276:BK339" si="311">IF($B$19=0,BF276,BI276)</f>
        <v>-11.28903232062685</v>
      </c>
      <c r="BL276" s="60">
        <f t="shared" ref="BL276:BL339" si="312">IF($B$19=0,BG276,BJ276)</f>
        <v>69.817014116203794</v>
      </c>
      <c r="BN276">
        <f t="shared" si="260"/>
        <v>0</v>
      </c>
      <c r="BO276">
        <f t="shared" si="261"/>
        <v>0</v>
      </c>
    </row>
    <row r="277" spans="13:67" ht="14.25" x14ac:dyDescent="0.2">
      <c r="M277" s="66">
        <v>59</v>
      </c>
      <c r="N277" s="36">
        <f t="shared" si="262"/>
        <v>3890.451449942811</v>
      </c>
      <c r="O277" s="91" t="str">
        <f t="shared" si="263"/>
        <v>99.7340425531915</v>
      </c>
      <c r="P277" s="67" t="str">
        <f t="shared" si="264"/>
        <v>1+709.928582668224i</v>
      </c>
      <c r="Q277" s="67">
        <f t="shared" si="275"/>
        <v>709.92928696407023</v>
      </c>
      <c r="R277" s="67">
        <f t="shared" si="276"/>
        <v>1.569387735335084</v>
      </c>
      <c r="S277" s="67" t="str">
        <f t="shared" si="265"/>
        <v>1+1.33466573541626i</v>
      </c>
      <c r="T277" s="67">
        <f t="shared" si="277"/>
        <v>1.6677327799423463</v>
      </c>
      <c r="U277" s="67">
        <f t="shared" si="278"/>
        <v>0.92777457613979086</v>
      </c>
      <c r="V277" t="str">
        <f t="shared" si="266"/>
        <v>1-0.13786657047157i</v>
      </c>
      <c r="W277" s="67">
        <f t="shared" si="279"/>
        <v>1.0094588606048254</v>
      </c>
      <c r="X277" s="67">
        <f t="shared" si="280"/>
        <v>-0.13700291327589093</v>
      </c>
      <c r="Y277" t="str">
        <f t="shared" si="267"/>
        <v>0.996417606512577+0.213105264413229i</v>
      </c>
      <c r="Z277" s="67">
        <f t="shared" si="281"/>
        <v>1.018951372877472</v>
      </c>
      <c r="AA277" s="67">
        <f t="shared" si="282"/>
        <v>0.21069720921387022</v>
      </c>
      <c r="AB277" s="92" t="str">
        <f t="shared" si="283"/>
        <v>0.127488489048783-0.193960748530882i</v>
      </c>
      <c r="AC277" s="37">
        <f t="shared" si="284"/>
        <v>-12.686200782507537</v>
      </c>
      <c r="AD277" s="60">
        <f t="shared" si="285"/>
        <v>-56.683475656790669</v>
      </c>
      <c r="AE277" t="str">
        <f t="shared" si="286"/>
        <v>118.329284003155</v>
      </c>
      <c r="AF277" t="str">
        <f t="shared" si="268"/>
        <v>1+567.94286613458i</v>
      </c>
      <c r="AG277">
        <f t="shared" si="287"/>
        <v>567.94374650414227</v>
      </c>
      <c r="AH277">
        <f t="shared" si="288"/>
        <v>1.5690355881251681</v>
      </c>
      <c r="AI277" t="str">
        <f t="shared" si="269"/>
        <v>1+1.33466573541626i</v>
      </c>
      <c r="AJ277">
        <f t="shared" si="289"/>
        <v>1.6677327799423463</v>
      </c>
      <c r="AK277">
        <f t="shared" si="290"/>
        <v>0.92777457613979086</v>
      </c>
      <c r="AL277" t="str">
        <f t="shared" si="270"/>
        <v>1-0.0929580739683675i</v>
      </c>
      <c r="AM277">
        <f t="shared" si="291"/>
        <v>1.00431130806932</v>
      </c>
      <c r="AN277">
        <f t="shared" si="292"/>
        <v>-9.2691697154992286E-2</v>
      </c>
      <c r="AO277" s="58" t="str">
        <f t="shared" si="293"/>
        <v>0.259117822274304-0.233740128657735i</v>
      </c>
      <c r="AP277">
        <f t="shared" si="294"/>
        <v>-9.1443653518580543</v>
      </c>
      <c r="AQ277" s="60">
        <f t="shared" si="295"/>
        <v>-42.052392595936006</v>
      </c>
      <c r="AR277" t="str">
        <f t="shared" si="271"/>
        <v>-1.94444444444444</v>
      </c>
      <c r="AS277" t="str">
        <f t="shared" si="272"/>
        <v>1+1.36888793376026i</v>
      </c>
      <c r="AT277">
        <f t="shared" si="296"/>
        <v>1.6952445768072621</v>
      </c>
      <c r="AU277">
        <f t="shared" si="297"/>
        <v>0.93987943364217696</v>
      </c>
      <c r="AV277" t="str">
        <f t="shared" si="273"/>
        <v>1+1.36888793376026i</v>
      </c>
      <c r="AW277">
        <f t="shared" si="298"/>
        <v>1.6952445768072621</v>
      </c>
      <c r="AX277">
        <f t="shared" si="299"/>
        <v>0.93987943364217696</v>
      </c>
      <c r="AY277" t="str">
        <f t="shared" si="274"/>
        <v>1-0.00155429785155861i</v>
      </c>
      <c r="AZ277">
        <f t="shared" si="300"/>
        <v>1.0000012079201761</v>
      </c>
      <c r="BA277">
        <f t="shared" si="301"/>
        <v>-1.5542965999145119E-3</v>
      </c>
      <c r="BB277" s="58" t="str">
        <f t="shared" si="302"/>
        <v>-0.675158588543875+0.927238691054794i</v>
      </c>
      <c r="BC277">
        <f t="shared" si="303"/>
        <v>1.1912740024696498</v>
      </c>
      <c r="BD277" s="60">
        <f t="shared" si="304"/>
        <v>126.0598205658705</v>
      </c>
      <c r="BE277" s="58" t="str">
        <f t="shared" si="305"/>
        <v>0.0937729622620155+0.249166524921171i</v>
      </c>
      <c r="BF277" s="37">
        <f t="shared" si="306"/>
        <v>-11.494926780037879</v>
      </c>
      <c r="BG277" s="60">
        <f t="shared" si="307"/>
        <v>69.376344909079847</v>
      </c>
      <c r="BH277" s="58" t="str">
        <f t="shared" si="308"/>
        <v>0.0417872677902956+0.398075725705215i</v>
      </c>
      <c r="BI277" s="37">
        <f t="shared" si="309"/>
        <v>-7.9530913493883961</v>
      </c>
      <c r="BJ277" s="60">
        <f t="shared" si="310"/>
        <v>84.007427969934497</v>
      </c>
      <c r="BK277">
        <f t="shared" si="311"/>
        <v>-11.494926780037879</v>
      </c>
      <c r="BL277" s="60">
        <f t="shared" si="312"/>
        <v>69.376344909079847</v>
      </c>
      <c r="BN277">
        <f t="shared" ref="BN277:BN340" si="313">SUM((BK278&lt;0)*(BK277&gt;0))*N277</f>
        <v>0</v>
      </c>
      <c r="BO277">
        <f t="shared" ref="BO277:BO340" si="314">IF(BN277&gt;0,BL277,0)</f>
        <v>0</v>
      </c>
    </row>
    <row r="278" spans="13:67" ht="14.25" x14ac:dyDescent="0.2">
      <c r="M278" s="66">
        <v>60</v>
      </c>
      <c r="N278" s="36">
        <f t="shared" si="262"/>
        <v>3981.0717055349769</v>
      </c>
      <c r="O278" s="91" t="str">
        <f t="shared" si="263"/>
        <v>99.7340425531915</v>
      </c>
      <c r="P278" s="67" t="str">
        <f t="shared" si="264"/>
        <v>1+726.4649436642i</v>
      </c>
      <c r="Q278" s="67">
        <f t="shared" si="275"/>
        <v>726.46563192833094</v>
      </c>
      <c r="R278" s="67">
        <f t="shared" si="276"/>
        <v>1.5694197987502725</v>
      </c>
      <c r="S278" s="67" t="str">
        <f t="shared" si="265"/>
        <v>1+1.3657540940887i</v>
      </c>
      <c r="T278" s="67">
        <f t="shared" si="277"/>
        <v>1.6927150514838714</v>
      </c>
      <c r="U278" s="67">
        <f t="shared" si="278"/>
        <v>0.93878733808404391</v>
      </c>
      <c r="V278" t="str">
        <f t="shared" si="266"/>
        <v>1-0.141077895433338i</v>
      </c>
      <c r="W278" s="67">
        <f t="shared" si="279"/>
        <v>1.009902456962998</v>
      </c>
      <c r="X278" s="67">
        <f t="shared" si="280"/>
        <v>-0.14015295945207965</v>
      </c>
      <c r="Y278" t="str">
        <f t="shared" si="267"/>
        <v>0.996248773508968+0.218069123692194i</v>
      </c>
      <c r="Z278" s="67">
        <f t="shared" si="281"/>
        <v>1.0198361444006603</v>
      </c>
      <c r="AA278" s="67">
        <f t="shared" si="282"/>
        <v>0.2154915224858811</v>
      </c>
      <c r="AB278" s="92" t="str">
        <f t="shared" si="283"/>
        <v>0.126981907597803-0.191917911355039i</v>
      </c>
      <c r="AC278" s="37">
        <f t="shared" si="284"/>
        <v>-12.760775312781563</v>
      </c>
      <c r="AD278" s="60">
        <f t="shared" si="285"/>
        <v>-56.509506242286356</v>
      </c>
      <c r="AE278" t="str">
        <f t="shared" si="286"/>
        <v>118.329284003155</v>
      </c>
      <c r="AF278" t="str">
        <f t="shared" si="268"/>
        <v>1+581.17195493136i</v>
      </c>
      <c r="AG278">
        <f t="shared" si="287"/>
        <v>581.17281526129443</v>
      </c>
      <c r="AH278">
        <f t="shared" si="288"/>
        <v>1.5690756673504327</v>
      </c>
      <c r="AI278" t="str">
        <f t="shared" si="269"/>
        <v>1+1.3657540940887i</v>
      </c>
      <c r="AJ278">
        <f t="shared" si="289"/>
        <v>1.6927150514838714</v>
      </c>
      <c r="AK278">
        <f t="shared" si="290"/>
        <v>0.93878733808404391</v>
      </c>
      <c r="AL278" t="str">
        <f t="shared" si="270"/>
        <v>1-0.0951233456677462i</v>
      </c>
      <c r="AM278">
        <f t="shared" si="291"/>
        <v>1.004514037179683</v>
      </c>
      <c r="AN278">
        <f t="shared" si="292"/>
        <v>-9.4837986998095397E-2</v>
      </c>
      <c r="AO278" s="58" t="str">
        <f t="shared" si="293"/>
        <v>0.259101347720872-0.229610087245371i</v>
      </c>
      <c r="AP278">
        <f t="shared" si="294"/>
        <v>-9.2134637820056255</v>
      </c>
      <c r="AQ278" s="60">
        <f t="shared" si="295"/>
        <v>-41.546677535823662</v>
      </c>
      <c r="AR278" t="str">
        <f t="shared" si="271"/>
        <v>-1.94444444444444</v>
      </c>
      <c r="AS278" t="str">
        <f t="shared" si="272"/>
        <v>1+1.40077342983456i</v>
      </c>
      <c r="AT278">
        <f t="shared" si="296"/>
        <v>1.7210944778629897</v>
      </c>
      <c r="AU278">
        <f t="shared" si="297"/>
        <v>0.95080803911983913</v>
      </c>
      <c r="AV278" t="str">
        <f t="shared" si="273"/>
        <v>1+1.40077342983456i</v>
      </c>
      <c r="AW278">
        <f t="shared" si="298"/>
        <v>1.7210944778629897</v>
      </c>
      <c r="AX278">
        <f t="shared" si="299"/>
        <v>0.95080803911983913</v>
      </c>
      <c r="AY278" t="str">
        <f t="shared" si="274"/>
        <v>1-0.00151891771299473i</v>
      </c>
      <c r="AZ278">
        <f t="shared" si="300"/>
        <v>1.0000011535548441</v>
      </c>
      <c r="BA278">
        <f t="shared" si="301"/>
        <v>-1.5189165448924161E-3</v>
      </c>
      <c r="BB278" s="58" t="str">
        <f t="shared" si="302"/>
        <v>-0.65502986546524+0.920501882400416i</v>
      </c>
      <c r="BC278">
        <f t="shared" si="303"/>
        <v>1.0598265812009249</v>
      </c>
      <c r="BD278" s="60">
        <f t="shared" si="304"/>
        <v>125.43568472386862</v>
      </c>
      <c r="BE278" s="58" t="str">
        <f t="shared" si="305"/>
        <v>0.0934838568183611+0.242599048629834i</v>
      </c>
      <c r="BF278" s="37">
        <f t="shared" si="306"/>
        <v>-11.700948731580649</v>
      </c>
      <c r="BG278" s="60">
        <f t="shared" si="307"/>
        <v>68.926178481582227</v>
      </c>
      <c r="BH278" s="58" t="str">
        <f t="shared" si="308"/>
        <v>0.0416373965880226+0.388904742867345i</v>
      </c>
      <c r="BI278" s="37">
        <f t="shared" si="309"/>
        <v>-8.1536372008046953</v>
      </c>
      <c r="BJ278" s="60">
        <f t="shared" si="310"/>
        <v>83.889007188044943</v>
      </c>
      <c r="BK278">
        <f t="shared" si="311"/>
        <v>-11.700948731580649</v>
      </c>
      <c r="BL278" s="60">
        <f t="shared" si="312"/>
        <v>68.926178481582227</v>
      </c>
      <c r="BN278">
        <f t="shared" si="313"/>
        <v>0</v>
      </c>
      <c r="BO278">
        <f t="shared" si="314"/>
        <v>0</v>
      </c>
    </row>
    <row r="279" spans="13:67" ht="14.25" x14ac:dyDescent="0.2">
      <c r="M279" s="66">
        <v>61</v>
      </c>
      <c r="N279" s="36">
        <f t="shared" si="262"/>
        <v>4073.8027780411317</v>
      </c>
      <c r="O279" s="91" t="str">
        <f t="shared" si="263"/>
        <v>99.7340425531915</v>
      </c>
      <c r="P279" s="67" t="str">
        <f t="shared" si="264"/>
        <v>1+743.38648598921i</v>
      </c>
      <c r="Q279" s="67">
        <f t="shared" si="275"/>
        <v>743.38715858655098</v>
      </c>
      <c r="R279" s="67">
        <f t="shared" si="276"/>
        <v>1.5694511323157603</v>
      </c>
      <c r="S279" s="67" t="str">
        <f t="shared" si="265"/>
        <v>1+1.39756659365971i</v>
      </c>
      <c r="T279" s="67">
        <f t="shared" si="277"/>
        <v>1.7184854912723602</v>
      </c>
      <c r="U279" s="67">
        <f t="shared" si="278"/>
        <v>0.9497237969908251</v>
      </c>
      <c r="V279" t="str">
        <f t="shared" si="266"/>
        <v>1-0.144364021762652i</v>
      </c>
      <c r="W279" s="67">
        <f t="shared" si="279"/>
        <v>1.010366750630427</v>
      </c>
      <c r="X279" s="67">
        <f t="shared" si="280"/>
        <v>-0.14337348338662756</v>
      </c>
      <c r="Y279" t="str">
        <f t="shared" si="267"/>
        <v>0.996071983651035+0.223148606107027i</v>
      </c>
      <c r="Z279" s="67">
        <f t="shared" si="281"/>
        <v>1.020761821886975</v>
      </c>
      <c r="AA279" s="67">
        <f t="shared" si="282"/>
        <v>0.22038965209070802</v>
      </c>
      <c r="AB279" s="92" t="str">
        <f t="shared" si="283"/>
        <v>0.126454110697652-0.189967812098198i</v>
      </c>
      <c r="AC279" s="37">
        <f t="shared" si="284"/>
        <v>-12.833422690748847</v>
      </c>
      <c r="AD279" s="60">
        <f t="shared" si="285"/>
        <v>-56.349853168304257</v>
      </c>
      <c r="AE279" t="str">
        <f t="shared" si="286"/>
        <v>118.329284003155</v>
      </c>
      <c r="AF279" t="str">
        <f t="shared" si="268"/>
        <v>1+594.709188791368i</v>
      </c>
      <c r="AG279">
        <f t="shared" si="287"/>
        <v>594.71002953783034</v>
      </c>
      <c r="AH279">
        <f t="shared" si="288"/>
        <v>1.56911483426649</v>
      </c>
      <c r="AI279" t="str">
        <f t="shared" si="269"/>
        <v>1+1.39756659365971i</v>
      </c>
      <c r="AJ279">
        <f t="shared" si="289"/>
        <v>1.7184854912723602</v>
      </c>
      <c r="AK279">
        <f t="shared" si="290"/>
        <v>0.9497237969908251</v>
      </c>
      <c r="AL279" t="str">
        <f t="shared" si="270"/>
        <v>1-0.0973390530241046i</v>
      </c>
      <c r="AM279">
        <f t="shared" si="291"/>
        <v>1.0047262767757343</v>
      </c>
      <c r="AN279">
        <f t="shared" si="292"/>
        <v>-9.7033363330275596E-2</v>
      </c>
      <c r="AO279" s="58" t="str">
        <f t="shared" si="293"/>
        <v>0.259085614640193-0.22560178558818i</v>
      </c>
      <c r="AP279">
        <f t="shared" si="294"/>
        <v>-9.280387913230042</v>
      </c>
      <c r="AQ279" s="60">
        <f t="shared" si="295"/>
        <v>-41.048094494910195</v>
      </c>
      <c r="AR279" t="str">
        <f t="shared" si="271"/>
        <v>-1.94444444444444</v>
      </c>
      <c r="AS279" t="str">
        <f t="shared" si="272"/>
        <v>1+1.43340163452278i</v>
      </c>
      <c r="AT279">
        <f t="shared" si="296"/>
        <v>1.7477529132725189</v>
      </c>
      <c r="AU279">
        <f t="shared" si="297"/>
        <v>0.96165522166534934</v>
      </c>
      <c r="AV279" t="str">
        <f t="shared" si="273"/>
        <v>1+1.43340163452278i</v>
      </c>
      <c r="AW279">
        <f t="shared" si="298"/>
        <v>1.7477529132725189</v>
      </c>
      <c r="AX279">
        <f t="shared" si="299"/>
        <v>0.96165522166534934</v>
      </c>
      <c r="AY279" t="str">
        <f t="shared" si="274"/>
        <v>1-0.00148434292470752i</v>
      </c>
      <c r="AZ279">
        <f t="shared" si="300"/>
        <v>1.0000011016363524</v>
      </c>
      <c r="BA279">
        <f t="shared" si="301"/>
        <v>-1.484341834570944E-3</v>
      </c>
      <c r="BB279" s="58" t="str">
        <f t="shared" si="302"/>
        <v>-0.635199949074081+0.913382867605173i</v>
      </c>
      <c r="BC279">
        <f t="shared" si="303"/>
        <v>0.92631965936580463</v>
      </c>
      <c r="BD279" s="60">
        <f t="shared" si="304"/>
        <v>124.8161679293822</v>
      </c>
      <c r="BE279" s="58" t="str">
        <f t="shared" si="305"/>
        <v>0.093189700291576+0.236168562819973i</v>
      </c>
      <c r="BF279" s="37">
        <f t="shared" si="306"/>
        <v>-11.907103031383055</v>
      </c>
      <c r="BG279" s="60">
        <f t="shared" si="307"/>
        <v>68.466314761077925</v>
      </c>
      <c r="BH279" s="58" t="str">
        <f t="shared" si="308"/>
        <v>0.0414896366321017+0.379946604371942i</v>
      </c>
      <c r="BI279" s="37">
        <f t="shared" si="309"/>
        <v>-8.3540682538642344</v>
      </c>
      <c r="BJ279" s="60">
        <f t="shared" si="310"/>
        <v>83.768073434472001</v>
      </c>
      <c r="BK279">
        <f t="shared" si="311"/>
        <v>-11.907103031383055</v>
      </c>
      <c r="BL279" s="60">
        <f t="shared" si="312"/>
        <v>68.466314761077925</v>
      </c>
      <c r="BN279">
        <f t="shared" si="313"/>
        <v>0</v>
      </c>
      <c r="BO279">
        <f t="shared" si="314"/>
        <v>0</v>
      </c>
    </row>
    <row r="280" spans="13:67" ht="14.25" x14ac:dyDescent="0.2">
      <c r="M280" s="66">
        <v>62</v>
      </c>
      <c r="N280" s="36">
        <f t="shared" si="262"/>
        <v>4168.6938347033583</v>
      </c>
      <c r="O280" s="91" t="str">
        <f t="shared" si="263"/>
        <v>99.7340425531915</v>
      </c>
      <c r="P280" s="67" t="str">
        <f t="shared" si="264"/>
        <v>1+760.702181668975i</v>
      </c>
      <c r="Q280" s="67">
        <f t="shared" si="275"/>
        <v>760.70283895614477</v>
      </c>
      <c r="R280" s="67">
        <f t="shared" si="276"/>
        <v>1.5694817526447729</v>
      </c>
      <c r="S280" s="67" t="str">
        <f t="shared" si="265"/>
        <v>1+1.43012010153767i</v>
      </c>
      <c r="T280" s="67">
        <f t="shared" si="277"/>
        <v>1.7450626077084213</v>
      </c>
      <c r="U280" s="67">
        <f t="shared" si="278"/>
        <v>0.96057928722264707</v>
      </c>
      <c r="V280" t="str">
        <f t="shared" si="266"/>
        <v>1-0.147726691807188i</v>
      </c>
      <c r="W280" s="67">
        <f t="shared" si="279"/>
        <v>1.0108526972176985</v>
      </c>
      <c r="X280" s="67">
        <f t="shared" si="280"/>
        <v>-0.14666592528392194</v>
      </c>
      <c r="Y280" t="str">
        <f t="shared" si="267"/>
        <v>0.995886861943788+0.228346404866539i</v>
      </c>
      <c r="Z280" s="67">
        <f t="shared" si="281"/>
        <v>1.021730259123081</v>
      </c>
      <c r="AA280" s="67">
        <f t="shared" si="282"/>
        <v>0.22539348446225185</v>
      </c>
      <c r="AB280" s="92" t="str">
        <f t="shared" si="283"/>
        <v>0.125904228233529-0.188108823913918i</v>
      </c>
      <c r="AC280" s="37">
        <f t="shared" si="284"/>
        <v>-12.904179653613948</v>
      </c>
      <c r="AD280" s="60">
        <f t="shared" si="285"/>
        <v>-56.204975310382657</v>
      </c>
      <c r="AE280" t="str">
        <f t="shared" si="286"/>
        <v>118.329284003155</v>
      </c>
      <c r="AF280" t="str">
        <f t="shared" si="268"/>
        <v>1+608.56174533518i</v>
      </c>
      <c r="AG280">
        <f t="shared" si="287"/>
        <v>608.56256694394256</v>
      </c>
      <c r="AH280">
        <f t="shared" si="288"/>
        <v>1.5691531096396762</v>
      </c>
      <c r="AI280" t="str">
        <f t="shared" si="269"/>
        <v>1+1.43012010153767i</v>
      </c>
      <c r="AJ280">
        <f t="shared" si="289"/>
        <v>1.7450626077084213</v>
      </c>
      <c r="AK280">
        <f t="shared" si="290"/>
        <v>0.96057928722264707</v>
      </c>
      <c r="AL280" t="str">
        <f t="shared" si="270"/>
        <v>1-0.0996063708348112i</v>
      </c>
      <c r="AM280">
        <f t="shared" si="291"/>
        <v>1.0049484708734484</v>
      </c>
      <c r="AN280">
        <f t="shared" si="292"/>
        <v>-9.9278905474491766E-2</v>
      </c>
      <c r="AO280" s="58" t="str">
        <f t="shared" si="293"/>
        <v>0.259070589660878-0.221713098601926i</v>
      </c>
      <c r="AP280">
        <f t="shared" si="294"/>
        <v>-9.3451638395322139</v>
      </c>
      <c r="AQ280" s="60">
        <f t="shared" si="295"/>
        <v>-40.55697382500631</v>
      </c>
      <c r="AR280" t="str">
        <f t="shared" si="271"/>
        <v>-1.94444444444444</v>
      </c>
      <c r="AS280" t="str">
        <f t="shared" si="272"/>
        <v>1+1.46678984773094i</v>
      </c>
      <c r="AT280">
        <f t="shared" si="296"/>
        <v>1.7752387043455746</v>
      </c>
      <c r="AU280">
        <f t="shared" si="297"/>
        <v>0.97241652238615695</v>
      </c>
      <c r="AV280" t="str">
        <f t="shared" si="273"/>
        <v>1+1.46678984773094i</v>
      </c>
      <c r="AW280">
        <f t="shared" si="298"/>
        <v>1.7752387043455746</v>
      </c>
      <c r="AX280">
        <f t="shared" si="299"/>
        <v>0.97241652238615695</v>
      </c>
      <c r="AY280" t="str">
        <f t="shared" si="274"/>
        <v>1-0.00145055515468659i</v>
      </c>
      <c r="AZ280">
        <f t="shared" si="300"/>
        <v>1.000001052054575</v>
      </c>
      <c r="BA280">
        <f t="shared" si="301"/>
        <v>-1.4505541373118814E-3</v>
      </c>
      <c r="BB280" s="58" t="str">
        <f t="shared" si="302"/>
        <v>-0.615682781566156+0.905897777335874i</v>
      </c>
      <c r="BC280">
        <f t="shared" si="303"/>
        <v>0.79078476376183315</v>
      </c>
      <c r="BD280" s="60">
        <f t="shared" si="304"/>
        <v>124.20152670846126</v>
      </c>
      <c r="BE280" s="58" t="str">
        <f t="shared" si="305"/>
        <v>0.0928903000311243+0.229871724458402i</v>
      </c>
      <c r="BF280" s="37">
        <f t="shared" si="306"/>
        <v>-12.11339488985211</v>
      </c>
      <c r="BG280" s="60">
        <f t="shared" si="307"/>
        <v>67.996551398078637</v>
      </c>
      <c r="BH280" s="58" t="str">
        <f t="shared" si="308"/>
        <v>0.0413441019653407+0.371196408603769i</v>
      </c>
      <c r="BI280" s="37">
        <f t="shared" si="309"/>
        <v>-8.5543790757703757</v>
      </c>
      <c r="BJ280" s="60">
        <f t="shared" si="310"/>
        <v>83.644552883454963</v>
      </c>
      <c r="BK280">
        <f t="shared" si="311"/>
        <v>-12.11339488985211</v>
      </c>
      <c r="BL280" s="60">
        <f t="shared" si="312"/>
        <v>67.996551398078637</v>
      </c>
      <c r="BN280">
        <f t="shared" si="313"/>
        <v>0</v>
      </c>
      <c r="BO280">
        <f t="shared" si="314"/>
        <v>0</v>
      </c>
    </row>
    <row r="281" spans="13:67" ht="14.25" x14ac:dyDescent="0.2">
      <c r="M281" s="66">
        <v>63</v>
      </c>
      <c r="N281" s="36">
        <f t="shared" si="262"/>
        <v>4265.7951880159299</v>
      </c>
      <c r="O281" s="91" t="str">
        <f t="shared" si="263"/>
        <v>99.7340425531915</v>
      </c>
      <c r="P281" s="67" t="str">
        <f t="shared" si="264"/>
        <v>1+778.421211714543i</v>
      </c>
      <c r="Q281" s="67">
        <f t="shared" si="275"/>
        <v>778.42185404004249</v>
      </c>
      <c r="R281" s="67">
        <f t="shared" si="276"/>
        <v>1.5695116759723835</v>
      </c>
      <c r="S281" s="67" t="str">
        <f t="shared" si="265"/>
        <v>1+1.46343187802334i</v>
      </c>
      <c r="T281" s="67">
        <f t="shared" si="277"/>
        <v>1.7724651933437001</v>
      </c>
      <c r="U281" s="67">
        <f t="shared" si="278"/>
        <v>0.97134933082352393</v>
      </c>
      <c r="V281" t="str">
        <f t="shared" si="266"/>
        <v>1-0.151167688499114i</v>
      </c>
      <c r="W281" s="67">
        <f t="shared" si="279"/>
        <v>1.0113612955053031</v>
      </c>
      <c r="X281" s="67">
        <f t="shared" si="280"/>
        <v>-0.15003174516655687</v>
      </c>
      <c r="Y281" t="str">
        <f t="shared" si="267"/>
        <v>0.995693015719266+0.233665275912434i</v>
      </c>
      <c r="Z281" s="67">
        <f t="shared" si="281"/>
        <v>1.0227433904549863</v>
      </c>
      <c r="AA281" s="67">
        <f t="shared" si="282"/>
        <v>0.23050491544349772</v>
      </c>
      <c r="AB281" s="92" t="str">
        <f t="shared" si="283"/>
        <v>0.125331365301392-0.186339331773028i</v>
      </c>
      <c r="AC281" s="37">
        <f t="shared" si="284"/>
        <v>-12.973084681595397</v>
      </c>
      <c r="AD281" s="60">
        <f t="shared" si="285"/>
        <v>-56.075322443635486</v>
      </c>
      <c r="AE281" t="str">
        <f t="shared" si="286"/>
        <v>118.329284003155</v>
      </c>
      <c r="AF281" t="str">
        <f t="shared" si="268"/>
        <v>1+622.736969371634i</v>
      </c>
      <c r="AG281">
        <f t="shared" si="287"/>
        <v>622.73777227832227</v>
      </c>
      <c r="AH281">
        <f t="shared" si="288"/>
        <v>1.5691905137636522</v>
      </c>
      <c r="AI281" t="str">
        <f t="shared" si="269"/>
        <v>1+1.46343187802334i</v>
      </c>
      <c r="AJ281">
        <f t="shared" si="289"/>
        <v>1.7724651933437001</v>
      </c>
      <c r="AK281">
        <f t="shared" si="290"/>
        <v>0.97134933082352393</v>
      </c>
      <c r="AL281" t="str">
        <f t="shared" si="270"/>
        <v>1-0.10192650126178i</v>
      </c>
      <c r="AM281">
        <f t="shared" si="291"/>
        <v>1.0051810840139539</v>
      </c>
      <c r="AN281">
        <f t="shared" si="292"/>
        <v>-0.10157571341271328</v>
      </c>
      <c r="AO281" s="58" t="str">
        <f t="shared" si="293"/>
        <v>0.259056240913456-0.217941964612284i</v>
      </c>
      <c r="AP281">
        <f t="shared" si="294"/>
        <v>-9.407818986632865</v>
      </c>
      <c r="AQ281" s="60">
        <f t="shared" si="295"/>
        <v>-40.073636281156844</v>
      </c>
      <c r="AR281" t="str">
        <f t="shared" si="271"/>
        <v>-1.94444444444444</v>
      </c>
      <c r="AS281" t="str">
        <f t="shared" si="272"/>
        <v>1+1.50095577233163i</v>
      </c>
      <c r="AT281">
        <f t="shared" si="296"/>
        <v>1.8035709663042483</v>
      </c>
      <c r="AU281">
        <f t="shared" si="297"/>
        <v>0.98308767736249392</v>
      </c>
      <c r="AV281" t="str">
        <f t="shared" si="273"/>
        <v>1+1.50095577233163i</v>
      </c>
      <c r="AW281">
        <f t="shared" si="298"/>
        <v>1.8035709663042483</v>
      </c>
      <c r="AX281">
        <f t="shared" si="299"/>
        <v>0.98308767736249392</v>
      </c>
      <c r="AY281" t="str">
        <f t="shared" si="274"/>
        <v>1-0.00141753648820905i</v>
      </c>
      <c r="AZ281">
        <f t="shared" si="300"/>
        <v>1.0000010047043428</v>
      </c>
      <c r="BA281">
        <f t="shared" si="301"/>
        <v>-1.4175355387396739E-3</v>
      </c>
      <c r="BB281" s="58" t="str">
        <f t="shared" si="302"/>
        <v>-0.596491216709861+0.898063255815078i</v>
      </c>
      <c r="BC281">
        <f t="shared" si="303"/>
        <v>0.65325480240792311</v>
      </c>
      <c r="BD281" s="60">
        <f t="shared" si="304"/>
        <v>123.59200639213078</v>
      </c>
      <c r="BE281" s="58" t="str">
        <f t="shared" si="305"/>
        <v>0.0925854483979562+0.223705268708513i</v>
      </c>
      <c r="BF281" s="37">
        <f t="shared" si="306"/>
        <v>-12.31982987918747</v>
      </c>
      <c r="BG281" s="60">
        <f t="shared" si="307"/>
        <v>67.516683948495285</v>
      </c>
      <c r="BH281" s="58" t="str">
        <f t="shared" si="308"/>
        <v>0.041200897979692+0.362649358797672i</v>
      </c>
      <c r="BI281" s="37">
        <f t="shared" si="309"/>
        <v>-8.7545641842249484</v>
      </c>
      <c r="BJ281" s="60">
        <f t="shared" si="310"/>
        <v>83.518370110973919</v>
      </c>
      <c r="BK281">
        <f t="shared" si="311"/>
        <v>-12.31982987918747</v>
      </c>
      <c r="BL281" s="60">
        <f t="shared" si="312"/>
        <v>67.516683948495285</v>
      </c>
      <c r="BN281">
        <f t="shared" si="313"/>
        <v>0</v>
      </c>
      <c r="BO281">
        <f t="shared" si="314"/>
        <v>0</v>
      </c>
    </row>
    <row r="282" spans="13:67" ht="14.25" x14ac:dyDescent="0.2">
      <c r="M282" s="66">
        <v>64</v>
      </c>
      <c r="N282" s="36">
        <f t="shared" si="262"/>
        <v>4365.1583224016631</v>
      </c>
      <c r="O282" s="91" t="str">
        <f t="shared" si="263"/>
        <v>99.7340425531915</v>
      </c>
      <c r="P282" s="67" t="str">
        <f t="shared" si="264"/>
        <v>1+796.552970990183i</v>
      </c>
      <c r="Q282" s="67">
        <f t="shared" si="275"/>
        <v>796.55359869458073</v>
      </c>
      <c r="R282" s="67">
        <f t="shared" si="276"/>
        <v>1.5695409181641227</v>
      </c>
      <c r="S282" s="67" t="str">
        <f t="shared" si="265"/>
        <v>1+1.49751958546154i</v>
      </c>
      <c r="T282" s="67">
        <f t="shared" si="277"/>
        <v>1.8007123337282116</v>
      </c>
      <c r="U282" s="67">
        <f t="shared" si="278"/>
        <v>0.98202964419965988</v>
      </c>
      <c r="V282" t="str">
        <f t="shared" si="266"/>
        <v>1-0.154688836300423i</v>
      </c>
      <c r="W282" s="67">
        <f t="shared" si="279"/>
        <v>1.011893589304715</v>
      </c>
      <c r="X282" s="67">
        <f t="shared" si="280"/>
        <v>-0.15347242243475093</v>
      </c>
      <c r="Y282" t="str">
        <f t="shared" si="267"/>
        <v>0.995490033803637+0.239108039380542i</v>
      </c>
      <c r="Z282" s="67">
        <f t="shared" si="281"/>
        <v>1.0238032339755394</v>
      </c>
      <c r="AA282" s="67">
        <f t="shared" si="282"/>
        <v>0.23572584843200747</v>
      </c>
      <c r="AB282" s="92" t="str">
        <f t="shared" si="283"/>
        <v>0.124734602162219-0.184657729650532i</v>
      </c>
      <c r="AC282" s="37">
        <f t="shared" si="284"/>
        <v>-13.04017789124277</v>
      </c>
      <c r="AD282" s="60">
        <f t="shared" si="285"/>
        <v>-55.961334728972481</v>
      </c>
      <c r="AE282" t="str">
        <f t="shared" si="286"/>
        <v>118.329284003155</v>
      </c>
      <c r="AF282" t="str">
        <f t="shared" si="268"/>
        <v>1+637.242376792147i</v>
      </c>
      <c r="AG282">
        <f t="shared" si="287"/>
        <v>637.24316142247039</v>
      </c>
      <c r="AH282">
        <f t="shared" si="288"/>
        <v>1.5692270664701604</v>
      </c>
      <c r="AI282" t="str">
        <f t="shared" si="269"/>
        <v>1+1.49751958546154i</v>
      </c>
      <c r="AJ282">
        <f t="shared" si="289"/>
        <v>1.8007123337282116</v>
      </c>
      <c r="AK282">
        <f t="shared" si="290"/>
        <v>0.98202964419965988</v>
      </c>
      <c r="AL282" t="str">
        <f t="shared" si="270"/>
        <v>1-0.104300674468875i</v>
      </c>
      <c r="AM282">
        <f t="shared" si="291"/>
        <v>1.0054246021928557</v>
      </c>
      <c r="AN282">
        <f t="shared" si="292"/>
        <v>-0.10392490795848561</v>
      </c>
      <c r="AO282" s="58" t="str">
        <f t="shared" si="293"/>
        <v>0.259042537962792-0.214286384262466i</v>
      </c>
      <c r="AP282">
        <f t="shared" si="294"/>
        <v>-9.4683819936771982</v>
      </c>
      <c r="AQ282" s="60">
        <f t="shared" si="295"/>
        <v>-39.598392649367767</v>
      </c>
      <c r="AR282" t="str">
        <f t="shared" si="271"/>
        <v>-1.94444444444444</v>
      </c>
      <c r="AS282" t="str">
        <f t="shared" si="272"/>
        <v>1+1.5359175235503i</v>
      </c>
      <c r="AT282">
        <f t="shared" si="296"/>
        <v>1.8327691177965888</v>
      </c>
      <c r="AU282">
        <f t="shared" si="297"/>
        <v>0.99366462323532345</v>
      </c>
      <c r="AV282" t="str">
        <f t="shared" si="273"/>
        <v>1+1.5359175235503i</v>
      </c>
      <c r="AW282">
        <f t="shared" si="298"/>
        <v>1.8327691177965888</v>
      </c>
      <c r="AX282">
        <f t="shared" si="299"/>
        <v>0.99366462323532345</v>
      </c>
      <c r="AY282" t="str">
        <f t="shared" si="274"/>
        <v>1-0.00138526941834088i</v>
      </c>
      <c r="AZ282">
        <f t="shared" si="300"/>
        <v>1.0000009594852204</v>
      </c>
      <c r="BA282">
        <f t="shared" si="301"/>
        <v>-1.385268532244453E-3</v>
      </c>
      <c r="BB282" s="58" t="str">
        <f t="shared" si="302"/>
        <v>-0.577637004660599+0.889896377133872i</v>
      </c>
      <c r="BC282">
        <f t="shared" si="303"/>
        <v>0.51376395150609999</v>
      </c>
      <c r="BD282" s="60">
        <f t="shared" si="304"/>
        <v>122.98784079676899</v>
      </c>
      <c r="BE282" s="58" t="str">
        <f t="shared" si="305"/>
        <v>0.0922749226552588+0.217666008410154i</v>
      </c>
      <c r="BF282" s="37">
        <f t="shared" si="306"/>
        <v>-12.526413939736651</v>
      </c>
      <c r="BG282" s="60">
        <f t="shared" si="307"/>
        <v>67.026506067796561</v>
      </c>
      <c r="BH282" s="58" t="str">
        <f t="shared" si="308"/>
        <v>0.0410601213157786+0.354300761201573i</v>
      </c>
      <c r="BI282" s="37">
        <f t="shared" si="309"/>
        <v>-8.9546180421710986</v>
      </c>
      <c r="BJ282" s="60">
        <f t="shared" si="310"/>
        <v>83.389448147401225</v>
      </c>
      <c r="BK282">
        <f t="shared" si="311"/>
        <v>-12.526413939736651</v>
      </c>
      <c r="BL282" s="60">
        <f t="shared" si="312"/>
        <v>67.026506067796561</v>
      </c>
      <c r="BN282">
        <f t="shared" si="313"/>
        <v>0</v>
      </c>
      <c r="BO282">
        <f t="shared" si="314"/>
        <v>0</v>
      </c>
    </row>
    <row r="283" spans="13:67" ht="14.25" x14ac:dyDescent="0.2">
      <c r="M283" s="66">
        <v>65</v>
      </c>
      <c r="N283" s="36">
        <f t="shared" si="262"/>
        <v>4466.8359215096343</v>
      </c>
      <c r="O283" s="91" t="str">
        <f t="shared" si="263"/>
        <v>99.7340425531915</v>
      </c>
      <c r="P283" s="67" t="str">
        <f t="shared" si="264"/>
        <v>1+815.107073194669i</v>
      </c>
      <c r="Q283" s="67">
        <f t="shared" si="275"/>
        <v>815.10768661078123</v>
      </c>
      <c r="R283" s="67">
        <f t="shared" si="276"/>
        <v>1.5695694947243872</v>
      </c>
      <c r="S283" s="67" t="str">
        <f t="shared" si="265"/>
        <v>1+1.53240129760598i</v>
      </c>
      <c r="T283" s="67">
        <f t="shared" si="277"/>
        <v>1.8298234168641769</v>
      </c>
      <c r="U283" s="67">
        <f t="shared" si="278"/>
        <v>0.99261614380625895</v>
      </c>
      <c r="V283" t="str">
        <f t="shared" si="266"/>
        <v>1-0.158292002170288i</v>
      </c>
      <c r="W283" s="67">
        <f t="shared" si="279"/>
        <v>1.0124506693913924</v>
      </c>
      <c r="X283" s="67">
        <f t="shared" si="280"/>
        <v>-0.15698945536017808</v>
      </c>
      <c r="Y283" t="str">
        <f t="shared" si="267"/>
        <v>0.995277485645044+0.244677581096099i</v>
      </c>
      <c r="Z283" s="67">
        <f t="shared" si="281"/>
        <v>1.024911894809968</v>
      </c>
      <c r="AA283" s="67">
        <f t="shared" si="282"/>
        <v>0.2410581923771761</v>
      </c>
      <c r="AB283" s="92" t="str">
        <f t="shared" si="283"/>
        <v>0.124112994285551-0.183062417645628i</v>
      </c>
      <c r="AC283" s="37">
        <f t="shared" si="284"/>
        <v>-13.105500926369659</v>
      </c>
      <c r="AD283" s="60">
        <f t="shared" si="285"/>
        <v>-55.863442243999849</v>
      </c>
      <c r="AE283" t="str">
        <f t="shared" si="286"/>
        <v>118.329284003155</v>
      </c>
      <c r="AF283" t="str">
        <f t="shared" si="268"/>
        <v>1+652.085658555735i</v>
      </c>
      <c r="AG283">
        <f t="shared" si="287"/>
        <v>652.08642532571298</v>
      </c>
      <c r="AH283">
        <f t="shared" si="288"/>
        <v>1.569262787139539</v>
      </c>
      <c r="AI283" t="str">
        <f t="shared" si="269"/>
        <v>1+1.53240129760598i</v>
      </c>
      <c r="AJ283">
        <f t="shared" si="289"/>
        <v>1.8298234168641769</v>
      </c>
      <c r="AK283">
        <f t="shared" si="290"/>
        <v>0.99261614380625895</v>
      </c>
      <c r="AL283" t="str">
        <f t="shared" si="270"/>
        <v>1-0.106730149274156i</v>
      </c>
      <c r="AM283">
        <f t="shared" si="291"/>
        <v>1.0056795338297799</v>
      </c>
      <c r="AN283">
        <f t="shared" si="292"/>
        <v>-0.10632763091284923</v>
      </c>
      <c r="AO283" s="58" t="str">
        <f t="shared" si="293"/>
        <v>0.259029451743536-0.210744419453856i</v>
      </c>
      <c r="AP283">
        <f t="shared" si="294"/>
        <v>-9.5268825926309333</v>
      </c>
      <c r="AQ283" s="60">
        <f t="shared" si="295"/>
        <v>-39.131543430313585</v>
      </c>
      <c r="AR283" t="str">
        <f t="shared" si="271"/>
        <v>-1.94444444444444</v>
      </c>
      <c r="AS283" t="str">
        <f t="shared" si="272"/>
        <v>1+1.57169363857023i</v>
      </c>
      <c r="AT283">
        <f t="shared" si="296"/>
        <v>1.8628528910040452</v>
      </c>
      <c r="AU283">
        <f t="shared" si="297"/>
        <v>1.0041435018051044</v>
      </c>
      <c r="AV283" t="str">
        <f t="shared" si="273"/>
        <v>1+1.57169363857023i</v>
      </c>
      <c r="AW283">
        <f t="shared" si="298"/>
        <v>1.8628528910040452</v>
      </c>
      <c r="AX283">
        <f t="shared" si="299"/>
        <v>1.0041435018051044</v>
      </c>
      <c r="AY283" t="str">
        <f t="shared" si="274"/>
        <v>1-0.00135373683665451i</v>
      </c>
      <c r="AZ283">
        <f t="shared" si="300"/>
        <v>1.0000009163012917</v>
      </c>
      <c r="BA283">
        <f t="shared" si="301"/>
        <v>-1.3537360097011656E-3</v>
      </c>
      <c r="BB283" s="58" t="str">
        <f t="shared" si="302"/>
        <v>-0.559130783929972+0.881414562302796i</v>
      </c>
      <c r="BC283">
        <f t="shared" si="303"/>
        <v>0.37234754120871516</v>
      </c>
      <c r="BD283" s="60">
        <f t="shared" si="304"/>
        <v>122.38925196114957</v>
      </c>
      <c r="BE283" s="58" t="str">
        <f t="shared" si="305"/>
        <v>0.0919584849324366+0.211750833620604i</v>
      </c>
      <c r="BF283" s="37">
        <f t="shared" si="306"/>
        <v>-12.733153385160954</v>
      </c>
      <c r="BG283" s="60">
        <f t="shared" si="307"/>
        <v>66.525809717149698</v>
      </c>
      <c r="BH283" s="58" t="str">
        <f t="shared" si="308"/>
        <v>0.0409218598163632+0.346146023290163i</v>
      </c>
      <c r="BI283" s="37">
        <f t="shared" si="309"/>
        <v>-9.1545350514222275</v>
      </c>
      <c r="BJ283" s="60">
        <f t="shared" si="310"/>
        <v>83.257708530835998</v>
      </c>
      <c r="BK283">
        <f t="shared" si="311"/>
        <v>-12.733153385160954</v>
      </c>
      <c r="BL283" s="60">
        <f t="shared" si="312"/>
        <v>66.525809717149698</v>
      </c>
      <c r="BN283">
        <f t="shared" si="313"/>
        <v>0</v>
      </c>
      <c r="BO283">
        <f t="shared" si="314"/>
        <v>0</v>
      </c>
    </row>
    <row r="284" spans="13:67" ht="14.25" x14ac:dyDescent="0.2">
      <c r="M284" s="66">
        <v>66</v>
      </c>
      <c r="N284" s="36">
        <f t="shared" ref="N284:N318" si="315">10^(3+(M284/100))</f>
        <v>4570.8818961487532</v>
      </c>
      <c r="O284" s="91" t="str">
        <f t="shared" si="263"/>
        <v>99.7340425531915</v>
      </c>
      <c r="P284" s="67" t="str">
        <f t="shared" si="264"/>
        <v>1+834.093355958581i</v>
      </c>
      <c r="Q284" s="67">
        <f t="shared" si="275"/>
        <v>834.09395541164793</v>
      </c>
      <c r="R284" s="67">
        <f t="shared" si="276"/>
        <v>1.5695974208046606</v>
      </c>
      <c r="S284" s="67" t="str">
        <f t="shared" si="265"/>
        <v>1+1.56809550920213i</v>
      </c>
      <c r="T284" s="67">
        <f t="shared" si="277"/>
        <v>1.8598181432548417</v>
      </c>
      <c r="U284" s="67">
        <f t="shared" si="278"/>
        <v>1.0031049508442793</v>
      </c>
      <c r="V284" t="str">
        <f t="shared" si="266"/>
        <v>1-0.161979096554945i</v>
      </c>
      <c r="W284" s="67">
        <f t="shared" si="279"/>
        <v>1.0130336755117058</v>
      </c>
      <c r="X284" s="67">
        <f t="shared" si="280"/>
        <v>-0.16058436050975586</v>
      </c>
      <c r="Y284" t="str">
        <f t="shared" si="267"/>
        <v>0.995054920400345+0.250376854103844i</v>
      </c>
      <c r="Z284" s="67">
        <f t="shared" si="281"/>
        <v>1.0260715684999144</v>
      </c>
      <c r="AA284" s="67">
        <f t="shared" si="282"/>
        <v>0.24650385962273771</v>
      </c>
      <c r="AB284" s="92" t="str">
        <f t="shared" si="283"/>
        <v>0.123465572491402-0.181551799034781i</v>
      </c>
      <c r="AC284" s="37">
        <f t="shared" si="284"/>
        <v>-13.169096847298174</v>
      </c>
      <c r="AD284" s="60">
        <f t="shared" si="285"/>
        <v>-55.782064557756023</v>
      </c>
      <c r="AE284" t="str">
        <f t="shared" si="286"/>
        <v>118.329284003155</v>
      </c>
      <c r="AF284" t="str">
        <f t="shared" si="268"/>
        <v>1+667.274684766865i</v>
      </c>
      <c r="AG284">
        <f t="shared" si="287"/>
        <v>667.27543408304712</v>
      </c>
      <c r="AH284">
        <f t="shared" si="288"/>
        <v>1.5692976947109947</v>
      </c>
      <c r="AI284" t="str">
        <f t="shared" si="269"/>
        <v>1+1.56809550920213i</v>
      </c>
      <c r="AJ284">
        <f t="shared" si="289"/>
        <v>1.8598181432548417</v>
      </c>
      <c r="AK284">
        <f t="shared" si="290"/>
        <v>1.0031049508442793</v>
      </c>
      <c r="AL284" t="str">
        <f t="shared" si="270"/>
        <v>1-0.109216213817323i</v>
      </c>
      <c r="AM284">
        <f t="shared" si="291"/>
        <v>1.0059464107797149</v>
      </c>
      <c r="AN284">
        <f t="shared" si="292"/>
        <v>-0.1087850452019244</v>
      </c>
      <c r="AO284" s="58" t="str">
        <f t="shared" si="293"/>
        <v>0.259016954498455-0.207314192319058i</v>
      </c>
      <c r="AP284">
        <f t="shared" si="294"/>
        <v>-9.5833514861111855</v>
      </c>
      <c r="AQ284" s="60">
        <f t="shared" si="295"/>
        <v>-38.673378578704749</v>
      </c>
      <c r="AR284" t="str">
        <f t="shared" si="271"/>
        <v>-1.94444444444444</v>
      </c>
      <c r="AS284" t="str">
        <f t="shared" si="272"/>
        <v>1+1.60830308636116i</v>
      </c>
      <c r="AT284">
        <f t="shared" si="296"/>
        <v>1.8938423423291688</v>
      </c>
      <c r="AU284">
        <f t="shared" si="297"/>
        <v>1.0145206636540063</v>
      </c>
      <c r="AV284" t="str">
        <f t="shared" si="273"/>
        <v>1+1.60830308636116i</v>
      </c>
      <c r="AW284">
        <f t="shared" si="298"/>
        <v>1.8938423423291688</v>
      </c>
      <c r="AX284">
        <f t="shared" si="299"/>
        <v>1.0145206636540063</v>
      </c>
      <c r="AY284" t="str">
        <f t="shared" si="274"/>
        <v>1-0.00132292202415777i</v>
      </c>
      <c r="AZ284">
        <f t="shared" si="300"/>
        <v>1.0000008750609581</v>
      </c>
      <c r="BA284">
        <f t="shared" si="301"/>
        <v>-1.3229212523999667E-3</v>
      </c>
      <c r="BB284" s="58" t="str">
        <f t="shared" si="302"/>
        <v>-0.540982080237503+0.872635497692364i</v>
      </c>
      <c r="BC284">
        <f t="shared" si="303"/>
        <v>0.22904194091552063</v>
      </c>
      <c r="BD284" s="60">
        <f t="shared" si="304"/>
        <v>121.79644993942343</v>
      </c>
      <c r="BE284" s="58" t="str">
        <f t="shared" si="305"/>
        <v>0.0916358822635473+0.205956711211604i</v>
      </c>
      <c r="BF284" s="37">
        <f t="shared" si="306"/>
        <v>-12.94005490638266</v>
      </c>
      <c r="BG284" s="60">
        <f t="shared" si="307"/>
        <v>66.014385381667395</v>
      </c>
      <c r="BH284" s="58" t="str">
        <f t="shared" si="308"/>
        <v>0.0407861925316748+0.338180652023041i</v>
      </c>
      <c r="BI284" s="37">
        <f t="shared" si="309"/>
        <v>-9.3543095451956777</v>
      </c>
      <c r="BJ284" s="60">
        <f t="shared" si="310"/>
        <v>83.123071360718669</v>
      </c>
      <c r="BK284">
        <f t="shared" si="311"/>
        <v>-12.94005490638266</v>
      </c>
      <c r="BL284" s="60">
        <f t="shared" si="312"/>
        <v>66.014385381667395</v>
      </c>
      <c r="BN284">
        <f t="shared" si="313"/>
        <v>0</v>
      </c>
      <c r="BO284">
        <f t="shared" si="314"/>
        <v>0</v>
      </c>
    </row>
    <row r="285" spans="13:67" ht="14.25" x14ac:dyDescent="0.2">
      <c r="M285" s="66">
        <v>67</v>
      </c>
      <c r="N285" s="36">
        <f t="shared" si="315"/>
        <v>4677.3514128719844</v>
      </c>
      <c r="O285" s="91" t="str">
        <f t="shared" si="263"/>
        <v>99.7340425531915</v>
      </c>
      <c r="P285" s="67" t="str">
        <f t="shared" si="264"/>
        <v>1+853.521886060352i</v>
      </c>
      <c r="Q285" s="67">
        <f t="shared" si="275"/>
        <v>853.5224718682108</v>
      </c>
      <c r="R285" s="67">
        <f t="shared" si="276"/>
        <v>1.5696247112115462</v>
      </c>
      <c r="S285" s="67" t="str">
        <f t="shared" si="265"/>
        <v>1+1.60462114579346i</v>
      </c>
      <c r="T285" s="67">
        <f t="shared" si="277"/>
        <v>1.8907165365351615</v>
      </c>
      <c r="U285" s="67">
        <f t="shared" si="278"/>
        <v>1.0134923949790999</v>
      </c>
      <c r="V285" t="str">
        <f t="shared" si="266"/>
        <v>1-0.165752074400643i</v>
      </c>
      <c r="W285" s="67">
        <f t="shared" si="279"/>
        <v>1.0136437984657709</v>
      </c>
      <c r="X285" s="67">
        <f t="shared" si="280"/>
        <v>-0.16425867209475498</v>
      </c>
      <c r="Y285" t="str">
        <f t="shared" si="267"/>
        <v>0.994821865978818+0.256208880233764i</v>
      </c>
      <c r="Z285" s="67">
        <f t="shared" si="281"/>
        <v>1.0272845444861987</v>
      </c>
      <c r="AA285" s="67">
        <f t="shared" si="282"/>
        <v>0.25206476358809299</v>
      </c>
      <c r="AB285" s="92" t="str">
        <f t="shared" si="283"/>
        <v>0.122791343200155-0.180124277258426i</v>
      </c>
      <c r="AC285" s="37">
        <f t="shared" si="284"/>
        <v>-13.231010019081161</v>
      </c>
      <c r="AD285" s="60">
        <f t="shared" si="285"/>
        <v>-55.717610347967387</v>
      </c>
      <c r="AE285" t="str">
        <f t="shared" si="286"/>
        <v>118.329284003155</v>
      </c>
      <c r="AF285" t="str">
        <f t="shared" si="268"/>
        <v>1+682.817508848282i</v>
      </c>
      <c r="AG285">
        <f t="shared" si="287"/>
        <v>682.81824110796413</v>
      </c>
      <c r="AH285">
        <f t="shared" si="288"/>
        <v>1.5693318076926435</v>
      </c>
      <c r="AI285" t="str">
        <f t="shared" si="269"/>
        <v>1+1.60462114579346i</v>
      </c>
      <c r="AJ285">
        <f t="shared" si="289"/>
        <v>1.8907165365351615</v>
      </c>
      <c r="AK285">
        <f t="shared" si="290"/>
        <v>1.0134923949790999</v>
      </c>
      <c r="AL285" t="str">
        <f t="shared" si="270"/>
        <v>1-0.111760186242703i</v>
      </c>
      <c r="AM285">
        <f t="shared" si="291"/>
        <v>1.0062257893877515</v>
      </c>
      <c r="AN285">
        <f t="shared" si="292"/>
        <v>-0.1112983349943389</v>
      </c>
      <c r="AO285" s="58" t="str">
        <f t="shared" si="293"/>
        <v>0.25900501971959-0.203993884226842i</v>
      </c>
      <c r="AP285">
        <f t="shared" si="294"/>
        <v>-9.6378202243689586</v>
      </c>
      <c r="AQ285" s="60">
        <f t="shared" si="295"/>
        <v>-38.224177297525159</v>
      </c>
      <c r="AR285" t="str">
        <f t="shared" si="271"/>
        <v>-1.94444444444444</v>
      </c>
      <c r="AS285" t="str">
        <f t="shared" si="272"/>
        <v>1+1.64576527773688i</v>
      </c>
      <c r="AT285">
        <f t="shared" si="296"/>
        <v>1.9257578636485819</v>
      </c>
      <c r="AU285">
        <f t="shared" si="297"/>
        <v>1.0247926708117023</v>
      </c>
      <c r="AV285" t="str">
        <f t="shared" si="273"/>
        <v>1+1.64576527773688i</v>
      </c>
      <c r="AW285">
        <f t="shared" si="298"/>
        <v>1.9257578636485819</v>
      </c>
      <c r="AX285">
        <f t="shared" si="299"/>
        <v>1.0247926708117023</v>
      </c>
      <c r="AY285" t="str">
        <f t="shared" si="274"/>
        <v>1-0.00129280864242917i</v>
      </c>
      <c r="AZ285">
        <f t="shared" si="300"/>
        <v>1.0000008356767438</v>
      </c>
      <c r="BA285">
        <f t="shared" si="301"/>
        <v>-1.292807922182847E-3</v>
      </c>
      <c r="BB285" s="58" t="str">
        <f t="shared" si="302"/>
        <v>-0.523199311912274+0.86357705546355i</v>
      </c>
      <c r="BC285">
        <f t="shared" si="303"/>
        <v>8.3884444793099561E-2</v>
      </c>
      <c r="BD285" s="60">
        <f t="shared" si="304"/>
        <v>121.20963264888778</v>
      </c>
      <c r="BE285" s="58" t="str">
        <f t="shared" si="305"/>
        <v>0.0913068467012266+0.200280684517508i</v>
      </c>
      <c r="BF285" s="37">
        <f t="shared" si="306"/>
        <v>-13.147125574288072</v>
      </c>
      <c r="BG285" s="60">
        <f t="shared" si="307"/>
        <v>65.492022300920368</v>
      </c>
      <c r="BH285" s="58" t="str">
        <f t="shared" si="308"/>
        <v>0.0406531897740741+0.330400252141518i</v>
      </c>
      <c r="BI285" s="37">
        <f t="shared" si="309"/>
        <v>-9.5539357795758608</v>
      </c>
      <c r="BJ285" s="60">
        <f t="shared" si="310"/>
        <v>82.985455351362617</v>
      </c>
      <c r="BK285">
        <f t="shared" si="311"/>
        <v>-13.147125574288072</v>
      </c>
      <c r="BL285" s="60">
        <f t="shared" si="312"/>
        <v>65.492022300920368</v>
      </c>
      <c r="BN285">
        <f t="shared" si="313"/>
        <v>0</v>
      </c>
      <c r="BO285">
        <f t="shared" si="314"/>
        <v>0</v>
      </c>
    </row>
    <row r="286" spans="13:67" ht="14.25" x14ac:dyDescent="0.2">
      <c r="M286" s="66">
        <v>68</v>
      </c>
      <c r="N286" s="36">
        <f t="shared" si="315"/>
        <v>4786.3009232263848</v>
      </c>
      <c r="O286" s="91" t="str">
        <f t="shared" si="263"/>
        <v>99.7340425531915</v>
      </c>
      <c r="P286" s="67" t="str">
        <f t="shared" si="264"/>
        <v>1+873.402964763811i</v>
      </c>
      <c r="Q286" s="67">
        <f t="shared" si="275"/>
        <v>873.40353723706369</v>
      </c>
      <c r="R286" s="67">
        <f t="shared" si="276"/>
        <v>1.5696513804146162</v>
      </c>
      <c r="S286" s="67" t="str">
        <f t="shared" si="265"/>
        <v>1+1.64199757375596i</v>
      </c>
      <c r="T286" s="67">
        <f t="shared" si="277"/>
        <v>1.9225389546691789</v>
      </c>
      <c r="U286" s="67">
        <f t="shared" si="278"/>
        <v>1.023775017100403</v>
      </c>
      <c r="V286" t="str">
        <f t="shared" si="266"/>
        <v>1-0.169612936190176i</v>
      </c>
      <c r="W286" s="67">
        <f t="shared" si="279"/>
        <v>1.014282282268133</v>
      </c>
      <c r="X286" s="67">
        <f t="shared" si="280"/>
        <v>-0.16801394124035901</v>
      </c>
      <c r="Y286" t="str">
        <f t="shared" si="267"/>
        <v>0.994577828040786+0.26217675170331i</v>
      </c>
      <c r="Z286" s="67">
        <f t="shared" si="281"/>
        <v>1.0285532096902068</v>
      </c>
      <c r="AA286" s="67">
        <f t="shared" si="282"/>
        <v>0.25774281628211321</v>
      </c>
      <c r="AB286" s="92" t="str">
        <f t="shared" si="283"/>
        <v>0.122089288800556-0.1787782528425i</v>
      </c>
      <c r="AC286" s="37">
        <f t="shared" si="284"/>
        <v>-13.291285999335749</v>
      </c>
      <c r="AD286" s="60">
        <f t="shared" si="285"/>
        <v>-55.670477059066741</v>
      </c>
      <c r="AE286" t="str">
        <f t="shared" si="286"/>
        <v>118.329284003155</v>
      </c>
      <c r="AF286" t="str">
        <f t="shared" si="268"/>
        <v>1+698.722371811049i</v>
      </c>
      <c r="AG286">
        <f t="shared" si="287"/>
        <v>698.72308740248297</v>
      </c>
      <c r="AH286">
        <f t="shared" si="288"/>
        <v>1.5693651441713221</v>
      </c>
      <c r="AI286" t="str">
        <f t="shared" si="269"/>
        <v>1+1.64199757375596i</v>
      </c>
      <c r="AJ286">
        <f t="shared" si="289"/>
        <v>1.9225389546691789</v>
      </c>
      <c r="AK286">
        <f t="shared" si="290"/>
        <v>1.023775017100403</v>
      </c>
      <c r="AL286" t="str">
        <f t="shared" si="270"/>
        <v>1-0.11436341539815i</v>
      </c>
      <c r="AM286">
        <f t="shared" si="291"/>
        <v>1.0065182515888771</v>
      </c>
      <c r="AN286">
        <f t="shared" si="292"/>
        <v>-0.11386870579657447</v>
      </c>
      <c r="AO286" s="58" t="str">
        <f t="shared" si="293"/>
        <v>0.258993622092005-0.200781734818465i</v>
      </c>
      <c r="AP286">
        <f t="shared" si="294"/>
        <v>-9.6903210821136376</v>
      </c>
      <c r="AQ286" s="60">
        <f t="shared" si="295"/>
        <v>-37.78420788593062</v>
      </c>
      <c r="AR286" t="str">
        <f t="shared" si="271"/>
        <v>-1.94444444444444</v>
      </c>
      <c r="AS286" t="str">
        <f t="shared" si="272"/>
        <v>1+1.68410007564714i</v>
      </c>
      <c r="AT286">
        <f t="shared" si="296"/>
        <v>1.9586201941149037</v>
      </c>
      <c r="AU286">
        <f t="shared" si="297"/>
        <v>1.0349562984916472</v>
      </c>
      <c r="AV286" t="str">
        <f t="shared" si="273"/>
        <v>1+1.68410007564714i</v>
      </c>
      <c r="AW286">
        <f t="shared" si="298"/>
        <v>1.9586201941149037</v>
      </c>
      <c r="AX286">
        <f t="shared" si="299"/>
        <v>1.0349562984916472</v>
      </c>
      <c r="AY286" t="str">
        <f t="shared" si="274"/>
        <v>1-0.00126338072495514i</v>
      </c>
      <c r="AZ286">
        <f t="shared" si="300"/>
        <v>1.0000007980651096</v>
      </c>
      <c r="BA286">
        <f t="shared" si="301"/>
        <v>-1.2633800527821308E-3</v>
      </c>
      <c r="BB286" s="58" t="str">
        <f t="shared" si="302"/>
        <v>-0.505789801460119+0.854257216532395i</v>
      </c>
      <c r="BC286">
        <f t="shared" si="303"/>
        <v>-6.3086841827874385E-2</v>
      </c>
      <c r="BD286" s="60">
        <f t="shared" si="304"/>
        <v>120.62898577100137</v>
      </c>
      <c r="BE286" s="58" t="str">
        <f t="shared" si="305"/>
        <v>0.0909710955069184+0.194719873029778i</v>
      </c>
      <c r="BF286" s="37">
        <f t="shared" si="306"/>
        <v>-13.354372841163613</v>
      </c>
      <c r="BG286" s="60">
        <f t="shared" si="307"/>
        <v>64.958508711934655</v>
      </c>
      <c r="BH286" s="58" t="str">
        <f t="shared" si="308"/>
        <v>0.0405229132192151+0.322800524498609i</v>
      </c>
      <c r="BI286" s="37">
        <f t="shared" si="309"/>
        <v>-9.7534079239415057</v>
      </c>
      <c r="BJ286" s="60">
        <f t="shared" si="310"/>
        <v>82.844777885070741</v>
      </c>
      <c r="BK286">
        <f t="shared" si="311"/>
        <v>-13.354372841163613</v>
      </c>
      <c r="BL286" s="60">
        <f t="shared" si="312"/>
        <v>64.958508711934655</v>
      </c>
      <c r="BN286">
        <f t="shared" si="313"/>
        <v>0</v>
      </c>
      <c r="BO286">
        <f t="shared" si="314"/>
        <v>0</v>
      </c>
    </row>
    <row r="287" spans="13:67" ht="14.25" x14ac:dyDescent="0.2">
      <c r="M287" s="66">
        <v>69</v>
      </c>
      <c r="N287" s="36">
        <f t="shared" si="315"/>
        <v>4897.7881936844633</v>
      </c>
      <c r="O287" s="91" t="str">
        <f t="shared" si="263"/>
        <v>99.7340425531915</v>
      </c>
      <c r="P287" s="67" t="str">
        <f t="shared" si="264"/>
        <v>1+893.747133280043i</v>
      </c>
      <c r="Q287" s="67">
        <f t="shared" si="275"/>
        <v>893.74769272222193</v>
      </c>
      <c r="R287" s="67">
        <f t="shared" si="276"/>
        <v>1.5696774425540831</v>
      </c>
      <c r="S287" s="67" t="str">
        <f t="shared" si="265"/>
        <v>1+1.68024461056648i</v>
      </c>
      <c r="T287" s="67">
        <f t="shared" si="277"/>
        <v>1.9553061016980695</v>
      </c>
      <c r="U287" s="67">
        <f t="shared" si="278"/>
        <v>1.0339495711495876</v>
      </c>
      <c r="V287" t="str">
        <f t="shared" si="266"/>
        <v>1-0.173563729003571i</v>
      </c>
      <c r="W287" s="67">
        <f t="shared" si="279"/>
        <v>1.0149504263882179</v>
      </c>
      <c r="X287" s="67">
        <f t="shared" si="280"/>
        <v>-0.17185173517064736</v>
      </c>
      <c r="Y287" t="str">
        <f t="shared" si="267"/>
        <v>0.994322288949066+0.268283632756929i</v>
      </c>
      <c r="Z287" s="67">
        <f t="shared" si="281"/>
        <v>1.0298800521935381</v>
      </c>
      <c r="AA287" s="67">
        <f t="shared" si="282"/>
        <v>0.26353992564322076</v>
      </c>
      <c r="AB287" s="92" t="str">
        <f t="shared" si="283"/>
        <v>0.121358368146414-0.177512120256845i</v>
      </c>
      <c r="AC287" s="37">
        <f t="shared" si="284"/>
        <v>-13.349971426278218</v>
      </c>
      <c r="AD287" s="60">
        <f t="shared" si="285"/>
        <v>-55.641050598831008</v>
      </c>
      <c r="AE287" t="str">
        <f t="shared" si="286"/>
        <v>118.329284003155</v>
      </c>
      <c r="AF287" t="str">
        <f t="shared" si="268"/>
        <v>1+714.997706624035i</v>
      </c>
      <c r="AG287">
        <f t="shared" si="287"/>
        <v>714.99840592663531</v>
      </c>
      <c r="AH287">
        <f t="shared" si="288"/>
        <v>1.5693977218221764</v>
      </c>
      <c r="AI287" t="str">
        <f t="shared" si="269"/>
        <v>1+1.68024461056648i</v>
      </c>
      <c r="AJ287">
        <f t="shared" si="289"/>
        <v>1.9553061016980695</v>
      </c>
      <c r="AK287">
        <f t="shared" si="290"/>
        <v>1.0339495711495876</v>
      </c>
      <c r="AL287" t="str">
        <f t="shared" si="270"/>
        <v>1-0.11702728155022i</v>
      </c>
      <c r="AM287">
        <f t="shared" si="291"/>
        <v>1.0068244060545188</v>
      </c>
      <c r="AN287">
        <f t="shared" si="292"/>
        <v>-0.11649738452416468</v>
      </c>
      <c r="AO287" s="58" t="str">
        <f t="shared" si="293"/>
        <v>0.258982737440109-0.197676041074831i</v>
      </c>
      <c r="AP287">
        <f t="shared" si="294"/>
        <v>-9.7408869358299359</v>
      </c>
      <c r="AQ287" s="60">
        <f t="shared" si="295"/>
        <v>-37.353727639171765</v>
      </c>
      <c r="AR287" t="str">
        <f t="shared" si="271"/>
        <v>-1.94444444444444</v>
      </c>
      <c r="AS287" t="str">
        <f t="shared" si="272"/>
        <v>1+1.72332780570921i</v>
      </c>
      <c r="AT287">
        <f t="shared" si="296"/>
        <v>1.9924504324902343</v>
      </c>
      <c r="AU287">
        <f t="shared" si="297"/>
        <v>1.0450085359307999</v>
      </c>
      <c r="AV287" t="str">
        <f t="shared" si="273"/>
        <v>1+1.72332780570921i</v>
      </c>
      <c r="AW287">
        <f t="shared" si="298"/>
        <v>1.9924504324902343</v>
      </c>
      <c r="AX287">
        <f t="shared" si="299"/>
        <v>1.0450085359307999</v>
      </c>
      <c r="AY287" t="str">
        <f t="shared" si="274"/>
        <v>1-0.00123462266866429i</v>
      </c>
      <c r="AZ287">
        <f t="shared" si="300"/>
        <v>1.0000007621462765</v>
      </c>
      <c r="BA287">
        <f t="shared" si="301"/>
        <v>-1.2346220413559114E-3</v>
      </c>
      <c r="BB287" s="58" t="str">
        <f t="shared" si="302"/>
        <v>-0.488759792869051+0.844693996552979i</v>
      </c>
      <c r="BC287">
        <f t="shared" si="303"/>
        <v>-0.21183311456301204</v>
      </c>
      <c r="BD287" s="60">
        <f t="shared" si="304"/>
        <v>120.0546827037564</v>
      </c>
      <c r="BE287" s="58" t="str">
        <f t="shared" si="305"/>
        <v>0.0906283314181801+0.189271472133224i</v>
      </c>
      <c r="BF287" s="37">
        <f t="shared" si="306"/>
        <v>-13.561804540841223</v>
      </c>
      <c r="BG287" s="60">
        <f t="shared" si="307"/>
        <v>64.413632104925426</v>
      </c>
      <c r="BH287" s="58" t="str">
        <f t="shared" si="308"/>
        <v>0.0403954160503823+0.315377264417425i</v>
      </c>
      <c r="BI287" s="37">
        <f t="shared" si="309"/>
        <v>-9.9527200503929478</v>
      </c>
      <c r="BJ287" s="60">
        <f t="shared" si="310"/>
        <v>82.700955064584662</v>
      </c>
      <c r="BK287">
        <f t="shared" si="311"/>
        <v>-13.561804540841223</v>
      </c>
      <c r="BL287" s="60">
        <f t="shared" si="312"/>
        <v>64.413632104925426</v>
      </c>
      <c r="BN287">
        <f t="shared" si="313"/>
        <v>0</v>
      </c>
      <c r="BO287">
        <f t="shared" si="314"/>
        <v>0</v>
      </c>
    </row>
    <row r="288" spans="13:67" ht="14.25" x14ac:dyDescent="0.2">
      <c r="M288" s="66">
        <v>70</v>
      </c>
      <c r="N288" s="36">
        <f t="shared" si="315"/>
        <v>5011.8723362727324</v>
      </c>
      <c r="O288" s="91" t="str">
        <f t="shared" si="263"/>
        <v>99.7340425531915</v>
      </c>
      <c r="P288" s="67" t="str">
        <f t="shared" si="264"/>
        <v>1+914.565178356483i</v>
      </c>
      <c r="Q288" s="67">
        <f t="shared" si="275"/>
        <v>914.5657250642106</v>
      </c>
      <c r="R288" s="67">
        <f t="shared" si="276"/>
        <v>1.5697029114482965</v>
      </c>
      <c r="S288" s="67" t="str">
        <f t="shared" si="265"/>
        <v>1+1.71938253531019i</v>
      </c>
      <c r="T288" s="67">
        <f t="shared" si="277"/>
        <v>1.9890390400215119</v>
      </c>
      <c r="U288" s="67">
        <f t="shared" si="278"/>
        <v>1.0440130250471</v>
      </c>
      <c r="V288" t="str">
        <f t="shared" si="266"/>
        <v>1-0.17760654760347i</v>
      </c>
      <c r="W288" s="67">
        <f t="shared" si="279"/>
        <v>1.0156495880723939</v>
      </c>
      <c r="X288" s="67">
        <f t="shared" si="280"/>
        <v>-0.17577363630373175</v>
      </c>
      <c r="Y288" t="str">
        <f t="shared" si="267"/>
        <v>0.994054706670983+0.274532761343789i</v>
      </c>
      <c r="Z288" s="67">
        <f t="shared" si="281"/>
        <v>1.0312676650151404</v>
      </c>
      <c r="AA288" s="67">
        <f t="shared" si="282"/>
        <v>0.26945799269979187</v>
      </c>
      <c r="AB288" s="92" t="str">
        <f t="shared" si="283"/>
        <v>0.120597517193061-0.176324264713314i</v>
      </c>
      <c r="AC288" s="37">
        <f t="shared" si="284"/>
        <v>-13.407113907506718</v>
      </c>
      <c r="AD288" s="60">
        <f t="shared" si="285"/>
        <v>-55.62970507113657</v>
      </c>
      <c r="AE288" t="str">
        <f t="shared" si="286"/>
        <v>118.329284003155</v>
      </c>
      <c r="AF288" t="str">
        <f t="shared" si="268"/>
        <v>1+731.652142685187i</v>
      </c>
      <c r="AG288">
        <f t="shared" si="287"/>
        <v>731.65282606973176</v>
      </c>
      <c r="AH288">
        <f t="shared" si="288"/>
        <v>1.5694295579180308</v>
      </c>
      <c r="AI288" t="str">
        <f t="shared" si="269"/>
        <v>1+1.71938253531019i</v>
      </c>
      <c r="AJ288">
        <f t="shared" si="289"/>
        <v>1.9890390400215119</v>
      </c>
      <c r="AK288">
        <f t="shared" si="290"/>
        <v>1.0440130250471</v>
      </c>
      <c r="AL288" t="str">
        <f t="shared" si="270"/>
        <v>1-0.119753197116007i</v>
      </c>
      <c r="AM288">
        <f t="shared" si="291"/>
        <v>1.0071448893875723</v>
      </c>
      <c r="AN288">
        <f t="shared" si="292"/>
        <v>-0.11918561954656047</v>
      </c>
      <c r="AO288" s="58" t="str">
        <f t="shared" si="293"/>
        <v>0.258972342676375-0.194675156414039i</v>
      </c>
      <c r="AP288">
        <f t="shared" si="294"/>
        <v>-9.7895511421985955</v>
      </c>
      <c r="AQ288" s="60">
        <f t="shared" si="295"/>
        <v>-36.932982798570819</v>
      </c>
      <c r="AR288" t="str">
        <f t="shared" si="271"/>
        <v>-1.94444444444444</v>
      </c>
      <c r="AS288" t="str">
        <f t="shared" si="272"/>
        <v>1+1.7634692669848i</v>
      </c>
      <c r="AT288">
        <f t="shared" si="296"/>
        <v>2.0272700499933176</v>
      </c>
      <c r="AU288">
        <f t="shared" si="297"/>
        <v>1.0549465863712146</v>
      </c>
      <c r="AV288" t="str">
        <f t="shared" si="273"/>
        <v>1+1.7634692669848i</v>
      </c>
      <c r="AW288">
        <f t="shared" si="298"/>
        <v>2.0272700499933176</v>
      </c>
      <c r="AX288">
        <f t="shared" si="299"/>
        <v>1.0549465863712146</v>
      </c>
      <c r="AY288" t="str">
        <f t="shared" si="274"/>
        <v>1-0.00120651922565454i</v>
      </c>
      <c r="AZ288">
        <f t="shared" si="300"/>
        <v>1.0000007278440561</v>
      </c>
      <c r="BA288">
        <f t="shared" si="301"/>
        <v>-1.2065186402162736E-3</v>
      </c>
      <c r="BB288" s="58" t="str">
        <f t="shared" si="302"/>
        <v>-0.472114474191248+0.834905375340393i</v>
      </c>
      <c r="BC288">
        <f t="shared" si="303"/>
        <v>-0.36231498002494411</v>
      </c>
      <c r="BD288" s="60">
        <f t="shared" si="304"/>
        <v>119.48688456320781</v>
      </c>
      <c r="BE288" s="58" t="str">
        <f t="shared" si="305"/>
        <v>0.0902782429937162+0.183932752879477i</v>
      </c>
      <c r="BF288" s="37">
        <f t="shared" si="306"/>
        <v>-13.769428887531653</v>
      </c>
      <c r="BG288" s="60">
        <f t="shared" si="307"/>
        <v>63.857179492071289</v>
      </c>
      <c r="BH288" s="58" t="str">
        <f t="shared" si="308"/>
        <v>0.0402707431425805+0.308126360073513i</v>
      </c>
      <c r="BI288" s="37">
        <f t="shared" si="309"/>
        <v>-10.151866122223529</v>
      </c>
      <c r="BJ288" s="60">
        <f t="shared" si="310"/>
        <v>82.55390176463699</v>
      </c>
      <c r="BK288">
        <f t="shared" si="311"/>
        <v>-13.769428887531653</v>
      </c>
      <c r="BL288" s="60">
        <f t="shared" si="312"/>
        <v>63.857179492071289</v>
      </c>
      <c r="BN288">
        <f t="shared" si="313"/>
        <v>0</v>
      </c>
      <c r="BO288">
        <f t="shared" si="314"/>
        <v>0</v>
      </c>
    </row>
    <row r="289" spans="13:67" ht="14.25" x14ac:dyDescent="0.2">
      <c r="M289" s="66">
        <v>71</v>
      </c>
      <c r="N289" s="36">
        <f t="shared" si="315"/>
        <v>5128.6138399136489</v>
      </c>
      <c r="O289" s="91" t="str">
        <f t="shared" si="263"/>
        <v>99.7340425531915</v>
      </c>
      <c r="P289" s="67" t="str">
        <f t="shared" si="264"/>
        <v>1+935.868137996184i</v>
      </c>
      <c r="Q289" s="67">
        <f t="shared" si="275"/>
        <v>935.86867225933179</v>
      </c>
      <c r="R289" s="67">
        <f t="shared" si="276"/>
        <v>1.5697278006010693</v>
      </c>
      <c r="S289" s="67" t="str">
        <f t="shared" si="265"/>
        <v>1+1.75943209943283i</v>
      </c>
      <c r="T289" s="67">
        <f t="shared" si="277"/>
        <v>2.0237592031945444</v>
      </c>
      <c r="U289" s="67">
        <f t="shared" si="278"/>
        <v>1.0539625607575838</v>
      </c>
      <c r="V289" t="str">
        <f t="shared" si="266"/>
        <v>1-0.181743535545808i</v>
      </c>
      <c r="W289" s="67">
        <f t="shared" si="279"/>
        <v>1.0163811847494475</v>
      </c>
      <c r="X289" s="67">
        <f t="shared" si="280"/>
        <v>-0.17978124125163197</v>
      </c>
      <c r="Y289" t="str">
        <f t="shared" si="267"/>
        <v>0.99377451362865+0.280927450834583i</v>
      </c>
      <c r="Z289" s="67">
        <f t="shared" si="281"/>
        <v>1.0327187499848527</v>
      </c>
      <c r="AA289" s="67">
        <f t="shared" si="282"/>
        <v>0.27549890854517922</v>
      </c>
      <c r="AB289" s="92" t="str">
        <f t="shared" si="283"/>
        <v>0.119805649785086-0.175213058907411i</v>
      </c>
      <c r="AC289" s="37">
        <f t="shared" si="284"/>
        <v>-13.46276191002568</v>
      </c>
      <c r="AD289" s="60">
        <f t="shared" si="285"/>
        <v>-55.636802542025634</v>
      </c>
      <c r="AE289" t="str">
        <f t="shared" si="286"/>
        <v>118.329284003155</v>
      </c>
      <c r="AF289" t="str">
        <f t="shared" si="268"/>
        <v>1+748.694510396947i</v>
      </c>
      <c r="AG289">
        <f t="shared" si="287"/>
        <v>748.6951782257745</v>
      </c>
      <c r="AH289">
        <f t="shared" si="288"/>
        <v>1.5694606693385471</v>
      </c>
      <c r="AI289" t="str">
        <f t="shared" si="269"/>
        <v>1+1.75943209943283i</v>
      </c>
      <c r="AJ289">
        <f t="shared" si="289"/>
        <v>2.0237592031945444</v>
      </c>
      <c r="AK289">
        <f t="shared" si="290"/>
        <v>1.0539625607575838</v>
      </c>
      <c r="AL289" t="str">
        <f t="shared" si="270"/>
        <v>1-0.122542607412025i</v>
      </c>
      <c r="AM289">
        <f t="shared" si="291"/>
        <v>1.0074803673676911</v>
      </c>
      <c r="AN289">
        <f t="shared" si="292"/>
        <v>-0.12193468070333179</v>
      </c>
      <c r="AO289" s="58" t="str">
        <f t="shared" si="293"/>
        <v>0.258962415752367-0.19177748981881i</v>
      </c>
      <c r="AP289">
        <f t="shared" si="294"/>
        <v>-9.8363474181864952</v>
      </c>
      <c r="AQ289" s="60">
        <f t="shared" si="295"/>
        <v>-36.522208549241938</v>
      </c>
      <c r="AR289" t="str">
        <f t="shared" si="271"/>
        <v>-1.94444444444444</v>
      </c>
      <c r="AS289" t="str">
        <f t="shared" si="272"/>
        <v>1+1.80454574300802i</v>
      </c>
      <c r="AT289">
        <f t="shared" si="296"/>
        <v>2.063100903641983</v>
      </c>
      <c r="AU289">
        <f t="shared" si="297"/>
        <v>1.0647678662264877</v>
      </c>
      <c r="AV289" t="str">
        <f t="shared" si="273"/>
        <v>1+1.80454574300802i</v>
      </c>
      <c r="AW289">
        <f t="shared" si="298"/>
        <v>2.063100903641983</v>
      </c>
      <c r="AX289">
        <f t="shared" si="299"/>
        <v>1.0647678662264877</v>
      </c>
      <c r="AY289" t="str">
        <f t="shared" si="274"/>
        <v>1-0.0011790554951084i</v>
      </c>
      <c r="AZ289">
        <f t="shared" si="300"/>
        <v>1.0000006950856888</v>
      </c>
      <c r="BA289">
        <f t="shared" si="301"/>
        <v>-1.1790549487455987E-3</v>
      </c>
      <c r="BB289" s="58" t="str">
        <f t="shared" si="302"/>
        <v>-0.455858004914466+0.824909230091685i</v>
      </c>
      <c r="BC289">
        <f t="shared" si="303"/>
        <v>-0.51449256329528659</v>
      </c>
      <c r="BD289" s="60">
        <f t="shared" si="304"/>
        <v>118.92574023169485</v>
      </c>
      <c r="BE289" s="58" t="str">
        <f t="shared" si="305"/>
        <v>0.0899205050368109+0.178701061793343i</v>
      </c>
      <c r="BF289" s="37">
        <f t="shared" si="306"/>
        <v>-13.977254473320951</v>
      </c>
      <c r="BG289" s="60">
        <f t="shared" si="307"/>
        <v>63.288937689669304</v>
      </c>
      <c r="BH289" s="58" t="str">
        <f t="shared" si="308"/>
        <v>0.040148931282646+0.301043790897275i</v>
      </c>
      <c r="BI289" s="37">
        <f t="shared" si="309"/>
        <v>-10.35083998148178</v>
      </c>
      <c r="BJ289" s="60">
        <f t="shared" si="310"/>
        <v>82.403531682452922</v>
      </c>
      <c r="BK289">
        <f t="shared" si="311"/>
        <v>-13.977254473320951</v>
      </c>
      <c r="BL289" s="60">
        <f t="shared" si="312"/>
        <v>63.288937689669304</v>
      </c>
      <c r="BN289">
        <f t="shared" si="313"/>
        <v>0</v>
      </c>
      <c r="BO289">
        <f t="shared" si="314"/>
        <v>0</v>
      </c>
    </row>
    <row r="290" spans="13:67" ht="14.25" x14ac:dyDescent="0.2">
      <c r="M290" s="66">
        <v>72</v>
      </c>
      <c r="N290" s="36">
        <f t="shared" si="315"/>
        <v>5248.0746024977261</v>
      </c>
      <c r="O290" s="91" t="str">
        <f t="shared" si="263"/>
        <v>99.7340425531915</v>
      </c>
      <c r="P290" s="67" t="str">
        <f t="shared" si="264"/>
        <v>1+957.667307310334i</v>
      </c>
      <c r="Q290" s="67">
        <f t="shared" si="275"/>
        <v>957.66782941217446</v>
      </c>
      <c r="R290" s="67">
        <f t="shared" si="276"/>
        <v>1.5697521232088363</v>
      </c>
      <c r="S290" s="67" t="str">
        <f t="shared" si="265"/>
        <v>1+1.80041453774343i</v>
      </c>
      <c r="T290" s="67">
        <f t="shared" si="277"/>
        <v>2.0594884092215446</v>
      </c>
      <c r="U290" s="67">
        <f t="shared" si="278"/>
        <v>1.0637955735354248</v>
      </c>
      <c r="V290" t="str">
        <f t="shared" si="266"/>
        <v>1-0.185976886316354i</v>
      </c>
      <c r="W290" s="67">
        <f t="shared" si="279"/>
        <v>1.0171466965211686</v>
      </c>
      <c r="X290" s="67">
        <f t="shared" si="280"/>
        <v>-0.18387615971924501</v>
      </c>
      <c r="Y290" t="str">
        <f t="shared" si="267"/>
        <v>0.993481115495058+0.287471091778325i</v>
      </c>
      <c r="Z290" s="67">
        <f t="shared" si="281"/>
        <v>1.0342361217118301</v>
      </c>
      <c r="AA290" s="67">
        <f t="shared" si="282"/>
        <v>0.28166455112203514</v>
      </c>
      <c r="AB290" s="92" t="str">
        <f t="shared" si="283"/>
        <v>0.118981658607227-0.174176859708281i</v>
      </c>
      <c r="AC290" s="37">
        <f t="shared" si="284"/>
        <v>-13.516964651954504</v>
      </c>
      <c r="AD290" s="60">
        <f t="shared" si="285"/>
        <v>-55.662692836012994</v>
      </c>
      <c r="AE290" t="str">
        <f t="shared" si="286"/>
        <v>118.329284003155</v>
      </c>
      <c r="AF290" t="str">
        <f t="shared" si="268"/>
        <v>1+766.133845848268i</v>
      </c>
      <c r="AG290">
        <f t="shared" si="287"/>
        <v>766.1344984754686</v>
      </c>
      <c r="AH290">
        <f t="shared" si="288"/>
        <v>1.5694910725791706</v>
      </c>
      <c r="AI290" t="str">
        <f t="shared" si="269"/>
        <v>1+1.80041453774343i</v>
      </c>
      <c r="AJ290">
        <f t="shared" si="289"/>
        <v>2.0594884092215446</v>
      </c>
      <c r="AK290">
        <f t="shared" si="290"/>
        <v>1.0637955735354248</v>
      </c>
      <c r="AL290" t="str">
        <f t="shared" si="270"/>
        <v>1-0.125396991420537i</v>
      </c>
      <c r="AM290">
        <f t="shared" si="291"/>
        <v>1.0078315362486541</v>
      </c>
      <c r="AN290">
        <f t="shared" si="292"/>
        <v>-0.12474585928923677</v>
      </c>
      <c r="AO290" s="58" t="str">
        <f t="shared" si="293"/>
        <v>0.258952935611976-0.188981504993338i</v>
      </c>
      <c r="AP290">
        <f t="shared" si="294"/>
        <v>-9.8813097233232359</v>
      </c>
      <c r="AQ290" s="60">
        <f t="shared" si="295"/>
        <v>-36.121629062974726</v>
      </c>
      <c r="AR290" t="str">
        <f t="shared" si="271"/>
        <v>-1.94444444444444</v>
      </c>
      <c r="AS290" t="str">
        <f t="shared" si="272"/>
        <v>1+1.84657901307018i</v>
      </c>
      <c r="AT290">
        <f t="shared" si="296"/>
        <v>2.0999652500723056</v>
      </c>
      <c r="AU290">
        <f t="shared" si="297"/>
        <v>1.0744700034799286</v>
      </c>
      <c r="AV290" t="str">
        <f t="shared" si="273"/>
        <v>1+1.84657901307018i</v>
      </c>
      <c r="AW290">
        <f t="shared" si="298"/>
        <v>2.0999652500723056</v>
      </c>
      <c r="AX290">
        <f t="shared" si="299"/>
        <v>1.0744700034799286</v>
      </c>
      <c r="AY290" t="str">
        <f t="shared" si="274"/>
        <v>1-0.00115221691539241i</v>
      </c>
      <c r="AZ290">
        <f t="shared" si="300"/>
        <v>1.0000006638016898</v>
      </c>
      <c r="BA290">
        <f t="shared" si="301"/>
        <v>-1.1522164054969567E-3</v>
      </c>
      <c r="BB290" s="58" t="str">
        <f t="shared" si="302"/>
        <v>-0.439993547618716+0.814723272698945i</v>
      </c>
      <c r="BC290">
        <f t="shared" si="303"/>
        <v>-0.66832561234973942</v>
      </c>
      <c r="BD290" s="60">
        <f t="shared" si="304"/>
        <v>118.37138645007251</v>
      </c>
      <c r="BE290" s="58" t="str">
        <f t="shared" si="305"/>
        <v>0.089554779097803+0.173573820707763i</v>
      </c>
      <c r="BF290" s="37">
        <f t="shared" si="306"/>
        <v>-14.185290264304227</v>
      </c>
      <c r="BG290" s="60">
        <f t="shared" si="307"/>
        <v>62.708693614059584</v>
      </c>
      <c r="BH290" s="58" t="str">
        <f t="shared" si="308"/>
        <v>0.0400300094215501+0.294125625993131i</v>
      </c>
      <c r="BI290" s="37">
        <f t="shared" si="309"/>
        <v>-10.54963533567298</v>
      </c>
      <c r="BJ290" s="60">
        <f t="shared" si="310"/>
        <v>82.249757387097802</v>
      </c>
      <c r="BK290">
        <f t="shared" si="311"/>
        <v>-14.185290264304227</v>
      </c>
      <c r="BL290" s="60">
        <f t="shared" si="312"/>
        <v>62.708693614059584</v>
      </c>
      <c r="BN290">
        <f t="shared" si="313"/>
        <v>0</v>
      </c>
      <c r="BO290">
        <f t="shared" si="314"/>
        <v>0</v>
      </c>
    </row>
    <row r="291" spans="13:67" ht="14.25" x14ac:dyDescent="0.2">
      <c r="M291" s="66">
        <v>73</v>
      </c>
      <c r="N291" s="36">
        <f t="shared" si="315"/>
        <v>5370.3179637025269</v>
      </c>
      <c r="O291" s="91" t="str">
        <f t="shared" si="263"/>
        <v>99.7340425531915</v>
      </c>
      <c r="P291" s="67" t="str">
        <f t="shared" si="264"/>
        <v>1+979.974244507043i</v>
      </c>
      <c r="Q291" s="67">
        <f t="shared" si="275"/>
        <v>979.9747547244009</v>
      </c>
      <c r="R291" s="67">
        <f t="shared" si="276"/>
        <v>1.5697758921676506</v>
      </c>
      <c r="S291" s="67" t="str">
        <f t="shared" si="265"/>
        <v>1+1.84235157967324i</v>
      </c>
      <c r="T291" s="67">
        <f t="shared" si="277"/>
        <v>2.0962488743287335</v>
      </c>
      <c r="U291" s="67">
        <f t="shared" si="278"/>
        <v>1.0735096703971914</v>
      </c>
      <c r="V291" t="str">
        <f t="shared" si="266"/>
        <v>1-0.190308844493719i</v>
      </c>
      <c r="W291" s="67">
        <f t="shared" si="279"/>
        <v>1.0179476687396727</v>
      </c>
      <c r="X291" s="67">
        <f t="shared" si="280"/>
        <v>-0.18806001329660527</v>
      </c>
      <c r="Y291" t="str">
        <f t="shared" si="267"/>
        <v>0.993173889933428+0.294167153700057i</v>
      </c>
      <c r="Z291" s="67">
        <f t="shared" si="281"/>
        <v>1.035822711645912</v>
      </c>
      <c r="AA291" s="67">
        <f t="shared" si="282"/>
        <v>0.2879567818110283</v>
      </c>
      <c r="AB291" s="92" t="str">
        <f t="shared" si="283"/>
        <v>0.118124416310627-0.173214004803047i</v>
      </c>
      <c r="AC291" s="37">
        <f t="shared" si="284"/>
        <v>-13.569771996306223</v>
      </c>
      <c r="AD291" s="60">
        <f t="shared" si="285"/>
        <v>-55.707713359361634</v>
      </c>
      <c r="AE291" t="str">
        <f t="shared" si="286"/>
        <v>118.329284003155</v>
      </c>
      <c r="AF291" t="str">
        <f t="shared" si="268"/>
        <v>1+783.979395605634i</v>
      </c>
      <c r="AG291">
        <f t="shared" si="287"/>
        <v>783.98003337723799</v>
      </c>
      <c r="AH291">
        <f t="shared" si="288"/>
        <v>1.5695207837598775</v>
      </c>
      <c r="AI291" t="str">
        <f t="shared" si="269"/>
        <v>1+1.84235157967324i</v>
      </c>
      <c r="AJ291">
        <f t="shared" si="289"/>
        <v>2.0962488743287335</v>
      </c>
      <c r="AK291">
        <f t="shared" si="290"/>
        <v>1.0735096703971914</v>
      </c>
      <c r="AL291" t="str">
        <f t="shared" si="270"/>
        <v>1-0.128317862573725i</v>
      </c>
      <c r="AM291">
        <f t="shared" si="291"/>
        <v>1.0081991241096619</v>
      </c>
      <c r="AN291">
        <f t="shared" si="292"/>
        <v>-0.12762046800552307</v>
      </c>
      <c r="AO291" s="58" t="str">
        <f t="shared" si="293"/>
        <v>0.25894388214677-0.186285719549144i</v>
      </c>
      <c r="AP291">
        <f t="shared" si="294"/>
        <v>-9.9244721446303785</v>
      </c>
      <c r="AQ291" s="60">
        <f t="shared" si="295"/>
        <v>-35.731457583467808</v>
      </c>
      <c r="AR291" t="str">
        <f t="shared" si="271"/>
        <v>-1.94444444444444</v>
      </c>
      <c r="AS291" t="str">
        <f t="shared" si="272"/>
        <v>1+1.88959136376742i</v>
      </c>
      <c r="AT291">
        <f t="shared" si="296"/>
        <v>2.1378857598160894</v>
      </c>
      <c r="AU291">
        <f t="shared" si="297"/>
        <v>1.0840508353644469</v>
      </c>
      <c r="AV291" t="str">
        <f t="shared" si="273"/>
        <v>1+1.88959136376742i</v>
      </c>
      <c r="AW291">
        <f t="shared" si="298"/>
        <v>2.1378857598160894</v>
      </c>
      <c r="AX291">
        <f t="shared" si="299"/>
        <v>1.0840508353644469</v>
      </c>
      <c r="AY291" t="str">
        <f t="shared" si="274"/>
        <v>1-0.00112598925633636i</v>
      </c>
      <c r="AZ291">
        <f t="shared" si="300"/>
        <v>1.0000006339257017</v>
      </c>
      <c r="BA291">
        <f t="shared" si="301"/>
        <v>-1.1259887804742183E-3</v>
      </c>
      <c r="BB291" s="58" t="str">
        <f t="shared" si="302"/>
        <v>-0.424523303404874+0.804364991385854i</v>
      </c>
      <c r="BC291">
        <f t="shared" si="303"/>
        <v>-0.82377359902126845</v>
      </c>
      <c r="BD291" s="60">
        <f t="shared" si="304"/>
        <v>117.82394795108566</v>
      </c>
      <c r="BE291" s="58" t="str">
        <f t="shared" si="305"/>
        <v>0.0891807140563522+0.168548526623134i</v>
      </c>
      <c r="BF291" s="37">
        <f t="shared" si="306"/>
        <v>-14.393545595327485</v>
      </c>
      <c r="BG291" s="60">
        <f t="shared" si="307"/>
        <v>62.11623459172408</v>
      </c>
      <c r="BH291" s="58" t="str">
        <f t="shared" si="308"/>
        <v>0.0399139989550257+0.287368022572563i</v>
      </c>
      <c r="BI291" s="37">
        <f t="shared" si="309"/>
        <v>-10.748245743651641</v>
      </c>
      <c r="BJ291" s="60">
        <f t="shared" si="310"/>
        <v>82.09249036761787</v>
      </c>
      <c r="BK291">
        <f t="shared" si="311"/>
        <v>-14.393545595327485</v>
      </c>
      <c r="BL291" s="60">
        <f t="shared" si="312"/>
        <v>62.11623459172408</v>
      </c>
      <c r="BN291">
        <f t="shared" si="313"/>
        <v>0</v>
      </c>
      <c r="BO291">
        <f t="shared" si="314"/>
        <v>0</v>
      </c>
    </row>
    <row r="292" spans="13:67" ht="14.25" x14ac:dyDescent="0.2">
      <c r="M292" s="66">
        <v>74</v>
      </c>
      <c r="N292" s="36">
        <f t="shared" si="315"/>
        <v>5495.4087385762541</v>
      </c>
      <c r="O292" s="91" t="str">
        <f t="shared" si="263"/>
        <v>99.7340425531915</v>
      </c>
      <c r="P292" s="67" t="str">
        <f t="shared" si="264"/>
        <v>1+1002.80077701968i</v>
      </c>
      <c r="Q292" s="67">
        <f t="shared" si="275"/>
        <v>1002.8012756230787</v>
      </c>
      <c r="R292" s="67">
        <f t="shared" si="276"/>
        <v>1.5697991200800212</v>
      </c>
      <c r="S292" s="67" t="str">
        <f t="shared" si="265"/>
        <v>1+1.88526546079701i</v>
      </c>
      <c r="T292" s="67">
        <f t="shared" si="277"/>
        <v>2.1340632271969269</v>
      </c>
      <c r="U292" s="67">
        <f t="shared" si="278"/>
        <v>1.0831026678707225</v>
      </c>
      <c r="V292" t="str">
        <f t="shared" si="266"/>
        <v>1-0.194741706939471i</v>
      </c>
      <c r="W292" s="67">
        <f t="shared" si="279"/>
        <v>1.0187857146729624</v>
      </c>
      <c r="X292" s="67">
        <f t="shared" si="280"/>
        <v>-0.19233443413849016</v>
      </c>
      <c r="Y292" t="str">
        <f t="shared" si="267"/>
        <v>0.992852185277155+0.301019186940445i</v>
      </c>
      <c r="Z292" s="67">
        <f t="shared" si="281"/>
        <v>1.0374815722295545</v>
      </c>
      <c r="AA292" s="67">
        <f t="shared" si="282"/>
        <v>0.294377441819619</v>
      </c>
      <c r="AB292" s="92" t="str">
        <f t="shared" si="283"/>
        <v>0.117232776826961-0.172322809302674i</v>
      </c>
      <c r="AC292" s="37">
        <f t="shared" si="284"/>
        <v>-13.621234347165686</v>
      </c>
      <c r="AD292" s="60">
        <f t="shared" si="285"/>
        <v>-55.772188946877861</v>
      </c>
      <c r="AE292" t="str">
        <f t="shared" si="286"/>
        <v>118.329284003155</v>
      </c>
      <c r="AF292" t="str">
        <f t="shared" si="268"/>
        <v>1+802.240621615748i</v>
      </c>
      <c r="AG292">
        <f t="shared" si="287"/>
        <v>802.24124486990922</v>
      </c>
      <c r="AH292">
        <f t="shared" si="288"/>
        <v>1.5695498186337187</v>
      </c>
      <c r="AI292" t="str">
        <f t="shared" si="269"/>
        <v>1+1.88526546079701i</v>
      </c>
      <c r="AJ292">
        <f t="shared" si="289"/>
        <v>2.1340632271969269</v>
      </c>
      <c r="AK292">
        <f t="shared" si="290"/>
        <v>1.0831026678707225</v>
      </c>
      <c r="AL292" t="str">
        <f t="shared" si="270"/>
        <v>1-0.131306769556138i</v>
      </c>
      <c r="AM292">
        <f t="shared" si="291"/>
        <v>1.0085838922624477</v>
      </c>
      <c r="AN292">
        <f t="shared" si="292"/>
        <v>-0.13055984087470346</v>
      </c>
      <c r="AO292" s="58" t="str">
        <f t="shared" si="293"/>
        <v>0.258935236153323-0.183688704219464i</v>
      </c>
      <c r="AP292">
        <f t="shared" si="294"/>
        <v>-9.9658687846196674</v>
      </c>
      <c r="AQ292" s="60">
        <f t="shared" si="295"/>
        <v>-35.35189655090408</v>
      </c>
      <c r="AR292" t="str">
        <f t="shared" si="271"/>
        <v>-1.94444444444444</v>
      </c>
      <c r="AS292" t="str">
        <f t="shared" si="272"/>
        <v>1+1.93360560081744i</v>
      </c>
      <c r="AT292">
        <f t="shared" si="296"/>
        <v>2.1768855320187539</v>
      </c>
      <c r="AU292">
        <f t="shared" si="297"/>
        <v>1.0935084053765629</v>
      </c>
      <c r="AV292" t="str">
        <f t="shared" si="273"/>
        <v>1+1.93360560081744i</v>
      </c>
      <c r="AW292">
        <f t="shared" si="298"/>
        <v>2.1768855320187539</v>
      </c>
      <c r="AX292">
        <f t="shared" si="299"/>
        <v>1.0935084053765629</v>
      </c>
      <c r="AY292" t="str">
        <f t="shared" si="274"/>
        <v>1-0.00110035861168824i</v>
      </c>
      <c r="AZ292">
        <f t="shared" si="300"/>
        <v>1.000000605394354</v>
      </c>
      <c r="BA292">
        <f t="shared" si="301"/>
        <v>-1.1003581675878343E-3</v>
      </c>
      <c r="BB292" s="58" t="str">
        <f t="shared" si="302"/>
        <v>-0.409448550580348+0.793851596838138i</v>
      </c>
      <c r="BC292">
        <f t="shared" si="303"/>
        <v>-0.9807958161393775</v>
      </c>
      <c r="BD292" s="60">
        <f t="shared" si="304"/>
        <v>117.28353763088668</v>
      </c>
      <c r="BE292" s="58" t="str">
        <f t="shared" si="305"/>
        <v>0.0887979467842531+0.163622751586766i</v>
      </c>
      <c r="BF292" s="37">
        <f t="shared" si="306"/>
        <v>-14.602030163305049</v>
      </c>
      <c r="BG292" s="60">
        <f t="shared" si="307"/>
        <v>61.511348684008858</v>
      </c>
      <c r="BH292" s="58" t="str">
        <f t="shared" si="308"/>
        <v>0.0398009140285917+0.280767224398618i</v>
      </c>
      <c r="BI292" s="37">
        <f t="shared" si="309"/>
        <v>-10.946664600759032</v>
      </c>
      <c r="BJ292" s="60">
        <f t="shared" si="310"/>
        <v>81.931641079982612</v>
      </c>
      <c r="BK292">
        <f t="shared" si="311"/>
        <v>-14.602030163305049</v>
      </c>
      <c r="BL292" s="60">
        <f t="shared" si="312"/>
        <v>61.511348684008858</v>
      </c>
      <c r="BN292">
        <f t="shared" si="313"/>
        <v>0</v>
      </c>
      <c r="BO292">
        <f t="shared" si="314"/>
        <v>0</v>
      </c>
    </row>
    <row r="293" spans="13:67" ht="14.25" x14ac:dyDescent="0.2">
      <c r="M293" s="66">
        <v>75</v>
      </c>
      <c r="N293" s="36">
        <f t="shared" si="315"/>
        <v>5623.4132519034993</v>
      </c>
      <c r="O293" s="91" t="str">
        <f t="shared" si="263"/>
        <v>99.7340425531915</v>
      </c>
      <c r="P293" s="67" t="str">
        <f t="shared" si="264"/>
        <v>1+1026.15900777794i</v>
      </c>
      <c r="Q293" s="67">
        <f t="shared" si="275"/>
        <v>1026.1594950317451</v>
      </c>
      <c r="R293" s="67">
        <f t="shared" si="276"/>
        <v>1.5698218192615949</v>
      </c>
      <c r="S293" s="67" t="str">
        <f t="shared" si="265"/>
        <v>1+1.92917893462252i</v>
      </c>
      <c r="T293" s="67">
        <f t="shared" si="277"/>
        <v>2.1729545236362591</v>
      </c>
      <c r="U293" s="67">
        <f t="shared" si="278"/>
        <v>1.0925725890729898</v>
      </c>
      <c r="V293" t="str">
        <f t="shared" si="266"/>
        <v>1-0.199277824015953i</v>
      </c>
      <c r="W293" s="67">
        <f t="shared" si="279"/>
        <v>1.0196625182601022</v>
      </c>
      <c r="X293" s="67">
        <f t="shared" si="280"/>
        <v>-0.19670106352521494</v>
      </c>
      <c r="Y293" t="str">
        <f t="shared" si="267"/>
        <v>0.99251531914753+0.308030824538207i</v>
      </c>
      <c r="Z293" s="67">
        <f t="shared" si="281"/>
        <v>1.0392158811374137</v>
      </c>
      <c r="AA293" s="67">
        <f t="shared" si="282"/>
        <v>0.30092834836712917</v>
      </c>
      <c r="AB293" s="92" t="str">
        <f t="shared" si="283"/>
        <v>0.116305576883069-0.171501562317918i</v>
      </c>
      <c r="AC293" s="37">
        <f t="shared" si="284"/>
        <v>-13.671402548539074</v>
      </c>
      <c r="AD293" s="60">
        <f t="shared" si="285"/>
        <v>-55.856431728683091</v>
      </c>
      <c r="AE293" t="str">
        <f t="shared" si="286"/>
        <v>118.329284003155</v>
      </c>
      <c r="AF293" t="str">
        <f t="shared" si="268"/>
        <v>1+820.92720622235i</v>
      </c>
      <c r="AG293">
        <f t="shared" si="287"/>
        <v>820.92781528952514</v>
      </c>
      <c r="AH293">
        <f t="shared" si="288"/>
        <v>1.5695781925951731</v>
      </c>
      <c r="AI293" t="str">
        <f t="shared" si="269"/>
        <v>1+1.92917893462252i</v>
      </c>
      <c r="AJ293">
        <f t="shared" si="289"/>
        <v>2.1729545236362591</v>
      </c>
      <c r="AK293">
        <f t="shared" si="290"/>
        <v>1.0925725890729898</v>
      </c>
      <c r="AL293" t="str">
        <f t="shared" si="270"/>
        <v>1-0.13436529712582i</v>
      </c>
      <c r="AM293">
        <f t="shared" si="291"/>
        <v>1.0089866367161211</v>
      </c>
      <c r="AN293">
        <f t="shared" si="292"/>
        <v>-0.1335653331158401</v>
      </c>
      <c r="AO293" s="58" t="str">
        <f t="shared" si="293"/>
        <v>0.258926979292501-0.181189082101794i</v>
      </c>
      <c r="AP293">
        <f t="shared" si="294"/>
        <v>-10.005533652720624</v>
      </c>
      <c r="AQ293" s="60">
        <f t="shared" si="295"/>
        <v>-34.983137762708282</v>
      </c>
      <c r="AR293" t="str">
        <f t="shared" si="271"/>
        <v>-1.94444444444444</v>
      </c>
      <c r="AS293" t="str">
        <f t="shared" si="272"/>
        <v>1+1.9786450611513i</v>
      </c>
      <c r="AT293">
        <f t="shared" si="296"/>
        <v>2.2169881095798489</v>
      </c>
      <c r="AU293">
        <f t="shared" si="297"/>
        <v>1.1028409596785234</v>
      </c>
      <c r="AV293" t="str">
        <f t="shared" si="273"/>
        <v>1+1.9786450611513i</v>
      </c>
      <c r="AW293">
        <f t="shared" si="298"/>
        <v>2.2169881095798489</v>
      </c>
      <c r="AX293">
        <f t="shared" si="299"/>
        <v>1.1028409596785234</v>
      </c>
      <c r="AY293" t="str">
        <f t="shared" si="274"/>
        <v>1-0.00107531139174101i</v>
      </c>
      <c r="AZ293">
        <f t="shared" si="300"/>
        <v>1.0000005781471275</v>
      </c>
      <c r="BA293">
        <f t="shared" si="301"/>
        <v>-1.075310977282383E-3</v>
      </c>
      <c r="BB293" s="58" t="str">
        <f t="shared" si="302"/>
        <v>-0.394769686092217+0.783199972940333i</v>
      </c>
      <c r="BC293">
        <f t="shared" si="303"/>
        <v>-1.1393514705353698</v>
      </c>
      <c r="BD293" s="60">
        <f t="shared" si="304"/>
        <v>116.75025675560082</v>
      </c>
      <c r="BE293" s="58" t="str">
        <f t="shared" si="305"/>
        <v>0.0884061028897148+0.158794142588199i</v>
      </c>
      <c r="BF293" s="37">
        <f t="shared" si="306"/>
        <v>-14.810754019074434</v>
      </c>
      <c r="BG293" s="60">
        <f t="shared" si="307"/>
        <v>60.893825026917796</v>
      </c>
      <c r="BH293" s="58" t="str">
        <f t="shared" si="308"/>
        <v>0.0396907618631022+0.274319560240071i</v>
      </c>
      <c r="BI293" s="37">
        <f t="shared" si="309"/>
        <v>-11.144885123256</v>
      </c>
      <c r="BJ293" s="60">
        <f t="shared" si="310"/>
        <v>81.767118992892563</v>
      </c>
      <c r="BK293">
        <f t="shared" si="311"/>
        <v>-14.810754019074434</v>
      </c>
      <c r="BL293" s="60">
        <f t="shared" si="312"/>
        <v>60.893825026917796</v>
      </c>
      <c r="BN293">
        <f t="shared" si="313"/>
        <v>0</v>
      </c>
      <c r="BO293">
        <f t="shared" si="314"/>
        <v>0</v>
      </c>
    </row>
    <row r="294" spans="13:67" ht="14.25" x14ac:dyDescent="0.2">
      <c r="M294" s="66">
        <v>76</v>
      </c>
      <c r="N294" s="36">
        <f t="shared" si="315"/>
        <v>5754.399373371567</v>
      </c>
      <c r="O294" s="91" t="str">
        <f t="shared" si="263"/>
        <v>99.7340425531915</v>
      </c>
      <c r="P294" s="67" t="str">
        <f t="shared" si="264"/>
        <v>1+1050.06132162493i</v>
      </c>
      <c r="Q294" s="67">
        <f t="shared" si="275"/>
        <v>1050.0617977874897</v>
      </c>
      <c r="R294" s="67">
        <f t="shared" si="276"/>
        <v>1.5698440017476842</v>
      </c>
      <c r="S294" s="67" t="str">
        <f t="shared" si="265"/>
        <v>1+1.97411528465488i</v>
      </c>
      <c r="T294" s="67">
        <f t="shared" si="277"/>
        <v>2.2129462616855426</v>
      </c>
      <c r="U294" s="67">
        <f t="shared" si="278"/>
        <v>1.1019176601706995</v>
      </c>
      <c r="V294" t="str">
        <f t="shared" si="266"/>
        <v>1-0.203919600832482i</v>
      </c>
      <c r="W294" s="67">
        <f t="shared" si="279"/>
        <v>1.0205798369572459</v>
      </c>
      <c r="X294" s="67">
        <f t="shared" si="280"/>
        <v>-0.20116155029839197</v>
      </c>
      <c r="Y294" t="str">
        <f t="shared" si="267"/>
        <v>0.992162577006329+0.315205784156409i</v>
      </c>
      <c r="Z294" s="67">
        <f t="shared" si="281"/>
        <v>1.0410289456002155</v>
      </c>
      <c r="AA294" s="67">
        <f t="shared" si="282"/>
        <v>0.30761129066313408</v>
      </c>
      <c r="AB294" s="92" t="str">
        <f t="shared" si="283"/>
        <v>0.115341637728897-0.170748523515335i</v>
      </c>
      <c r="AC294" s="37">
        <f t="shared" si="284"/>
        <v>-13.720327786088259</v>
      </c>
      <c r="AD294" s="60">
        <f t="shared" si="285"/>
        <v>-55.960741013334093</v>
      </c>
      <c r="AE294" t="str">
        <f t="shared" si="286"/>
        <v>118.329284003155</v>
      </c>
      <c r="AF294" t="str">
        <f t="shared" si="268"/>
        <v>1+840.049057299947i</v>
      </c>
      <c r="AG294">
        <f t="shared" si="287"/>
        <v>840.04965250307055</v>
      </c>
      <c r="AH294">
        <f t="shared" si="288"/>
        <v>1.5696059206883073</v>
      </c>
      <c r="AI294" t="str">
        <f t="shared" si="269"/>
        <v>1+1.97411528465488i</v>
      </c>
      <c r="AJ294">
        <f t="shared" si="289"/>
        <v>2.2129462616855426</v>
      </c>
      <c r="AK294">
        <f t="shared" si="290"/>
        <v>1.1019176601706995</v>
      </c>
      <c r="AL294" t="str">
        <f t="shared" si="270"/>
        <v>1-0.137495066954573i</v>
      </c>
      <c r="AM294">
        <f t="shared" si="291"/>
        <v>1.0094081897016898</v>
      </c>
      <c r="AN294">
        <f t="shared" si="292"/>
        <v>-0.13663832097724721</v>
      </c>
      <c r="AO294" s="58" t="str">
        <f t="shared" si="293"/>
        <v>0.258919094050554-0.178785527928171i</v>
      </c>
      <c r="AP294">
        <f t="shared" si="294"/>
        <v>-10.04350056044948</v>
      </c>
      <c r="AQ294" s="60">
        <f t="shared" si="295"/>
        <v>-34.625362567223931</v>
      </c>
      <c r="AR294" t="str">
        <f t="shared" si="271"/>
        <v>-1.94444444444444</v>
      </c>
      <c r="AS294" t="str">
        <f t="shared" si="272"/>
        <v>1+2.02473362528704i</v>
      </c>
      <c r="AT294">
        <f t="shared" si="296"/>
        <v>2.2582174946997462</v>
      </c>
      <c r="AU294">
        <f t="shared" si="297"/>
        <v>1.1120469429436524</v>
      </c>
      <c r="AV294" t="str">
        <f t="shared" si="273"/>
        <v>1+2.02473362528704i</v>
      </c>
      <c r="AW294">
        <f t="shared" si="298"/>
        <v>2.2582174946997462</v>
      </c>
      <c r="AX294">
        <f t="shared" si="299"/>
        <v>1.1120469429436524</v>
      </c>
      <c r="AY294" t="str">
        <f t="shared" si="274"/>
        <v>1-0.00105083431612711i</v>
      </c>
      <c r="AZ294">
        <f t="shared" si="300"/>
        <v>1.0000005521262276</v>
      </c>
      <c r="BA294">
        <f t="shared" si="301"/>
        <v>-1.0508339293318018E-3</v>
      </c>
      <c r="BB294" s="58" t="str">
        <f t="shared" si="302"/>
        <v>-0.380486269209485+0.772426632176486i</v>
      </c>
      <c r="BC294">
        <f t="shared" si="303"/>
        <v>-1.2993997716570282</v>
      </c>
      <c r="BD294" s="60">
        <f t="shared" si="304"/>
        <v>116.22419519978338</v>
      </c>
      <c r="BE294" s="58" t="str">
        <f t="shared" si="305"/>
        <v>0.0880047975440778+0.15406042146603i</v>
      </c>
      <c r="BF294" s="37">
        <f t="shared" si="306"/>
        <v>-15.019727557745288</v>
      </c>
      <c r="BG294" s="60">
        <f t="shared" si="307"/>
        <v>60.26345418644928</v>
      </c>
      <c r="BH294" s="58" t="str">
        <f t="shared" si="308"/>
        <v>0.0395835430970572+0.268021442333694i</v>
      </c>
      <c r="BI294" s="37">
        <f t="shared" si="309"/>
        <v>-11.342900332106517</v>
      </c>
      <c r="BJ294" s="60">
        <f t="shared" si="310"/>
        <v>81.59883263255945</v>
      </c>
      <c r="BK294">
        <f t="shared" si="311"/>
        <v>-15.019727557745288</v>
      </c>
      <c r="BL294" s="60">
        <f t="shared" si="312"/>
        <v>60.26345418644928</v>
      </c>
      <c r="BN294">
        <f t="shared" si="313"/>
        <v>0</v>
      </c>
      <c r="BO294">
        <f t="shared" si="314"/>
        <v>0</v>
      </c>
    </row>
    <row r="295" spans="13:67" ht="14.25" x14ac:dyDescent="0.2">
      <c r="M295" s="66">
        <v>77</v>
      </c>
      <c r="N295" s="36">
        <f t="shared" si="315"/>
        <v>5888.4365535558973</v>
      </c>
      <c r="O295" s="91" t="str">
        <f t="shared" si="263"/>
        <v>99.7340425531915</v>
      </c>
      <c r="P295" s="67" t="str">
        <f t="shared" si="264"/>
        <v>1+1074.52039188386i</v>
      </c>
      <c r="Q295" s="67">
        <f t="shared" si="275"/>
        <v>1074.5208572076413</v>
      </c>
      <c r="R295" s="67">
        <f t="shared" si="276"/>
        <v>1.5698656792996497</v>
      </c>
      <c r="S295" s="67" t="str">
        <f t="shared" si="265"/>
        <v>1+2.02009833674166i</v>
      </c>
      <c r="T295" s="67">
        <f t="shared" si="277"/>
        <v>2.2540623971191263</v>
      </c>
      <c r="U295" s="67">
        <f t="shared" si="278"/>
        <v>1.1111363062785489</v>
      </c>
      <c r="V295" t="str">
        <f t="shared" si="266"/>
        <v>1-0.208669498520568i</v>
      </c>
      <c r="W295" s="67">
        <f t="shared" si="279"/>
        <v>1.021539504675578</v>
      </c>
      <c r="X295" s="67">
        <f t="shared" si="280"/>
        <v>-0.2057175491652618</v>
      </c>
      <c r="Y295" t="str">
        <f t="shared" si="267"/>
        <v>0.991793210640177+0.322547870053614i</v>
      </c>
      <c r="Z295" s="67">
        <f t="shared" si="281"/>
        <v>1.0429242068089482</v>
      </c>
      <c r="AA295" s="67">
        <f t="shared" si="282"/>
        <v>0.31442802567698691</v>
      </c>
      <c r="AB295" s="92" t="str">
        <f t="shared" si="283"/>
        <v>0.114339767091426-0.170061919664803i</v>
      </c>
      <c r="AC295" s="37">
        <f t="shared" si="284"/>
        <v>-13.768061491911439</v>
      </c>
      <c r="AD295" s="60">
        <f t="shared" si="285"/>
        <v>-56.08540318365845</v>
      </c>
      <c r="AE295" t="str">
        <f t="shared" si="286"/>
        <v>118.329284003155</v>
      </c>
      <c r="AF295" t="str">
        <f t="shared" si="268"/>
        <v>1+859.616313507091i</v>
      </c>
      <c r="AG295">
        <f t="shared" si="287"/>
        <v>859.61689516174681</v>
      </c>
      <c r="AH295">
        <f t="shared" si="288"/>
        <v>1.5696330176147533</v>
      </c>
      <c r="AI295" t="str">
        <f t="shared" si="269"/>
        <v>1+2.02009833674166i</v>
      </c>
      <c r="AJ295">
        <f t="shared" si="289"/>
        <v>2.2540623971191263</v>
      </c>
      <c r="AK295">
        <f t="shared" si="290"/>
        <v>1.1111363062785489</v>
      </c>
      <c r="AL295" t="str">
        <f t="shared" si="270"/>
        <v>1-0.140697738487788i</v>
      </c>
      <c r="AM295">
        <f t="shared" si="291"/>
        <v>1.0098494212582281</v>
      </c>
      <c r="AN295">
        <f t="shared" si="292"/>
        <v>-0.13978020152331516</v>
      </c>
      <c r="AO295" s="58" t="str">
        <f t="shared" si="293"/>
        <v>0.258911563701971-0.176476767362802i</v>
      </c>
      <c r="AP295">
        <f t="shared" si="294"/>
        <v>-10.079803020577636</v>
      </c>
      <c r="AQ295" s="60">
        <f t="shared" si="295"/>
        <v>-34.278742086966602</v>
      </c>
      <c r="AR295" t="str">
        <f t="shared" si="271"/>
        <v>-1.94444444444444</v>
      </c>
      <c r="AS295" t="str">
        <f t="shared" si="272"/>
        <v>1+2.07189572999144i</v>
      </c>
      <c r="AT295">
        <f t="shared" si="296"/>
        <v>2.3005981648164378</v>
      </c>
      <c r="AU295">
        <f t="shared" si="297"/>
        <v>1.1211249937003145</v>
      </c>
      <c r="AV295" t="str">
        <f t="shared" si="273"/>
        <v>1+2.07189572999144i</v>
      </c>
      <c r="AW295">
        <f t="shared" si="298"/>
        <v>2.3005981648164378</v>
      </c>
      <c r="AX295">
        <f t="shared" si="299"/>
        <v>1.1211249937003145</v>
      </c>
      <c r="AY295" t="str">
        <f t="shared" si="274"/>
        <v>1-0.00102691440677706i</v>
      </c>
      <c r="AZ295">
        <f t="shared" si="300"/>
        <v>1.0000005272764603</v>
      </c>
      <c r="BA295">
        <f t="shared" si="301"/>
        <v>-1.0269140457986642E-3</v>
      </c>
      <c r="BB295" s="58" t="str">
        <f t="shared" si="302"/>
        <v>-0.366597066972947+0.761547675701813i</v>
      </c>
      <c r="BC295">
        <f t="shared" si="303"/>
        <v>-1.4609000155853991</v>
      </c>
      <c r="BD295" s="60">
        <f t="shared" si="304"/>
        <v>115.70543171359398</v>
      </c>
      <c r="BE295" s="58" t="str">
        <f t="shared" si="305"/>
        <v>0.0875936363920325+0.149419384821668i</v>
      </c>
      <c r="BF295" s="37">
        <f t="shared" si="306"/>
        <v>-15.228961507496832</v>
      </c>
      <c r="BG295" s="60">
        <f t="shared" si="307"/>
        <v>59.620028529935574</v>
      </c>
      <c r="BH295" s="58" t="str">
        <f t="shared" si="308"/>
        <v>0.0394792521419895+0.261869364853628i</v>
      </c>
      <c r="BI295" s="37">
        <f t="shared" si="309"/>
        <v>-11.540703036163043</v>
      </c>
      <c r="BJ295" s="60">
        <f t="shared" si="310"/>
        <v>81.426689626627393</v>
      </c>
      <c r="BK295">
        <f t="shared" si="311"/>
        <v>-15.228961507496832</v>
      </c>
      <c r="BL295" s="60">
        <f t="shared" si="312"/>
        <v>59.620028529935574</v>
      </c>
      <c r="BN295">
        <f t="shared" si="313"/>
        <v>0</v>
      </c>
      <c r="BO295">
        <f t="shared" si="314"/>
        <v>0</v>
      </c>
    </row>
    <row r="296" spans="13:67" ht="14.25" x14ac:dyDescent="0.2">
      <c r="M296" s="66">
        <v>78</v>
      </c>
      <c r="N296" s="36">
        <f t="shared" si="315"/>
        <v>6025.595860743585</v>
      </c>
      <c r="O296" s="91" t="str">
        <f t="shared" si="263"/>
        <v>99.7340425531915</v>
      </c>
      <c r="P296" s="67" t="str">
        <f t="shared" si="264"/>
        <v>1+1099.54918707753i</v>
      </c>
      <c r="Q296" s="67">
        <f t="shared" si="275"/>
        <v>1099.5496418092532</v>
      </c>
      <c r="R296" s="67">
        <f t="shared" si="276"/>
        <v>1.5698868634111347</v>
      </c>
      <c r="S296" s="67" t="str">
        <f t="shared" si="265"/>
        <v>1+2.06715247170575i</v>
      </c>
      <c r="T296" s="67">
        <f t="shared" si="277"/>
        <v>2.2963273593456122</v>
      </c>
      <c r="U296" s="67">
        <f t="shared" si="278"/>
        <v>1.1202271468506313</v>
      </c>
      <c r="V296" t="str">
        <f t="shared" si="266"/>
        <v>1-0.213530035538836i</v>
      </c>
      <c r="W296" s="67">
        <f t="shared" si="279"/>
        <v>1.0225434348120459</v>
      </c>
      <c r="X296" s="67">
        <f t="shared" si="280"/>
        <v>-0.21037071886514108</v>
      </c>
      <c r="Y296" t="str">
        <f t="shared" si="267"/>
        <v>0.991406436573489+0.330060975100947i</v>
      </c>
      <c r="Z296" s="67">
        <f t="shared" si="281"/>
        <v>1.0449052443948836</v>
      </c>
      <c r="AA296" s="67">
        <f t="shared" si="282"/>
        <v>0.32138027369728667</v>
      </c>
      <c r="AB296" s="92" t="str">
        <f t="shared" si="283"/>
        <v>0.113298761367229-0.169439941191721i</v>
      </c>
      <c r="AC296" s="37">
        <f t="shared" si="284"/>
        <v>-13.814655252471777</v>
      </c>
      <c r="AD296" s="60">
        <f t="shared" si="285"/>
        <v>-56.230691601685209</v>
      </c>
      <c r="AE296" t="str">
        <f t="shared" si="286"/>
        <v>118.329284003155</v>
      </c>
      <c r="AF296" t="str">
        <f t="shared" si="268"/>
        <v>1+879.639349662022i</v>
      </c>
      <c r="AG296">
        <f t="shared" si="287"/>
        <v>879.63991807660989</v>
      </c>
      <c r="AH296">
        <f t="shared" si="288"/>
        <v>1.5696594977415002</v>
      </c>
      <c r="AI296" t="str">
        <f t="shared" si="269"/>
        <v>1+2.06715247170575i</v>
      </c>
      <c r="AJ296">
        <f t="shared" si="289"/>
        <v>2.2963273593456122</v>
      </c>
      <c r="AK296">
        <f t="shared" si="290"/>
        <v>1.1202271468506313</v>
      </c>
      <c r="AL296" t="str">
        <f t="shared" si="270"/>
        <v>1-0.143975009824303i</v>
      </c>
      <c r="AM296">
        <f t="shared" si="291"/>
        <v>1.0103112408826838</v>
      </c>
      <c r="AN296">
        <f t="shared" si="292"/>
        <v>-0.14299239237199565</v>
      </c>
      <c r="AO296" s="58" t="str">
        <f t="shared" si="293"/>
        <v>0.258904372274009-0.174261576326685i</v>
      </c>
      <c r="AP296">
        <f t="shared" si="294"/>
        <v>-10.114474150508901</v>
      </c>
      <c r="AQ296" s="60">
        <f t="shared" si="295"/>
        <v>-33.943437468083467</v>
      </c>
      <c r="AR296" t="str">
        <f t="shared" si="271"/>
        <v>-1.94444444444444</v>
      </c>
      <c r="AS296" t="str">
        <f t="shared" si="272"/>
        <v>1+2.12015638123666i</v>
      </c>
      <c r="AT296">
        <f t="shared" si="296"/>
        <v>2.344155088917653</v>
      </c>
      <c r="AU296">
        <f t="shared" si="297"/>
        <v>1.1300739392297388</v>
      </c>
      <c r="AV296" t="str">
        <f t="shared" si="273"/>
        <v>1+2.12015638123666i</v>
      </c>
      <c r="AW296">
        <f t="shared" si="298"/>
        <v>2.344155088917653</v>
      </c>
      <c r="AX296">
        <f t="shared" si="299"/>
        <v>1.1300739392297388</v>
      </c>
      <c r="AY296" t="str">
        <f t="shared" si="274"/>
        <v>1-0.0010035389810383i</v>
      </c>
      <c r="AZ296">
        <f t="shared" si="300"/>
        <v>1.0000005035451165</v>
      </c>
      <c r="BA296">
        <f t="shared" si="301"/>
        <v>-1.0035386441536501E-3</v>
      </c>
      <c r="BB296" s="58" t="str">
        <f t="shared" si="302"/>
        <v>-0.353100100952422+0.750578758046049i</v>
      </c>
      <c r="BC296">
        <f t="shared" si="303"/>
        <v>-1.623811664295127</v>
      </c>
      <c r="BD296" s="60">
        <f t="shared" si="304"/>
        <v>115.19403421552424</v>
      </c>
      <c r="BE296" s="58" t="str">
        <f t="shared" si="305"/>
        <v>0.0871722165465246+0.14486890393534i</v>
      </c>
      <c r="BF296" s="37">
        <f t="shared" si="306"/>
        <v>-15.438466916766886</v>
      </c>
      <c r="BG296" s="60">
        <f t="shared" si="307"/>
        <v>58.96334261383911</v>
      </c>
      <c r="BH296" s="58" t="str">
        <f t="shared" si="308"/>
        <v>0.039377877547454+0.255859902387198i</v>
      </c>
      <c r="BI296" s="37">
        <f t="shared" si="309"/>
        <v>-11.738285814804037</v>
      </c>
      <c r="BJ296" s="60">
        <f t="shared" si="310"/>
        <v>81.250596747440753</v>
      </c>
      <c r="BK296">
        <f t="shared" si="311"/>
        <v>-15.438466916766886</v>
      </c>
      <c r="BL296" s="60">
        <f t="shared" si="312"/>
        <v>58.96334261383911</v>
      </c>
      <c r="BN296">
        <f t="shared" si="313"/>
        <v>0</v>
      </c>
      <c r="BO296">
        <f t="shared" si="314"/>
        <v>0</v>
      </c>
    </row>
    <row r="297" spans="13:67" ht="14.25" x14ac:dyDescent="0.2">
      <c r="M297" s="66">
        <v>79</v>
      </c>
      <c r="N297" s="36">
        <f t="shared" si="315"/>
        <v>6165.9500186148289</v>
      </c>
      <c r="O297" s="91" t="str">
        <f t="shared" si="263"/>
        <v>99.7340425531915</v>
      </c>
      <c r="P297" s="67" t="str">
        <f t="shared" si="264"/>
        <v>1+1125.16097780444i</v>
      </c>
      <c r="Q297" s="67">
        <f t="shared" si="275"/>
        <v>1125.1614221852096</v>
      </c>
      <c r="R297" s="67">
        <f t="shared" si="276"/>
        <v>1.5699075653141596</v>
      </c>
      <c r="S297" s="67" t="str">
        <f t="shared" si="265"/>
        <v>1+2.11530263827234i</v>
      </c>
      <c r="T297" s="67">
        <f t="shared" si="277"/>
        <v>2.3397660676832466</v>
      </c>
      <c r="U297" s="67">
        <f t="shared" si="278"/>
        <v>1.1291889906202075</v>
      </c>
      <c r="V297" t="str">
        <f t="shared" si="266"/>
        <v>1-0.218503789008351i</v>
      </c>
      <c r="W297" s="67">
        <f t="shared" si="279"/>
        <v>1.0235936233735565</v>
      </c>
      <c r="X297" s="67">
        <f t="shared" si="280"/>
        <v>-0.21512272019147091</v>
      </c>
      <c r="Y297" t="str">
        <f t="shared" si="267"/>
        <v>0.991001434406614+0.337749082846152i</v>
      </c>
      <c r="Z297" s="67">
        <f t="shared" si="281"/>
        <v>1.0469757809803355</v>
      </c>
      <c r="AA297" s="67">
        <f t="shared" si="282"/>
        <v>0.32846971368118744</v>
      </c>
      <c r="AB297" s="92" t="str">
        <f t="shared" si="283"/>
        <v>0.112217408065889-0.168880738748692i</v>
      </c>
      <c r="AC297" s="37">
        <f t="shared" si="284"/>
        <v>-13.860160719728912</v>
      </c>
      <c r="AD297" s="60">
        <f t="shared" si="285"/>
        <v>-56.396866519132352</v>
      </c>
      <c r="AE297" t="str">
        <f t="shared" si="286"/>
        <v>118.329284003155</v>
      </c>
      <c r="AF297" t="str">
        <f t="shared" si="268"/>
        <v>1+900.128782243548i</v>
      </c>
      <c r="AG297">
        <f t="shared" si="287"/>
        <v>900.12933771944836</v>
      </c>
      <c r="AH297">
        <f t="shared" si="288"/>
        <v>1.5696853751085136</v>
      </c>
      <c r="AI297" t="str">
        <f t="shared" si="269"/>
        <v>1+2.11530263827234i</v>
      </c>
      <c r="AJ297">
        <f t="shared" si="289"/>
        <v>2.3397660676832466</v>
      </c>
      <c r="AK297">
        <f t="shared" si="290"/>
        <v>1.1291889906202075</v>
      </c>
      <c r="AL297" t="str">
        <f t="shared" si="270"/>
        <v>1-0.147328618616762i</v>
      </c>
      <c r="AM297">
        <f t="shared" si="291"/>
        <v>1.010794599245328</v>
      </c>
      <c r="AN297">
        <f t="shared" si="292"/>
        <v>-0.1462763313793066</v>
      </c>
      <c r="AO297" s="58" t="str">
        <f t="shared" si="293"/>
        <v>0.258897504512804-0.172138780348858i</v>
      </c>
      <c r="AP297">
        <f t="shared" si="294"/>
        <v>-10.147546580027576</v>
      </c>
      <c r="AQ297" s="60">
        <f t="shared" si="295"/>
        <v>-33.619600152643358</v>
      </c>
      <c r="AR297" t="str">
        <f t="shared" si="271"/>
        <v>-1.94444444444444</v>
      </c>
      <c r="AS297" t="str">
        <f t="shared" si="272"/>
        <v>1+2.1695411674588i</v>
      </c>
      <c r="AT297">
        <f t="shared" si="296"/>
        <v>2.3889137442148245</v>
      </c>
      <c r="AU297">
        <f t="shared" si="297"/>
        <v>1.1388927900722563</v>
      </c>
      <c r="AV297" t="str">
        <f t="shared" si="273"/>
        <v>1+2.1695411674588i</v>
      </c>
      <c r="AW297">
        <f t="shared" si="298"/>
        <v>2.3889137442148245</v>
      </c>
      <c r="AX297">
        <f t="shared" si="299"/>
        <v>1.1388927900722563</v>
      </c>
      <c r="AY297" t="str">
        <f t="shared" si="274"/>
        <v>1-0.00098069564495069i</v>
      </c>
      <c r="AZ297">
        <f t="shared" si="300"/>
        <v>1.0000004808818583</v>
      </c>
      <c r="BA297">
        <f t="shared" si="301"/>
        <v>-9.8069533055163312E-4</v>
      </c>
      <c r="BB297" s="58" t="str">
        <f t="shared" si="302"/>
        <v>-0.339992694876125+0.739535056367527i</v>
      </c>
      <c r="BC297">
        <f t="shared" si="303"/>
        <v>-1.7880944200471893</v>
      </c>
      <c r="BD297" s="60">
        <f t="shared" si="304"/>
        <v>114.69006010755206</v>
      </c>
      <c r="BE297" s="58" t="str">
        <f t="shared" si="305"/>
        <v>0.0867401276695681+0.140406924679264i</v>
      </c>
      <c r="BF297" s="37">
        <f t="shared" si="306"/>
        <v>-15.648255139776087</v>
      </c>
      <c r="BG297" s="60">
        <f t="shared" si="307"/>
        <v>58.293193588419797</v>
      </c>
      <c r="BH297" s="58" t="str">
        <f t="shared" si="308"/>
        <v>0.0392794023723181+0.249989708416786i</v>
      </c>
      <c r="BI297" s="37">
        <f t="shared" si="309"/>
        <v>-11.935641000074773</v>
      </c>
      <c r="BJ297" s="60">
        <f t="shared" si="310"/>
        <v>81.070459954908699</v>
      </c>
      <c r="BK297">
        <f t="shared" si="311"/>
        <v>-15.648255139776087</v>
      </c>
      <c r="BL297" s="60">
        <f t="shared" si="312"/>
        <v>58.293193588419797</v>
      </c>
      <c r="BN297">
        <f t="shared" si="313"/>
        <v>0</v>
      </c>
      <c r="BO297">
        <f t="shared" si="314"/>
        <v>0</v>
      </c>
    </row>
    <row r="298" spans="13:67" ht="14.25" x14ac:dyDescent="0.2">
      <c r="M298" s="66">
        <v>80</v>
      </c>
      <c r="N298" s="36">
        <f t="shared" si="315"/>
        <v>6309.5734448019384</v>
      </c>
      <c r="O298" s="91" t="str">
        <f t="shared" si="263"/>
        <v>99.7340425531915</v>
      </c>
      <c r="P298" s="67" t="str">
        <f t="shared" si="264"/>
        <v>1+1151.36934377504i</v>
      </c>
      <c r="Q298" s="67">
        <f t="shared" si="275"/>
        <v>1151.3697780404723</v>
      </c>
      <c r="R298" s="67">
        <f t="shared" si="276"/>
        <v>1.5699277959850761</v>
      </c>
      <c r="S298" s="67" t="str">
        <f t="shared" si="265"/>
        <v>1+2.16457436629707i</v>
      </c>
      <c r="T298" s="67">
        <f t="shared" si="277"/>
        <v>2.3844039479984009</v>
      </c>
      <c r="U298" s="67">
        <f t="shared" si="278"/>
        <v>1.1380208301425003</v>
      </c>
      <c r="V298" t="str">
        <f t="shared" si="266"/>
        <v>1-0.223593396079038i</v>
      </c>
      <c r="W298" s="67">
        <f t="shared" si="279"/>
        <v>1.0246921521950667</v>
      </c>
      <c r="X298" s="67">
        <f t="shared" si="280"/>
        <v>-0.2199752138628987</v>
      </c>
      <c r="Y298" t="str">
        <f t="shared" si="267"/>
        <v>0.990577345075657+0.345616269625719i</v>
      </c>
      <c r="Z298" s="67">
        <f t="shared" si="281"/>
        <v>1.0491396867944398</v>
      </c>
      <c r="AA298" s="67">
        <f t="shared" si="282"/>
        <v>0.33569797839464144</v>
      </c>
      <c r="AB298" s="92" t="str">
        <f t="shared" si="283"/>
        <v>0.111094488516149-0.168382419823311i</v>
      </c>
      <c r="AC298" s="37">
        <f t="shared" si="284"/>
        <v>-13.904629525476203</v>
      </c>
      <c r="AD298" s="60">
        <f t="shared" si="285"/>
        <v>-56.584174989999212</v>
      </c>
      <c r="AE298" t="str">
        <f t="shared" si="286"/>
        <v>118.329284003155</v>
      </c>
      <c r="AF298" t="str">
        <f t="shared" si="268"/>
        <v>1+921.095475020031i</v>
      </c>
      <c r="AG298">
        <f t="shared" si="287"/>
        <v>921.09601785176369</v>
      </c>
      <c r="AH298">
        <f t="shared" si="288"/>
        <v>1.569710663436177</v>
      </c>
      <c r="AI298" t="str">
        <f t="shared" si="269"/>
        <v>1+2.16457436629707i</v>
      </c>
      <c r="AJ298">
        <f t="shared" si="289"/>
        <v>2.3844039479984009</v>
      </c>
      <c r="AK298">
        <f t="shared" si="290"/>
        <v>1.1380208301425003</v>
      </c>
      <c r="AL298" t="str">
        <f t="shared" si="270"/>
        <v>1-0.150760342992936i</v>
      </c>
      <c r="AM298">
        <f t="shared" si="291"/>
        <v>1.0113004899728604</v>
      </c>
      <c r="AN298">
        <f t="shared" si="292"/>
        <v>-0.14963347626700393</v>
      </c>
      <c r="AO298" s="58" t="str">
        <f t="shared" si="293"/>
        <v>0.258890945851025-0.170107253943924i</v>
      </c>
      <c r="AP298">
        <f t="shared" si="294"/>
        <v>-10.179052363533076</v>
      </c>
      <c r="AQ298" s="60">
        <f t="shared" si="295"/>
        <v>-33.307372170403937</v>
      </c>
      <c r="AR298" t="str">
        <f t="shared" si="271"/>
        <v>-1.94444444444444</v>
      </c>
      <c r="AS298" t="str">
        <f t="shared" si="272"/>
        <v>1+2.2200762731252i</v>
      </c>
      <c r="AT298">
        <f t="shared" si="296"/>
        <v>2.4349001331663436</v>
      </c>
      <c r="AU298">
        <f t="shared" si="297"/>
        <v>1.1475807341952429</v>
      </c>
      <c r="AV298" t="str">
        <f t="shared" si="273"/>
        <v>1+2.2200762731252i</v>
      </c>
      <c r="AW298">
        <f t="shared" si="298"/>
        <v>2.4349001331663436</v>
      </c>
      <c r="AX298">
        <f t="shared" si="299"/>
        <v>1.1475807341952429</v>
      </c>
      <c r="AY298" t="str">
        <f t="shared" si="274"/>
        <v>1-0.00095837228667508i</v>
      </c>
      <c r="AZ298">
        <f t="shared" si="300"/>
        <v>1.0000004592386145</v>
      </c>
      <c r="BA298">
        <f t="shared" si="301"/>
        <v>-9.5837199326080029E-4</v>
      </c>
      <c r="BB298" s="58" t="str">
        <f t="shared" si="302"/>
        <v>-0.327271522725247+0.72843124414041i</v>
      </c>
      <c r="BC298">
        <f t="shared" si="303"/>
        <v>-1.9537082948443203</v>
      </c>
      <c r="BD298" s="60">
        <f t="shared" si="304"/>
        <v>114.19355660967086</v>
      </c>
      <c r="BE298" s="58" t="str">
        <f t="shared" si="305"/>
        <v>0.0862969531402047+0.136031467422698i</v>
      </c>
      <c r="BF298" s="37">
        <f t="shared" si="306"/>
        <v>-15.858337820320511</v>
      </c>
      <c r="BG298" s="60">
        <f t="shared" si="307"/>
        <v>57.60938161967173</v>
      </c>
      <c r="BH298" s="58" t="str">
        <f t="shared" si="308"/>
        <v>0.0391838045592368+0.244255513807788i</v>
      </c>
      <c r="BI298" s="37">
        <f t="shared" si="309"/>
        <v>-12.132760658377395</v>
      </c>
      <c r="BJ298" s="60">
        <f t="shared" si="310"/>
        <v>80.886184439266941</v>
      </c>
      <c r="BK298">
        <f t="shared" si="311"/>
        <v>-15.858337820320511</v>
      </c>
      <c r="BL298" s="60">
        <f t="shared" si="312"/>
        <v>57.60938161967173</v>
      </c>
      <c r="BN298">
        <f t="shared" si="313"/>
        <v>0</v>
      </c>
      <c r="BO298">
        <f t="shared" si="314"/>
        <v>0</v>
      </c>
    </row>
    <row r="299" spans="13:67" ht="14.25" x14ac:dyDescent="0.2">
      <c r="M299" s="66">
        <v>81</v>
      </c>
      <c r="N299" s="36">
        <f t="shared" si="315"/>
        <v>6456.5422903465615</v>
      </c>
      <c r="O299" s="91" t="str">
        <f t="shared" si="263"/>
        <v>99.7340425531915</v>
      </c>
      <c r="P299" s="67" t="str">
        <f t="shared" si="264"/>
        <v>1+1178.18818101189i</v>
      </c>
      <c r="Q299" s="67">
        <f t="shared" si="275"/>
        <v>1178.1886053922376</v>
      </c>
      <c r="R299" s="67">
        <f t="shared" si="276"/>
        <v>1.5699475661503877</v>
      </c>
      <c r="S299" s="67" t="str">
        <f t="shared" si="265"/>
        <v>1+2.21499378030235i</v>
      </c>
      <c r="T299" s="67">
        <f t="shared" si="277"/>
        <v>2.4302669496946412</v>
      </c>
      <c r="U299" s="67">
        <f t="shared" si="278"/>
        <v>1.1467218359939748</v>
      </c>
      <c r="V299" t="str">
        <f t="shared" si="266"/>
        <v>1-0.228801555327935i</v>
      </c>
      <c r="W299" s="67">
        <f t="shared" si="279"/>
        <v>1.0258411922517452</v>
      </c>
      <c r="X299" s="67">
        <f t="shared" si="280"/>
        <v>-0.22492985823686151</v>
      </c>
      <c r="Y299" t="str">
        <f t="shared" si="267"/>
        <v>0.990133269030288+0.353666706726214i</v>
      </c>
      <c r="Z299" s="67">
        <f t="shared" si="281"/>
        <v>1.0514009843476324</v>
      </c>
      <c r="AA299" s="67">
        <f t="shared" si="282"/>
        <v>0.34306664934605585</v>
      </c>
      <c r="AB299" s="92" t="str">
        <f t="shared" si="283"/>
        <v>0.109928780845932-0.167943045400546i</v>
      </c>
      <c r="AC299" s="37">
        <f t="shared" si="284"/>
        <v>-13.948113198843256</v>
      </c>
      <c r="AD299" s="60">
        <f t="shared" si="285"/>
        <v>-56.792850781976803</v>
      </c>
      <c r="AE299" t="str">
        <f t="shared" si="286"/>
        <v>118.329284003155</v>
      </c>
      <c r="AF299" t="str">
        <f t="shared" si="268"/>
        <v>1+942.550544809512i</v>
      </c>
      <c r="AG299">
        <f t="shared" si="287"/>
        <v>942.55107528489282</v>
      </c>
      <c r="AH299">
        <f t="shared" si="288"/>
        <v>1.5697353761325672</v>
      </c>
      <c r="AI299" t="str">
        <f t="shared" si="269"/>
        <v>1+2.21499378030235i</v>
      </c>
      <c r="AJ299">
        <f t="shared" si="289"/>
        <v>2.4302669496946412</v>
      </c>
      <c r="AK299">
        <f t="shared" si="290"/>
        <v>1.1467218359939748</v>
      </c>
      <c r="AL299" t="str">
        <f t="shared" si="270"/>
        <v>1-0.154272002498515i</v>
      </c>
      <c r="AM299">
        <f t="shared" si="291"/>
        <v>1.0118299515011906</v>
      </c>
      <c r="AN299">
        <f t="shared" si="292"/>
        <v>-0.15306530418940956</v>
      </c>
      <c r="AO299" s="58" t="str">
        <f t="shared" si="293"/>
        <v>0.258884682376971-0.168165920015549i</v>
      </c>
      <c r="AP299">
        <f t="shared" si="294"/>
        <v>-10.20902289683551</v>
      </c>
      <c r="AQ299" s="60">
        <f t="shared" si="295"/>
        <v>-33.006886446768554</v>
      </c>
      <c r="AR299" t="str">
        <f t="shared" si="271"/>
        <v>-1.94444444444444</v>
      </c>
      <c r="AS299" t="str">
        <f t="shared" si="272"/>
        <v>1+2.27178849261779i</v>
      </c>
      <c r="AT299">
        <f t="shared" si="296"/>
        <v>2.4821408008391894</v>
      </c>
      <c r="AU299">
        <f t="shared" si="297"/>
        <v>1.1561371308745412</v>
      </c>
      <c r="AV299" t="str">
        <f t="shared" si="273"/>
        <v>1+2.27178849261779i</v>
      </c>
      <c r="AW299">
        <f t="shared" si="298"/>
        <v>2.4821408008391894</v>
      </c>
      <c r="AX299">
        <f t="shared" si="299"/>
        <v>1.1561371308745412</v>
      </c>
      <c r="AY299" t="str">
        <f t="shared" si="274"/>
        <v>1-0.000936557070071418i</v>
      </c>
      <c r="AZ299">
        <f t="shared" si="300"/>
        <v>1.0000004385694765</v>
      </c>
      <c r="BA299">
        <f t="shared" si="301"/>
        <v>-9.3655679624127274E-4</v>
      </c>
      <c r="BB299" s="58" t="str">
        <f t="shared" si="302"/>
        <v>-0.314932656917063+0.717281469125537i</v>
      </c>
      <c r="BC299">
        <f t="shared" si="303"/>
        <v>-2.1206136749215481</v>
      </c>
      <c r="BD299" s="60">
        <f t="shared" si="304"/>
        <v>113.70456111082574</v>
      </c>
      <c r="BE299" s="58" t="str">
        <f t="shared" si="305"/>
        <v>0.0858422713108575+0.131740626923086i</v>
      </c>
      <c r="BF299" s="37">
        <f t="shared" si="306"/>
        <v>-16.068726873764813</v>
      </c>
      <c r="BG299" s="60">
        <f t="shared" si="307"/>
        <v>56.911710328848891</v>
      </c>
      <c r="BH299" s="58" t="str">
        <f t="shared" si="308"/>
        <v>0.0390910573094911+0.238654125302851i</v>
      </c>
      <c r="BI299" s="37">
        <f t="shared" si="309"/>
        <v>-12.329636571757057</v>
      </c>
      <c r="BJ299" s="60">
        <f t="shared" si="310"/>
        <v>80.697674664057189</v>
      </c>
      <c r="BK299">
        <f t="shared" si="311"/>
        <v>-16.068726873764813</v>
      </c>
      <c r="BL299" s="60">
        <f t="shared" si="312"/>
        <v>56.911710328848891</v>
      </c>
      <c r="BN299">
        <f t="shared" si="313"/>
        <v>0</v>
      </c>
      <c r="BO299">
        <f t="shared" si="314"/>
        <v>0</v>
      </c>
    </row>
    <row r="300" spans="13:67" ht="14.25" x14ac:dyDescent="0.2">
      <c r="M300" s="66">
        <v>82</v>
      </c>
      <c r="N300" s="36">
        <f t="shared" si="315"/>
        <v>6606.9344800759654</v>
      </c>
      <c r="O300" s="91" t="str">
        <f t="shared" si="263"/>
        <v>99.7340425531915</v>
      </c>
      <c r="P300" s="67" t="str">
        <f t="shared" si="264"/>
        <v>1+1205.63170921747i</v>
      </c>
      <c r="Q300" s="67">
        <f t="shared" si="275"/>
        <v>1205.6321239377451</v>
      </c>
      <c r="R300" s="67">
        <f t="shared" si="276"/>
        <v>1.5699668862924356</v>
      </c>
      <c r="S300" s="67" t="str">
        <f t="shared" si="265"/>
        <v>1+2.26658761332885i</v>
      </c>
      <c r="T300" s="67">
        <f t="shared" si="277"/>
        <v>2.4773815630410612</v>
      </c>
      <c r="U300" s="67">
        <f t="shared" si="278"/>
        <v>1.1552913506800013</v>
      </c>
      <c r="V300" t="str">
        <f t="shared" si="266"/>
        <v>1-0.234131028190013i</v>
      </c>
      <c r="W300" s="67">
        <f t="shared" si="279"/>
        <v>1.0270430070650949</v>
      </c>
      <c r="X300" s="67">
        <f t="shared" si="280"/>
        <v>-0.22998830685917307</v>
      </c>
      <c r="Y300" t="str">
        <f t="shared" si="267"/>
        <v>0.989668264325676+0.361904662595947i</v>
      </c>
      <c r="Z300" s="67">
        <f t="shared" si="281"/>
        <v>1.0537638531578517</v>
      </c>
      <c r="AA300" s="67">
        <f t="shared" si="282"/>
        <v>0.35057725151732333</v>
      </c>
      <c r="AB300" s="92" t="str">
        <f t="shared" si="283"/>
        <v>0.10871906324659-0.167560626700113i</v>
      </c>
      <c r="AC300" s="37">
        <f t="shared" si="284"/>
        <v>-13.990663086880154</v>
      </c>
      <c r="AD300" s="60">
        <f t="shared" si="285"/>
        <v>-57.023114283548729</v>
      </c>
      <c r="AE300" t="str">
        <f t="shared" si="286"/>
        <v>118.329284003155</v>
      </c>
      <c r="AF300" t="str">
        <f t="shared" si="268"/>
        <v>1+964.505367373979i</v>
      </c>
      <c r="AG300">
        <f t="shared" si="287"/>
        <v>964.50588577427243</v>
      </c>
      <c r="AH300">
        <f t="shared" si="288"/>
        <v>1.5697595263005621</v>
      </c>
      <c r="AI300" t="str">
        <f t="shared" si="269"/>
        <v>1+2.26658761332885i</v>
      </c>
      <c r="AJ300">
        <f t="shared" si="289"/>
        <v>2.4773815630410612</v>
      </c>
      <c r="AK300">
        <f t="shared" si="290"/>
        <v>1.1552913506800013</v>
      </c>
      <c r="AL300" t="str">
        <f t="shared" si="270"/>
        <v>1-0.157865459061849i</v>
      </c>
      <c r="AM300">
        <f t="shared" si="291"/>
        <v>1.0123840689999068</v>
      </c>
      <c r="AN300">
        <f t="shared" si="292"/>
        <v>-0.15657331123514751</v>
      </c>
      <c r="AO300" s="58" t="str">
        <f t="shared" si="293"/>
        <v>0.258878700805068-0.166313749285577i</v>
      </c>
      <c r="AP300">
        <f t="shared" si="294"/>
        <v>-10.237488838547129</v>
      </c>
      <c r="AQ300" s="60">
        <f t="shared" si="295"/>
        <v>-32.718267123707427</v>
      </c>
      <c r="AR300" t="str">
        <f t="shared" si="271"/>
        <v>-1.94444444444444</v>
      </c>
      <c r="AS300" t="str">
        <f t="shared" si="272"/>
        <v>1+2.32470524443984i</v>
      </c>
      <c r="AT300">
        <f t="shared" si="296"/>
        <v>2.5306628525993142</v>
      </c>
      <c r="AU300">
        <f t="shared" si="297"/>
        <v>1.1645615043391648</v>
      </c>
      <c r="AV300" t="str">
        <f t="shared" si="273"/>
        <v>1+2.32470524443984i</v>
      </c>
      <c r="AW300">
        <f t="shared" si="298"/>
        <v>2.5306628525993142</v>
      </c>
      <c r="AX300">
        <f t="shared" si="299"/>
        <v>1.1645615043391648</v>
      </c>
      <c r="AY300" t="str">
        <f t="shared" si="274"/>
        <v>1-0.000915238428423111i</v>
      </c>
      <c r="AZ300">
        <f t="shared" si="300"/>
        <v>1.0000004188306026</v>
      </c>
      <c r="BA300">
        <f t="shared" si="301"/>
        <v>-9.1523817286994413E-4</v>
      </c>
      <c r="BB300" s="58" t="str">
        <f t="shared" si="302"/>
        <v>-0.302971616231997+0.706099335448427i</v>
      </c>
      <c r="BC300">
        <f t="shared" si="303"/>
        <v>-2.2887713802804113</v>
      </c>
      <c r="BD300" s="60">
        <f t="shared" si="304"/>
        <v>113.22310153340506</v>
      </c>
      <c r="BE300" s="58" t="str">
        <f t="shared" si="305"/>
        <v>0.0853756568532237+0.127532572197172i</v>
      </c>
      <c r="BF300" s="37">
        <f t="shared" si="306"/>
        <v>-16.279434467160577</v>
      </c>
      <c r="BG300" s="60">
        <f t="shared" si="307"/>
        <v>56.199987249856271</v>
      </c>
      <c r="BH300" s="58" t="str">
        <f t="shared" si="308"/>
        <v>0.0390011294555312+0.233182424022865i</v>
      </c>
      <c r="BI300" s="37">
        <f t="shared" si="309"/>
        <v>-12.526260218827542</v>
      </c>
      <c r="BJ300" s="60">
        <f t="shared" si="310"/>
        <v>80.504834409697622</v>
      </c>
      <c r="BK300">
        <f t="shared" si="311"/>
        <v>-16.279434467160577</v>
      </c>
      <c r="BL300" s="60">
        <f t="shared" si="312"/>
        <v>56.199987249856271</v>
      </c>
      <c r="BN300">
        <f t="shared" si="313"/>
        <v>0</v>
      </c>
      <c r="BO300">
        <f t="shared" si="314"/>
        <v>0</v>
      </c>
    </row>
    <row r="301" spans="13:67" ht="14.25" x14ac:dyDescent="0.2">
      <c r="M301" s="66">
        <v>83</v>
      </c>
      <c r="N301" s="36">
        <f t="shared" si="315"/>
        <v>6760.8297539198229</v>
      </c>
      <c r="O301" s="91" t="str">
        <f t="shared" si="263"/>
        <v>99.7340425531915</v>
      </c>
      <c r="P301" s="67" t="str">
        <f t="shared" si="264"/>
        <v>1+1233.71447931371i</v>
      </c>
      <c r="Q301" s="67">
        <f t="shared" si="275"/>
        <v>1233.714884593802</v>
      </c>
      <c r="R301" s="67">
        <f t="shared" si="276"/>
        <v>1.5699857666549575</v>
      </c>
      <c r="S301" s="67" t="str">
        <f t="shared" si="265"/>
        <v>1+2.31938322110977i</v>
      </c>
      <c r="T301" s="67">
        <f t="shared" si="277"/>
        <v>2.5257748368303798</v>
      </c>
      <c r="U301" s="67">
        <f t="shared" si="278"/>
        <v>1.1637288823009586</v>
      </c>
      <c r="V301" t="str">
        <f t="shared" si="266"/>
        <v>1-0.239584640422328i</v>
      </c>
      <c r="W301" s="67">
        <f t="shared" si="279"/>
        <v>1.0282999562026132</v>
      </c>
      <c r="X301" s="67">
        <f t="shared" si="280"/>
        <v>-0.2351522058432288</v>
      </c>
      <c r="Y301" t="str">
        <f t="shared" si="267"/>
        <v>0.9891813446245+0.370334505108163i</v>
      </c>
      <c r="Z301" s="67">
        <f t="shared" si="281"/>
        <v>1.0562326345208435</v>
      </c>
      <c r="AA301" s="67">
        <f t="shared" si="282"/>
        <v>0.3582312478978566</v>
      </c>
      <c r="AB301" s="92" t="str">
        <f t="shared" si="283"/>
        <v>0.107464117530615-0.167233122011218i</v>
      </c>
      <c r="AC301" s="37">
        <f t="shared" si="284"/>
        <v>-14.032330278103512</v>
      </c>
      <c r="AD301" s="60">
        <f t="shared" si="285"/>
        <v>-57.275172403878884</v>
      </c>
      <c r="AE301" t="str">
        <f t="shared" si="286"/>
        <v>118.329284003155</v>
      </c>
      <c r="AF301" t="str">
        <f t="shared" si="268"/>
        <v>1+986.971583450967i</v>
      </c>
      <c r="AG301">
        <f t="shared" si="287"/>
        <v>986.97209005103548</v>
      </c>
      <c r="AH301">
        <f t="shared" si="288"/>
        <v>1.5697831267447877</v>
      </c>
      <c r="AI301" t="str">
        <f t="shared" si="269"/>
        <v>1+2.31938322110977i</v>
      </c>
      <c r="AJ301">
        <f t="shared" si="289"/>
        <v>2.5257748368303798</v>
      </c>
      <c r="AK301">
        <f t="shared" si="290"/>
        <v>1.1637288823009586</v>
      </c>
      <c r="AL301" t="str">
        <f t="shared" si="270"/>
        <v>1-0.161542617981175i</v>
      </c>
      <c r="AM301">
        <f t="shared" si="291"/>
        <v>1.0129639763704392</v>
      </c>
      <c r="AN301">
        <f t="shared" si="292"/>
        <v>-0.16015901185938722</v>
      </c>
      <c r="AO301" s="58" t="str">
        <f t="shared" si="293"/>
        <v>0.258872988447681-0.164549759748506i</v>
      </c>
      <c r="AP301">
        <f t="shared" si="294"/>
        <v>-10.264480036068537</v>
      </c>
      <c r="AQ301" s="60">
        <f t="shared" si="295"/>
        <v>-32.441629890533456</v>
      </c>
      <c r="AR301" t="str">
        <f t="shared" si="271"/>
        <v>-1.94444444444444</v>
      </c>
      <c r="AS301" t="str">
        <f t="shared" si="272"/>
        <v>1+2.3788545857536i</v>
      </c>
      <c r="AT301">
        <f t="shared" si="296"/>
        <v>2.5804939721225719</v>
      </c>
      <c r="AU301">
        <f t="shared" si="297"/>
        <v>1.1728535372268565</v>
      </c>
      <c r="AV301" t="str">
        <f t="shared" si="273"/>
        <v>1+2.3788545857536i</v>
      </c>
      <c r="AW301">
        <f t="shared" si="298"/>
        <v>2.5804939721225719</v>
      </c>
      <c r="AX301">
        <f t="shared" si="299"/>
        <v>1.1728535372268565</v>
      </c>
      <c r="AY301" t="str">
        <f t="shared" si="274"/>
        <v>1-0.000894405058304165i</v>
      </c>
      <c r="AZ301">
        <f t="shared" si="300"/>
        <v>1.0000003999801241</v>
      </c>
      <c r="BA301">
        <f t="shared" si="301"/>
        <v>-8.9440481980806758E-4</v>
      </c>
      <c r="BB301" s="58" t="str">
        <f t="shared" si="302"/>
        <v>-0.291383413172954+0.694897889585719i</v>
      </c>
      <c r="BC301">
        <f t="shared" si="303"/>
        <v>-2.4581427193097678</v>
      </c>
      <c r="BD301" s="60">
        <f t="shared" si="304"/>
        <v>112.74919670856022</v>
      </c>
      <c r="BE301" s="58" t="str">
        <f t="shared" si="305"/>
        <v>0.0848966821947364+0.123405546365414i</v>
      </c>
      <c r="BF301" s="37">
        <f t="shared" si="306"/>
        <v>-16.490472997413267</v>
      </c>
      <c r="BG301" s="60">
        <f t="shared" si="307"/>
        <v>55.474024304681372</v>
      </c>
      <c r="BH301" s="58" t="str">
        <f t="shared" si="308"/>
        <v>0.0389139858289059+0.227837363975351i</v>
      </c>
      <c r="BI301" s="37">
        <f t="shared" si="309"/>
        <v>-12.722622755378303</v>
      </c>
      <c r="BJ301" s="60">
        <f t="shared" si="310"/>
        <v>80.307566818026785</v>
      </c>
      <c r="BK301">
        <f t="shared" si="311"/>
        <v>-16.490472997413267</v>
      </c>
      <c r="BL301" s="60">
        <f t="shared" si="312"/>
        <v>55.474024304681372</v>
      </c>
      <c r="BN301">
        <f t="shared" si="313"/>
        <v>0</v>
      </c>
      <c r="BO301">
        <f t="shared" si="314"/>
        <v>0</v>
      </c>
    </row>
    <row r="302" spans="13:67" ht="14.25" x14ac:dyDescent="0.2">
      <c r="M302" s="66">
        <v>84</v>
      </c>
      <c r="N302" s="36">
        <f t="shared" si="315"/>
        <v>6918.3097091893687</v>
      </c>
      <c r="O302" s="91" t="str">
        <f t="shared" si="263"/>
        <v>99.7340425531915</v>
      </c>
      <c r="P302" s="67" t="str">
        <f t="shared" si="264"/>
        <v>1+1262.45138115702i</v>
      </c>
      <c r="Q302" s="67">
        <f t="shared" si="275"/>
        <v>1262.4517772118138</v>
      </c>
      <c r="R302" s="67">
        <f t="shared" si="276"/>
        <v>1.5700042172485174</v>
      </c>
      <c r="S302" s="67" t="str">
        <f t="shared" si="265"/>
        <v>1+2.37340859657519i</v>
      </c>
      <c r="T302" s="67">
        <f t="shared" si="277"/>
        <v>2.5754743963582736</v>
      </c>
      <c r="U302" s="67">
        <f t="shared" si="278"/>
        <v>1.1720340980245538</v>
      </c>
      <c r="V302" t="str">
        <f t="shared" si="266"/>
        <v>1-0.245165283602272i</v>
      </c>
      <c r="W302" s="67">
        <f t="shared" si="279"/>
        <v>1.029614498870224</v>
      </c>
      <c r="X302" s="67">
        <f t="shared" si="280"/>
        <v>-0.24042319107258453</v>
      </c>
      <c r="Y302" t="str">
        <f t="shared" si="267"/>
        <v>0.98867147710479+0.378960703876944i</v>
      </c>
      <c r="Z302" s="67">
        <f t="shared" si="281"/>
        <v>1.0588118363162908</v>
      </c>
      <c r="AA302" s="67">
        <f t="shared" si="282"/>
        <v>0.36603003382903954</v>
      </c>
      <c r="AB302" s="92" t="str">
        <f t="shared" si="283"/>
        <v>0.106162732990763-0.166958433649024i</v>
      </c>
      <c r="AC302" s="37">
        <f t="shared" si="284"/>
        <v>-14.07316552885055</v>
      </c>
      <c r="AD302" s="60">
        <f t="shared" si="285"/>
        <v>-57.549218462812405</v>
      </c>
      <c r="AE302" t="str">
        <f t="shared" si="286"/>
        <v>118.329284003155</v>
      </c>
      <c r="AF302" t="str">
        <f t="shared" si="268"/>
        <v>1+1009.96110492561i</v>
      </c>
      <c r="AG302">
        <f t="shared" si="287"/>
        <v>1009.9615999940586</v>
      </c>
      <c r="AH302">
        <f t="shared" si="288"/>
        <v>1.5698061899784068</v>
      </c>
      <c r="AI302" t="str">
        <f t="shared" si="269"/>
        <v>1+2.37340859657519i</v>
      </c>
      <c r="AJ302">
        <f t="shared" si="289"/>
        <v>2.5754743963582736</v>
      </c>
      <c r="AK302">
        <f t="shared" si="290"/>
        <v>1.1720340980245538</v>
      </c>
      <c r="AL302" t="str">
        <f t="shared" si="270"/>
        <v>1-0.165305428934823i</v>
      </c>
      <c r="AM302">
        <f t="shared" si="291"/>
        <v>1.0135708583198935</v>
      </c>
      <c r="AN302">
        <f t="shared" si="292"/>
        <v>-0.16382393824193867</v>
      </c>
      <c r="AO302" s="58" t="str">
        <f t="shared" si="293"/>
        <v>0.258867533188212-0.162873016151006i</v>
      </c>
      <c r="AP302">
        <f t="shared" si="294"/>
        <v>-10.290025456136247</v>
      </c>
      <c r="AQ302" s="60">
        <f t="shared" si="295"/>
        <v>-32.177082321520516</v>
      </c>
      <c r="AR302" t="str">
        <f t="shared" si="271"/>
        <v>-1.94444444444444</v>
      </c>
      <c r="AS302" t="str">
        <f t="shared" si="272"/>
        <v>1+2.4342652272566i</v>
      </c>
      <c r="AT302">
        <f t="shared" si="296"/>
        <v>2.6316624397195452</v>
      </c>
      <c r="AU302">
        <f t="shared" si="297"/>
        <v>1.1810130638956178</v>
      </c>
      <c r="AV302" t="str">
        <f t="shared" si="273"/>
        <v>1+2.4342652272566i</v>
      </c>
      <c r="AW302">
        <f t="shared" si="298"/>
        <v>2.6316624397195452</v>
      </c>
      <c r="AX302">
        <f t="shared" si="299"/>
        <v>1.1810130638956178</v>
      </c>
      <c r="AY302" t="str">
        <f t="shared" si="274"/>
        <v>1-0.000874045913585982i</v>
      </c>
      <c r="AZ302">
        <f t="shared" si="300"/>
        <v>1.0000003819780565</v>
      </c>
      <c r="BA302">
        <f t="shared" si="301"/>
        <v>-8.740456910084686E-4</v>
      </c>
      <c r="BB302" s="58" t="str">
        <f t="shared" si="302"/>
        <v>-0.280162600478576+0.683689610043643i</v>
      </c>
      <c r="BC302">
        <f t="shared" si="303"/>
        <v>-2.6286895385663023</v>
      </c>
      <c r="BD302" s="60">
        <f t="shared" si="304"/>
        <v>112.28285675977048</v>
      </c>
      <c r="BE302" s="58" t="str">
        <f t="shared" si="305"/>
        <v>0.0844049190463938+0.119357866462562i</v>
      </c>
      <c r="BF302" s="37">
        <f t="shared" si="306"/>
        <v>-16.701855067416879</v>
      </c>
      <c r="BG302" s="60">
        <f t="shared" si="307"/>
        <v>54.733638296957956</v>
      </c>
      <c r="BH302" s="58" t="str">
        <f t="shared" si="308"/>
        <v>0.0388295876214297+0.222615970571063i</v>
      </c>
      <c r="BI302" s="37">
        <f t="shared" si="309"/>
        <v>-12.918714994702567</v>
      </c>
      <c r="BJ302" s="60">
        <f t="shared" si="310"/>
        <v>80.105774438249966</v>
      </c>
      <c r="BK302">
        <f t="shared" si="311"/>
        <v>-16.701855067416879</v>
      </c>
      <c r="BL302" s="60">
        <f t="shared" si="312"/>
        <v>54.733638296957956</v>
      </c>
      <c r="BN302">
        <f t="shared" si="313"/>
        <v>0</v>
      </c>
      <c r="BO302">
        <f t="shared" si="314"/>
        <v>0</v>
      </c>
    </row>
    <row r="303" spans="13:67" ht="14.25" x14ac:dyDescent="0.2">
      <c r="M303" s="66">
        <v>85</v>
      </c>
      <c r="N303" s="36">
        <f t="shared" si="315"/>
        <v>7079.4578438413828</v>
      </c>
      <c r="O303" s="91" t="str">
        <f t="shared" si="263"/>
        <v>99.7340425531915</v>
      </c>
      <c r="P303" s="67" t="str">
        <f t="shared" si="264"/>
        <v>1+1291.85765143313i</v>
      </c>
      <c r="Q303" s="67">
        <f t="shared" si="275"/>
        <v>1291.858038472619</v>
      </c>
      <c r="R303" s="67">
        <f t="shared" si="276"/>
        <v>1.5700222478558139</v>
      </c>
      <c r="S303" s="67" t="str">
        <f t="shared" si="265"/>
        <v>1+2.42869238469429i</v>
      </c>
      <c r="T303" s="67">
        <f t="shared" si="277"/>
        <v>2.6265084617171972</v>
      </c>
      <c r="U303" s="67">
        <f t="shared" si="278"/>
        <v>1.1802068174097382</v>
      </c>
      <c r="V303" t="str">
        <f t="shared" si="266"/>
        <v>1-0.250875916660729i</v>
      </c>
      <c r="W303" s="67">
        <f t="shared" si="279"/>
        <v>1.0309891975963479</v>
      </c>
      <c r="X303" s="67">
        <f t="shared" si="280"/>
        <v>-0.24580288522090077</v>
      </c>
      <c r="Y303" t="str">
        <f t="shared" si="267"/>
        <v>0.988137580269177+0.387787832627059i</v>
      </c>
      <c r="Z303" s="67">
        <f t="shared" si="281"/>
        <v>1.0615061378408588</v>
      </c>
      <c r="AA303" s="67">
        <f t="shared" si="282"/>
        <v>0.37397493116846581</v>
      </c>
      <c r="AB303" s="92" t="str">
        <f t="shared" si="283"/>
        <v>0.104813710566942-0.16673440505915i</v>
      </c>
      <c r="AC303" s="37">
        <f t="shared" si="284"/>
        <v>-14.113219192261095</v>
      </c>
      <c r="AD303" s="60">
        <f t="shared" si="285"/>
        <v>-57.845432068580372</v>
      </c>
      <c r="AE303" t="str">
        <f t="shared" si="286"/>
        <v>118.329284003155</v>
      </c>
      <c r="AF303" t="str">
        <f t="shared" si="268"/>
        <v>1+1033.48612114651i</v>
      </c>
      <c r="AG303">
        <f t="shared" si="287"/>
        <v>1033.4866049458303</v>
      </c>
      <c r="AH303">
        <f t="shared" si="288"/>
        <v>1.5698287282297525</v>
      </c>
      <c r="AI303" t="str">
        <f t="shared" si="269"/>
        <v>1+2.42869238469429i</v>
      </c>
      <c r="AJ303">
        <f t="shared" si="289"/>
        <v>2.6265084617171972</v>
      </c>
      <c r="AK303">
        <f t="shared" si="290"/>
        <v>1.1802068174097382</v>
      </c>
      <c r="AL303" t="str">
        <f t="shared" si="270"/>
        <v>1-0.169155887014968i</v>
      </c>
      <c r="AM303">
        <f t="shared" si="291"/>
        <v>1.0142059525125164</v>
      </c>
      <c r="AN303">
        <f t="shared" si="292"/>
        <v>-0.16756963956640267</v>
      </c>
      <c r="AO303" s="58" t="str">
        <f t="shared" si="293"/>
        <v>0.258862323455393-0.161282629496207i</v>
      </c>
      <c r="AP303">
        <f t="shared" si="294"/>
        <v>-10.314153119870454</v>
      </c>
      <c r="AQ303" s="60">
        <f t="shared" si="295"/>
        <v>-31.924724217492635</v>
      </c>
      <c r="AR303" t="str">
        <f t="shared" si="271"/>
        <v>-1.94444444444444</v>
      </c>
      <c r="AS303" t="str">
        <f t="shared" si="272"/>
        <v>1+2.49096654840439i</v>
      </c>
      <c r="AT303">
        <f t="shared" si="296"/>
        <v>2.6841971509689224</v>
      </c>
      <c r="AU303">
        <f t="shared" si="297"/>
        <v>1.1890400636336558</v>
      </c>
      <c r="AV303" t="str">
        <f t="shared" si="273"/>
        <v>1+2.49096654840439i</v>
      </c>
      <c r="AW303">
        <f t="shared" si="298"/>
        <v>2.6841971509689224</v>
      </c>
      <c r="AX303">
        <f t="shared" si="299"/>
        <v>1.1890400636336558</v>
      </c>
      <c r="AY303" t="str">
        <f t="shared" si="274"/>
        <v>1-0.000854150199580548i</v>
      </c>
      <c r="AZ303">
        <f t="shared" si="300"/>
        <v>1.0000003647862152</v>
      </c>
      <c r="BA303">
        <f t="shared" si="301"/>
        <v>-8.5414999185912197E-4</v>
      </c>
      <c r="BB303" s="58" t="str">
        <f t="shared" si="302"/>
        <v>-0.269303316545198+0.672486400498741i</v>
      </c>
      <c r="BC303">
        <f t="shared" si="303"/>
        <v>-2.8003742678147097</v>
      </c>
      <c r="BD303" s="60">
        <f t="shared" si="304"/>
        <v>111.82408349222007</v>
      </c>
      <c r="BE303" s="58" t="str">
        <f t="shared" si="305"/>
        <v>0.0838999400224409+0.115387923206699i</v>
      </c>
      <c r="BF303" s="37">
        <f t="shared" si="306"/>
        <v>-16.913593460075816</v>
      </c>
      <c r="BG303" s="60">
        <f t="shared" si="307"/>
        <v>53.978651423639647</v>
      </c>
      <c r="BH303" s="58" t="str">
        <f t="shared" si="308"/>
        <v>0.0387478927377432+0.217515339149717i</v>
      </c>
      <c r="BI303" s="37">
        <f t="shared" si="309"/>
        <v>-13.114527387685161</v>
      </c>
      <c r="BJ303" s="60">
        <f t="shared" si="310"/>
        <v>79.899359274727416</v>
      </c>
      <c r="BK303">
        <f t="shared" si="311"/>
        <v>-16.913593460075816</v>
      </c>
      <c r="BL303" s="60">
        <f t="shared" si="312"/>
        <v>53.978651423639647</v>
      </c>
      <c r="BN303">
        <f t="shared" si="313"/>
        <v>0</v>
      </c>
      <c r="BO303">
        <f t="shared" si="314"/>
        <v>0</v>
      </c>
    </row>
    <row r="304" spans="13:67" ht="14.25" x14ac:dyDescent="0.2">
      <c r="M304" s="66">
        <v>86</v>
      </c>
      <c r="N304" s="36">
        <f t="shared" si="315"/>
        <v>7244.3596007499036</v>
      </c>
      <c r="O304" s="91" t="str">
        <f t="shared" si="263"/>
        <v>99.7340425531915</v>
      </c>
      <c r="P304" s="67" t="str">
        <f t="shared" si="264"/>
        <v>1+1321.9488817358i</v>
      </c>
      <c r="Q304" s="67">
        <f t="shared" si="275"/>
        <v>1321.9492599651969</v>
      </c>
      <c r="R304" s="67">
        <f t="shared" si="276"/>
        <v>1.5700398680368668</v>
      </c>
      <c r="S304" s="67" t="str">
        <f t="shared" si="265"/>
        <v>1+2.48526389766331i</v>
      </c>
      <c r="T304" s="67">
        <f t="shared" si="277"/>
        <v>2.6789058663993082</v>
      </c>
      <c r="U304" s="67">
        <f t="shared" si="278"/>
        <v>1.1882470056249497</v>
      </c>
      <c r="V304" t="str">
        <f t="shared" si="266"/>
        <v>1-0.256719567450935i</v>
      </c>
      <c r="W304" s="67">
        <f t="shared" si="279"/>
        <v>1.0324267220060681</v>
      </c>
      <c r="X304" s="67">
        <f t="shared" si="280"/>
        <v>-0.25129289458350451</v>
      </c>
      <c r="Y304" t="str">
        <f t="shared" si="267"/>
        <v>0.987578521650893+0.396820571619012i</v>
      </c>
      <c r="Z304" s="67">
        <f t="shared" si="281"/>
        <v>1.0643203946585835</v>
      </c>
      <c r="AA304" s="67">
        <f t="shared" si="282"/>
        <v>0.38206718228543141</v>
      </c>
      <c r="AB304" s="92" t="str">
        <f t="shared" si="283"/>
        <v>0.103415867325367-0.16655881809852i</v>
      </c>
      <c r="AC304" s="37">
        <f t="shared" si="284"/>
        <v>-14.152541149681635</v>
      </c>
      <c r="AD304" s="60">
        <f t="shared" si="285"/>
        <v>-58.163978981093194</v>
      </c>
      <c r="AE304" t="str">
        <f t="shared" si="286"/>
        <v>118.329284003155</v>
      </c>
      <c r="AF304" t="str">
        <f t="shared" si="268"/>
        <v>1+1057.55910538864i</v>
      </c>
      <c r="AG304">
        <f t="shared" si="287"/>
        <v>1057.5595781753482</v>
      </c>
      <c r="AH304">
        <f t="shared" si="288"/>
        <v>1.5698507534488129</v>
      </c>
      <c r="AI304" t="str">
        <f t="shared" si="269"/>
        <v>1+2.48526389766331i</v>
      </c>
      <c r="AJ304">
        <f t="shared" si="289"/>
        <v>2.6789058663993082</v>
      </c>
      <c r="AK304">
        <f t="shared" si="290"/>
        <v>1.1882470056249497</v>
      </c>
      <c r="AL304" t="str">
        <f t="shared" si="270"/>
        <v>1-0.173096033785452i</v>
      </c>
      <c r="AM304">
        <f t="shared" si="291"/>
        <v>1.0148705518006986</v>
      </c>
      <c r="AN304">
        <f t="shared" si="292"/>
        <v>-0.17139768121532648</v>
      </c>
      <c r="AO304" s="58" t="str">
        <f t="shared" si="293"/>
        <v>0.258857348198748-0.159777756572518i</v>
      </c>
      <c r="AP304">
        <f t="shared" si="294"/>
        <v>-10.336890042235176</v>
      </c>
      <c r="AQ304" s="60">
        <f t="shared" si="295"/>
        <v>-31.684647948648859</v>
      </c>
      <c r="AR304" t="str">
        <f t="shared" si="271"/>
        <v>-1.94444444444444</v>
      </c>
      <c r="AS304" t="str">
        <f t="shared" si="272"/>
        <v>1+2.548988612988i</v>
      </c>
      <c r="AT304">
        <f t="shared" si="296"/>
        <v>2.7381276356558852</v>
      </c>
      <c r="AU304">
        <f t="shared" si="297"/>
        <v>1.1969346538074457</v>
      </c>
      <c r="AV304" t="str">
        <f t="shared" si="273"/>
        <v>1+2.548988612988i</v>
      </c>
      <c r="AW304">
        <f t="shared" si="298"/>
        <v>2.7381276356558852</v>
      </c>
      <c r="AX304">
        <f t="shared" si="299"/>
        <v>1.1969346538074457</v>
      </c>
      <c r="AY304" t="str">
        <f t="shared" si="274"/>
        <v>1-0.000834707367316945i</v>
      </c>
      <c r="AZ304">
        <f t="shared" si="300"/>
        <v>1.0000003483681339</v>
      </c>
      <c r="BA304">
        <f t="shared" si="301"/>
        <v>-8.3470717346002712E-4</v>
      </c>
      <c r="BB304" s="58" t="str">
        <f t="shared" si="302"/>
        <v>-0.258799329544758+0.661299586161634i</v>
      </c>
      <c r="BC304">
        <f t="shared" si="303"/>
        <v>-2.9731599604517371</v>
      </c>
      <c r="BD304" s="60">
        <f t="shared" si="304"/>
        <v>111.37287078571249</v>
      </c>
      <c r="BE304" s="58" t="str">
        <f t="shared" si="305"/>
        <v>0.0833813203520275+0.111494180718476i</v>
      </c>
      <c r="BF304" s="37">
        <f t="shared" si="306"/>
        <v>-17.12570111013337</v>
      </c>
      <c r="BG304" s="60">
        <f t="shared" si="307"/>
        <v>53.208891804619334</v>
      </c>
      <c r="BH304" s="58" t="str">
        <f t="shared" si="308"/>
        <v>0.0386688561376705+0.212532633515863i</v>
      </c>
      <c r="BI304" s="37">
        <f t="shared" si="309"/>
        <v>-13.310050002686925</v>
      </c>
      <c r="BJ304" s="60">
        <f t="shared" si="310"/>
        <v>79.688222837063634</v>
      </c>
      <c r="BK304">
        <f t="shared" si="311"/>
        <v>-17.12570111013337</v>
      </c>
      <c r="BL304" s="60">
        <f t="shared" si="312"/>
        <v>53.208891804619334</v>
      </c>
      <c r="BN304">
        <f t="shared" si="313"/>
        <v>0</v>
      </c>
      <c r="BO304">
        <f t="shared" si="314"/>
        <v>0</v>
      </c>
    </row>
    <row r="305" spans="13:67" ht="14.25" x14ac:dyDescent="0.2">
      <c r="M305" s="66">
        <v>87</v>
      </c>
      <c r="N305" s="36">
        <f t="shared" si="315"/>
        <v>7413.1024130091773</v>
      </c>
      <c r="O305" s="91" t="str">
        <f t="shared" si="263"/>
        <v>99.7340425531915</v>
      </c>
      <c r="P305" s="67" t="str">
        <f t="shared" si="264"/>
        <v>1+1352.74102683362i</v>
      </c>
      <c r="Q305" s="67">
        <f t="shared" si="275"/>
        <v>1352.7413964534671</v>
      </c>
      <c r="R305" s="67">
        <f t="shared" si="276"/>
        <v>1.5700570871340858</v>
      </c>
      <c r="S305" s="67" t="str">
        <f t="shared" si="265"/>
        <v>1+2.54315313044721i</v>
      </c>
      <c r="T305" s="67">
        <f t="shared" si="277"/>
        <v>2.7326960762044954</v>
      </c>
      <c r="U305" s="67">
        <f t="shared" si="278"/>
        <v>1.1961547666006211</v>
      </c>
      <c r="V305" t="str">
        <f t="shared" si="266"/>
        <v>1-0.262699334353888i</v>
      </c>
      <c r="W305" s="67">
        <f t="shared" si="279"/>
        <v>1.0339298526834284</v>
      </c>
      <c r="X305" s="67">
        <f t="shared" si="280"/>
        <v>-0.25689480571520618</v>
      </c>
      <c r="Y305" t="str">
        <f t="shared" si="267"/>
        <v>0.986993115411654+0.406063710130578i</v>
      </c>
      <c r="Z305" s="67">
        <f t="shared" si="281"/>
        <v>1.0672596434584289</v>
      </c>
      <c r="AA305" s="67">
        <f t="shared" si="282"/>
        <v>0.39030794390139822</v>
      </c>
      <c r="AB305" s="92" t="str">
        <f t="shared" si="283"/>
        <v>0.101968041252339-0.166429390522737i</v>
      </c>
      <c r="AC305" s="37">
        <f t="shared" si="284"/>
        <v>-14.191180744268507</v>
      </c>
      <c r="AD305" s="60">
        <f t="shared" si="285"/>
        <v>-58.5050109590087</v>
      </c>
      <c r="AE305" t="str">
        <f t="shared" si="286"/>
        <v>118.329284003155</v>
      </c>
      <c r="AF305" t="str">
        <f t="shared" si="268"/>
        <v>1+1082.1928214669i</v>
      </c>
      <c r="AG305">
        <f t="shared" si="287"/>
        <v>1082.1932834916736</v>
      </c>
      <c r="AH305">
        <f t="shared" si="288"/>
        <v>1.5698722773135647</v>
      </c>
      <c r="AI305" t="str">
        <f t="shared" si="269"/>
        <v>1+2.54315313044721i</v>
      </c>
      <c r="AJ305">
        <f t="shared" si="289"/>
        <v>2.7326960762044954</v>
      </c>
      <c r="AK305">
        <f t="shared" si="290"/>
        <v>1.1961547666006211</v>
      </c>
      <c r="AL305" t="str">
        <f t="shared" si="270"/>
        <v>1-0.177127958364246i</v>
      </c>
      <c r="AM305">
        <f t="shared" si="291"/>
        <v>1.0155660065373822</v>
      </c>
      <c r="AN305">
        <f t="shared" si="292"/>
        <v>-0.17530964387614986</v>
      </c>
      <c r="AO305" s="58" t="str">
        <f t="shared" si="293"/>
        <v>0.258852596865145-0.158357599506688i</v>
      </c>
      <c r="AP305">
        <f t="shared" si="294"/>
        <v>-10.358262175803812</v>
      </c>
      <c r="AQ305" s="60">
        <f t="shared" si="295"/>
        <v>-31.456938796031718</v>
      </c>
      <c r="AR305" t="str">
        <f t="shared" si="271"/>
        <v>-1.94444444444444</v>
      </c>
      <c r="AS305" t="str">
        <f t="shared" si="272"/>
        <v>1+2.60836218507405i</v>
      </c>
      <c r="AT305">
        <f t="shared" si="296"/>
        <v>2.7934840770128391</v>
      </c>
      <c r="AU305">
        <f t="shared" si="297"/>
        <v>1.2046970829846615</v>
      </c>
      <c r="AV305" t="str">
        <f t="shared" si="273"/>
        <v>1+2.60836218507405i</v>
      </c>
      <c r="AW305">
        <f t="shared" si="298"/>
        <v>2.7934840770128391</v>
      </c>
      <c r="AX305">
        <f t="shared" si="299"/>
        <v>1.2046970829846615</v>
      </c>
      <c r="AY305" t="str">
        <f t="shared" si="274"/>
        <v>1-0.000815707107948153i</v>
      </c>
      <c r="AZ305">
        <f t="shared" si="300"/>
        <v>1.0000003326889877</v>
      </c>
      <c r="BA305">
        <f t="shared" si="301"/>
        <v>-8.1570692703034715E-4</v>
      </c>
      <c r="BB305" s="58" t="str">
        <f t="shared" si="302"/>
        <v>-0.248644080057551+0.650139913118985i</v>
      </c>
      <c r="BC305">
        <f t="shared" si="303"/>
        <v>-3.1470103294573599</v>
      </c>
      <c r="BD305" s="60">
        <f t="shared" si="304"/>
        <v>110.92920498901896</v>
      </c>
      <c r="BE305" s="58" t="str">
        <f t="shared" si="305"/>
        <v>0.0828486396824396+0.107675176181774i</v>
      </c>
      <c r="BF305" s="37">
        <f t="shared" si="306"/>
        <v>-17.338191073725845</v>
      </c>
      <c r="BG305" s="60">
        <f t="shared" si="307"/>
        <v>52.424194030010369</v>
      </c>
      <c r="BH305" s="58" t="str">
        <f t="shared" si="308"/>
        <v>0.0385924301669671+0.207665084485992i</v>
      </c>
      <c r="BI305" s="37">
        <f t="shared" si="309"/>
        <v>-13.505272505261154</v>
      </c>
      <c r="BJ305" s="60">
        <f t="shared" si="310"/>
        <v>79.472266192987263</v>
      </c>
      <c r="BK305">
        <f t="shared" si="311"/>
        <v>-17.338191073725845</v>
      </c>
      <c r="BL305" s="60">
        <f t="shared" si="312"/>
        <v>52.424194030010369</v>
      </c>
      <c r="BN305">
        <f t="shared" si="313"/>
        <v>0</v>
      </c>
      <c r="BO305">
        <f t="shared" si="314"/>
        <v>0</v>
      </c>
    </row>
    <row r="306" spans="13:67" ht="14.25" x14ac:dyDescent="0.2">
      <c r="M306" s="66">
        <v>88</v>
      </c>
      <c r="N306" s="36">
        <f t="shared" si="315"/>
        <v>7585.7757502918394</v>
      </c>
      <c r="O306" s="91" t="str">
        <f t="shared" si="263"/>
        <v>99.7340425531915</v>
      </c>
      <c r="P306" s="67" t="str">
        <f t="shared" si="264"/>
        <v>1+1384.25041312952i</v>
      </c>
      <c r="Q306" s="67">
        <f t="shared" si="275"/>
        <v>1384.2507743357946</v>
      </c>
      <c r="R306" s="67">
        <f t="shared" si="276"/>
        <v>1.5700739142772226</v>
      </c>
      <c r="S306" s="67" t="str">
        <f t="shared" si="265"/>
        <v>1+2.60239077668349i</v>
      </c>
      <c r="T306" s="67">
        <f t="shared" si="277"/>
        <v>2.787909208451254</v>
      </c>
      <c r="U306" s="67">
        <f t="shared" si="278"/>
        <v>1.2039303361530715</v>
      </c>
      <c r="V306" t="str">
        <f t="shared" si="266"/>
        <v>1-0.268818387921152i</v>
      </c>
      <c r="W306" s="67">
        <f t="shared" si="279"/>
        <v>1.0355014851194211</v>
      </c>
      <c r="X306" s="67">
        <f t="shared" si="280"/>
        <v>-0.26261018186942969</v>
      </c>
      <c r="Y306" t="str">
        <f t="shared" si="267"/>
        <v>0.986380119826339+0.415522148996144i</v>
      </c>
      <c r="Z306" s="67">
        <f t="shared" si="281"/>
        <v>1.0703291069082428</v>
      </c>
      <c r="AA306" s="67">
        <f t="shared" si="282"/>
        <v>0.39869828079152397</v>
      </c>
      <c r="AB306" s="92" t="str">
        <f t="shared" si="283"/>
        <v>0.100469096362535-0.166343773711958i</v>
      </c>
      <c r="AC306" s="37">
        <f t="shared" si="284"/>
        <v>-14.229186716554207</v>
      </c>
      <c r="AD306" s="60">
        <f t="shared" si="285"/>
        <v>-58.868665589089936</v>
      </c>
      <c r="AE306" t="str">
        <f t="shared" si="286"/>
        <v>118.329284003155</v>
      </c>
      <c r="AF306" t="str">
        <f t="shared" si="268"/>
        <v>1+1107.40033050361i</v>
      </c>
      <c r="AG306">
        <f t="shared" si="287"/>
        <v>1107.40078201142</v>
      </c>
      <c r="AH306">
        <f t="shared" si="288"/>
        <v>1.5698933112361666</v>
      </c>
      <c r="AI306" t="str">
        <f t="shared" si="269"/>
        <v>1+2.60239077668349i</v>
      </c>
      <c r="AJ306">
        <f t="shared" si="289"/>
        <v>2.787909208451254</v>
      </c>
      <c r="AK306">
        <f t="shared" si="290"/>
        <v>1.2039303361530715</v>
      </c>
      <c r="AL306" t="str">
        <f t="shared" si="270"/>
        <v>1-0.18125379853113i</v>
      </c>
      <c r="AM306">
        <f t="shared" si="291"/>
        <v>1.0162937269716681</v>
      </c>
      <c r="AN306">
        <f t="shared" si="292"/>
        <v>-0.1793071225525282</v>
      </c>
      <c r="AO306" s="58" t="str">
        <f t="shared" si="293"/>
        <v>0.258848059376426-0.157021405340916i</v>
      </c>
      <c r="AP306">
        <f t="shared" si="294"/>
        <v>-10.378294358702467</v>
      </c>
      <c r="AQ306" s="60">
        <f t="shared" si="295"/>
        <v>-31.241675289207535</v>
      </c>
      <c r="AR306" t="str">
        <f t="shared" si="271"/>
        <v>-1.94444444444444</v>
      </c>
      <c r="AS306" t="str">
        <f t="shared" si="272"/>
        <v>1+2.6691187453164i</v>
      </c>
      <c r="AT306">
        <f t="shared" si="296"/>
        <v>2.8502973312620195</v>
      </c>
      <c r="AU306">
        <f t="shared" si="297"/>
        <v>1.2123277240659067</v>
      </c>
      <c r="AV306" t="str">
        <f t="shared" si="273"/>
        <v>1+2.6691187453164i</v>
      </c>
      <c r="AW306">
        <f t="shared" si="298"/>
        <v>2.8502973312620195</v>
      </c>
      <c r="AX306">
        <f t="shared" si="299"/>
        <v>1.2123277240659067</v>
      </c>
      <c r="AY306" t="str">
        <f t="shared" si="274"/>
        <v>1-0.000797139347285154i</v>
      </c>
      <c r="AZ306">
        <f t="shared" si="300"/>
        <v>1.000000317715519</v>
      </c>
      <c r="BA306">
        <f t="shared" si="301"/>
        <v>-7.9713917844283059E-4</v>
      </c>
      <c r="BB306" s="58" t="str">
        <f t="shared" si="302"/>
        <v>-0.238830722068716+0.639017550406338i</v>
      </c>
      <c r="BC306">
        <f t="shared" si="303"/>
        <v>-3.3218897790352231</v>
      </c>
      <c r="BD306" s="60">
        <f t="shared" si="304"/>
        <v>110.4930653137136</v>
      </c>
      <c r="BE306" s="58" t="str">
        <f t="shared" si="305"/>
        <v>0.082301483972906+0.103929519436387i</v>
      </c>
      <c r="BF306" s="37">
        <f t="shared" si="306"/>
        <v>-17.551076495589452</v>
      </c>
      <c r="BG306" s="60">
        <f t="shared" si="307"/>
        <v>51.624399724623522</v>
      </c>
      <c r="BH306" s="58" t="str">
        <f t="shared" si="308"/>
        <v>0.0385185648753551+0.202909988447974i</v>
      </c>
      <c r="BI306" s="37">
        <f t="shared" si="309"/>
        <v>-13.700184137737676</v>
      </c>
      <c r="BJ306" s="60">
        <f t="shared" si="310"/>
        <v>79.25139002450608</v>
      </c>
      <c r="BK306">
        <f t="shared" si="311"/>
        <v>-17.551076495589452</v>
      </c>
      <c r="BL306" s="60">
        <f t="shared" si="312"/>
        <v>51.624399724623522</v>
      </c>
      <c r="BN306">
        <f t="shared" si="313"/>
        <v>0</v>
      </c>
      <c r="BO306">
        <f t="shared" si="314"/>
        <v>0</v>
      </c>
    </row>
    <row r="307" spans="13:67" ht="14.25" x14ac:dyDescent="0.2">
      <c r="M307" s="66">
        <v>89</v>
      </c>
      <c r="N307" s="36">
        <f t="shared" si="315"/>
        <v>7762.4711662869322</v>
      </c>
      <c r="O307" s="91" t="str">
        <f t="shared" si="263"/>
        <v>99.7340425531915</v>
      </c>
      <c r="P307" s="67" t="str">
        <f t="shared" si="264"/>
        <v>1+1416.49374731718i</v>
      </c>
      <c r="Q307" s="67">
        <f t="shared" si="275"/>
        <v>1416.4941003013978</v>
      </c>
      <c r="R307" s="67">
        <f t="shared" si="276"/>
        <v>1.570090358388214</v>
      </c>
      <c r="S307" s="67" t="str">
        <f t="shared" si="265"/>
        <v>1+2.66300824495629i</v>
      </c>
      <c r="T307" s="67">
        <f t="shared" si="277"/>
        <v>2.8445760514890752</v>
      </c>
      <c r="U307" s="67">
        <f t="shared" si="278"/>
        <v>1.211574075113901</v>
      </c>
      <c r="V307" t="str">
        <f t="shared" si="266"/>
        <v>1-0.275079972555924i</v>
      </c>
      <c r="W307" s="67">
        <f t="shared" si="279"/>
        <v>1.0371446337427428</v>
      </c>
      <c r="X307" s="67">
        <f t="shared" si="280"/>
        <v>-0.26844055923425036</v>
      </c>
      <c r="Y307" t="str">
        <f t="shared" si="267"/>
        <v>0.985738234649128+0.425200903205194i</v>
      </c>
      <c r="Z307" s="67">
        <f t="shared" si="281"/>
        <v>1.0735341984937843</v>
      </c>
      <c r="AA307" s="67">
        <f t="shared" si="282"/>
        <v>0.40723915936586719</v>
      </c>
      <c r="AB307" s="92" t="str">
        <f t="shared" si="283"/>
        <v>0.0989179281189238-0.166299550668906i</v>
      </c>
      <c r="AC307" s="37">
        <f t="shared" si="284"/>
        <v>-14.266607141732813</v>
      </c>
      <c r="AD307" s="60">
        <f t="shared" si="285"/>
        <v>-59.255066096708617</v>
      </c>
      <c r="AE307" t="str">
        <f t="shared" si="286"/>
        <v>118.329284003155</v>
      </c>
      <c r="AF307" t="str">
        <f t="shared" si="268"/>
        <v>1+1133.19499785374i</v>
      </c>
      <c r="AG307">
        <f t="shared" si="287"/>
        <v>1133.1954390839817</v>
      </c>
      <c r="AH307">
        <f t="shared" si="288"/>
        <v>1.5699138663690078</v>
      </c>
      <c r="AI307" t="str">
        <f t="shared" si="269"/>
        <v>1+2.66300824495629i</v>
      </c>
      <c r="AJ307">
        <f t="shared" si="289"/>
        <v>2.8445760514890752</v>
      </c>
      <c r="AK307">
        <f t="shared" si="290"/>
        <v>1.211574075113901</v>
      </c>
      <c r="AL307" t="str">
        <f t="shared" si="270"/>
        <v>1-0.185475741861173i</v>
      </c>
      <c r="AM307">
        <f t="shared" si="291"/>
        <v>1.0170551857293451</v>
      </c>
      <c r="AN307">
        <f t="shared" si="292"/>
        <v>-0.18339172547542384</v>
      </c>
      <c r="AO307" s="58" t="str">
        <f t="shared" si="293"/>
        <v>0.258843726108013-0.155768465633752i</v>
      </c>
      <c r="AP307">
        <f t="shared" si="294"/>
        <v>-10.397010266592499</v>
      </c>
      <c r="AQ307" s="60">
        <f t="shared" si="295"/>
        <v>-31.038929537880108</v>
      </c>
      <c r="AR307" t="str">
        <f t="shared" si="271"/>
        <v>-1.94444444444444</v>
      </c>
      <c r="AS307" t="str">
        <f t="shared" si="272"/>
        <v>1+2.73129050764747i</v>
      </c>
      <c r="AT307">
        <f t="shared" si="296"/>
        <v>2.9085989474599581</v>
      </c>
      <c r="AU307">
        <f t="shared" si="297"/>
        <v>1.2198270674561151</v>
      </c>
      <c r="AV307" t="str">
        <f t="shared" si="273"/>
        <v>1+2.73129050764747i</v>
      </c>
      <c r="AW307">
        <f t="shared" si="298"/>
        <v>2.9085989474599581</v>
      </c>
      <c r="AX307">
        <f t="shared" si="299"/>
        <v>1.2198270674561151</v>
      </c>
      <c r="AY307" t="str">
        <f t="shared" si="274"/>
        <v>1-0.000778994240455472i</v>
      </c>
      <c r="AZ307">
        <f t="shared" si="300"/>
        <v>1.0000003034159672</v>
      </c>
      <c r="BA307">
        <f t="shared" si="301"/>
        <v>-7.7899408288264484E-4</v>
      </c>
      <c r="BB307" s="58" t="str">
        <f t="shared" si="302"/>
        <v>-0.229352162206164+0.627942094565227i</v>
      </c>
      <c r="BC307">
        <f t="shared" si="303"/>
        <v>-3.4977634321163062</v>
      </c>
      <c r="BD307" s="60">
        <f t="shared" si="304"/>
        <v>110.06442422572977</v>
      </c>
      <c r="BE307" s="58" t="str">
        <f t="shared" si="305"/>
        <v>0.0817394474772598+0.100255892492877i</v>
      </c>
      <c r="BF307" s="37">
        <f t="shared" si="306"/>
        <v>-17.764370573849106</v>
      </c>
      <c r="BG307" s="60">
        <f t="shared" si="307"/>
        <v>50.80935812902127</v>
      </c>
      <c r="BH307" s="58" t="str">
        <f t="shared" si="308"/>
        <v>0.0384472083208969+0.198264705933971i</v>
      </c>
      <c r="BI307" s="37">
        <f t="shared" si="309"/>
        <v>-13.894773698708809</v>
      </c>
      <c r="BJ307" s="60">
        <f t="shared" si="310"/>
        <v>79.025494687849658</v>
      </c>
      <c r="BK307">
        <f t="shared" si="311"/>
        <v>-17.764370573849106</v>
      </c>
      <c r="BL307" s="60">
        <f t="shared" si="312"/>
        <v>50.80935812902127</v>
      </c>
      <c r="BN307">
        <f t="shared" si="313"/>
        <v>0</v>
      </c>
      <c r="BO307">
        <f t="shared" si="314"/>
        <v>0</v>
      </c>
    </row>
    <row r="308" spans="13:67" ht="14.25" x14ac:dyDescent="0.2">
      <c r="M308" s="66">
        <v>90</v>
      </c>
      <c r="N308" s="36">
        <f t="shared" si="315"/>
        <v>7943.2823472428154</v>
      </c>
      <c r="O308" s="91" t="str">
        <f t="shared" si="263"/>
        <v>99.7340425531915</v>
      </c>
      <c r="P308" s="67" t="str">
        <f t="shared" si="264"/>
        <v>1+1449.48812523917i</v>
      </c>
      <c r="Q308" s="67">
        <f t="shared" si="275"/>
        <v>1449.488470188488</v>
      </c>
      <c r="R308" s="67">
        <f t="shared" si="276"/>
        <v>1.570106428185909</v>
      </c>
      <c r="S308" s="67" t="str">
        <f t="shared" si="265"/>
        <v>1+2.72503767544964i</v>
      </c>
      <c r="T308" s="67">
        <f t="shared" si="277"/>
        <v>2.9027280845129084</v>
      </c>
      <c r="U308" s="67">
        <f t="shared" si="278"/>
        <v>1.219086462496155</v>
      </c>
      <c r="V308" t="str">
        <f t="shared" si="266"/>
        <v>1-0.281487408233259i</v>
      </c>
      <c r="W308" s="67">
        <f t="shared" si="279"/>
        <v>1.0388624360298515</v>
      </c>
      <c r="X308" s="67">
        <f t="shared" si="280"/>
        <v>-0.27438744296156609</v>
      </c>
      <c r="Y308" t="str">
        <f t="shared" si="267"/>
        <v>0.985066098355498+0.435105104561321i</v>
      </c>
      <c r="Z308" s="67">
        <f t="shared" si="281"/>
        <v>1.0768805273309763</v>
      </c>
      <c r="AA308" s="67">
        <f t="shared" si="282"/>
        <v>0.41593144115152525</v>
      </c>
      <c r="AB308" s="92" t="str">
        <f t="shared" si="283"/>
        <v>0.0973134691583317-0.166294234324195i</v>
      </c>
      <c r="AC308" s="37">
        <f t="shared" si="284"/>
        <v>-14.303489368415352</v>
      </c>
      <c r="AD308" s="60">
        <f t="shared" si="285"/>
        <v>-59.664321136710647</v>
      </c>
      <c r="AE308" t="str">
        <f t="shared" si="286"/>
        <v>118.329284003155</v>
      </c>
      <c r="AF308" t="str">
        <f t="shared" si="268"/>
        <v>1+1159.59050019133i</v>
      </c>
      <c r="AG308">
        <f t="shared" si="287"/>
        <v>1159.5909313779489</v>
      </c>
      <c r="AH308">
        <f t="shared" si="288"/>
        <v>1.5699339536106225</v>
      </c>
      <c r="AI308" t="str">
        <f t="shared" si="269"/>
        <v>1+2.72503767544964i</v>
      </c>
      <c r="AJ308">
        <f t="shared" si="289"/>
        <v>2.9027280845129084</v>
      </c>
      <c r="AK308">
        <f t="shared" si="290"/>
        <v>1.219086462496155</v>
      </c>
      <c r="AL308" t="str">
        <f t="shared" si="270"/>
        <v>1-0.189796026884612i</v>
      </c>
      <c r="AM308">
        <f t="shared" si="291"/>
        <v>1.0178519203799659</v>
      </c>
      <c r="AN308">
        <f t="shared" si="292"/>
        <v>-0.18756507290818078</v>
      </c>
      <c r="AO308" s="58" t="str">
        <f t="shared" si="293"/>
        <v>0.258839587868509-0.154598116084606i</v>
      </c>
      <c r="AP308">
        <f t="shared" si="294"/>
        <v>-10.414432368538755</v>
      </c>
      <c r="AQ308" s="60">
        <f t="shared" si="295"/>
        <v>-30.848767555315096</v>
      </c>
      <c r="AR308" t="str">
        <f t="shared" si="271"/>
        <v>-1.94444444444444</v>
      </c>
      <c r="AS308" t="str">
        <f t="shared" si="272"/>
        <v>1+2.79491043635859i</v>
      </c>
      <c r="AT308">
        <f t="shared" si="296"/>
        <v>2.9684211876460798</v>
      </c>
      <c r="AU308">
        <f t="shared" si="297"/>
        <v>1.2271957143037182</v>
      </c>
      <c r="AV308" t="str">
        <f t="shared" si="273"/>
        <v>1+2.79491043635859i</v>
      </c>
      <c r="AW308">
        <f t="shared" si="298"/>
        <v>2.9684211876460798</v>
      </c>
      <c r="AX308">
        <f t="shared" si="299"/>
        <v>1.2271957143037182</v>
      </c>
      <c r="AY308" t="str">
        <f t="shared" si="274"/>
        <v>1-0.00076126216668329i</v>
      </c>
      <c r="AZ308">
        <f t="shared" si="300"/>
        <v>1.0000002897600011</v>
      </c>
      <c r="BA308">
        <f t="shared" si="301"/>
        <v>-7.6126201962776888E-4</v>
      </c>
      <c r="BB308" s="58" t="str">
        <f t="shared" si="302"/>
        <v>-0.220201097124267+0.616922576440997i</v>
      </c>
      <c r="BC308">
        <f t="shared" si="303"/>
        <v>-3.6745971539134641</v>
      </c>
      <c r="BD308" s="60">
        <f t="shared" si="304"/>
        <v>109.64324783302635</v>
      </c>
      <c r="BE308" s="58" t="str">
        <f t="shared" si="305"/>
        <v>0.0811621348129321+0.0966530489591972i</v>
      </c>
      <c r="BF308" s="37">
        <f t="shared" si="306"/>
        <v>-17.978086522328816</v>
      </c>
      <c r="BG308" s="60">
        <f t="shared" si="307"/>
        <v>49.978926696315717</v>
      </c>
      <c r="BH308" s="58" t="str">
        <f t="shared" si="308"/>
        <v>0.0383783068600007+0.193726660207941i</v>
      </c>
      <c r="BI308" s="37">
        <f t="shared" si="309"/>
        <v>-14.089029522452236</v>
      </c>
      <c r="BJ308" s="60">
        <f t="shared" si="310"/>
        <v>78.794480277711244</v>
      </c>
      <c r="BK308">
        <f t="shared" si="311"/>
        <v>-17.978086522328816</v>
      </c>
      <c r="BL308" s="60">
        <f t="shared" si="312"/>
        <v>49.978926696315717</v>
      </c>
      <c r="BN308">
        <f t="shared" si="313"/>
        <v>0</v>
      </c>
      <c r="BO308">
        <f t="shared" si="314"/>
        <v>0</v>
      </c>
    </row>
    <row r="309" spans="13:67" ht="14.25" x14ac:dyDescent="0.2">
      <c r="M309" s="66">
        <v>91</v>
      </c>
      <c r="N309" s="36">
        <f t="shared" si="315"/>
        <v>8128.3051616410066</v>
      </c>
      <c r="O309" s="91" t="str">
        <f t="shared" si="263"/>
        <v>99.7340425531915</v>
      </c>
      <c r="P309" s="67" t="str">
        <f t="shared" si="264"/>
        <v>1+1483.25104095141i</v>
      </c>
      <c r="Q309" s="67">
        <f t="shared" si="275"/>
        <v>1483.251378048725</v>
      </c>
      <c r="R309" s="67">
        <f t="shared" si="276"/>
        <v>1.5701221321906942</v>
      </c>
      <c r="S309" s="67" t="str">
        <f t="shared" si="265"/>
        <v>1+2.78851195698866i</v>
      </c>
      <c r="T309" s="67">
        <f t="shared" si="277"/>
        <v>2.9623974976813501</v>
      </c>
      <c r="U309" s="67">
        <f t="shared" si="278"/>
        <v>1.2264680887255681</v>
      </c>
      <c r="V309" t="str">
        <f t="shared" si="266"/>
        <v>1-0.288044092260367i</v>
      </c>
      <c r="W309" s="67">
        <f t="shared" si="279"/>
        <v>1.0406581566903221</v>
      </c>
      <c r="X309" s="67">
        <f t="shared" si="280"/>
        <v>-0.28045230298635937</v>
      </c>
      <c r="Y309" t="str">
        <f t="shared" si="267"/>
        <v>0.984362285254258+0.445240004403186i</v>
      </c>
      <c r="Z309" s="67">
        <f t="shared" si="281"/>
        <v>1.0803739029391324</v>
      </c>
      <c r="AA309" s="67">
        <f t="shared" si="282"/>
        <v>0.42477587619969231</v>
      </c>
      <c r="AB309" s="92" t="str">
        <f t="shared" si="283"/>
        <v>0.0956546953132511-0.166325266185308i</v>
      </c>
      <c r="AC309" s="37">
        <f t="shared" si="284"/>
        <v>-14.33987995861205</v>
      </c>
      <c r="AD309" s="60">
        <f t="shared" si="285"/>
        <v>-60.09652456421373</v>
      </c>
      <c r="AE309" t="str">
        <f t="shared" si="286"/>
        <v>118.329284003155</v>
      </c>
      <c r="AF309" t="str">
        <f t="shared" si="268"/>
        <v>1+1186.60083276113i</v>
      </c>
      <c r="AG309">
        <f t="shared" si="287"/>
        <v>1186.6012541327468</v>
      </c>
      <c r="AH309">
        <f t="shared" si="288"/>
        <v>1.5699535836114671</v>
      </c>
      <c r="AI309" t="str">
        <f t="shared" si="269"/>
        <v>1+2.78851195698866i</v>
      </c>
      <c r="AJ309">
        <f t="shared" si="289"/>
        <v>2.9623974976813501</v>
      </c>
      <c r="AK309">
        <f t="shared" si="290"/>
        <v>1.2264680887255681</v>
      </c>
      <c r="AL309" t="str">
        <f t="shared" si="270"/>
        <v>1-0.194216944273754i</v>
      </c>
      <c r="AM309">
        <f t="shared" si="291"/>
        <v>1.0186855360919946</v>
      </c>
      <c r="AN309">
        <f t="shared" si="292"/>
        <v>-0.19182879583964157</v>
      </c>
      <c r="AO309" s="58" t="str">
        <f t="shared" si="293"/>
        <v>0.258835635880192-0.153509736181632i</v>
      </c>
      <c r="AP309">
        <f t="shared" si="294"/>
        <v>-10.430581886606166</v>
      </c>
      <c r="AQ309" s="60">
        <f t="shared" si="295"/>
        <v>-30.671249571612552</v>
      </c>
      <c r="AR309" t="str">
        <f t="shared" si="271"/>
        <v>-1.94444444444444</v>
      </c>
      <c r="AS309" t="str">
        <f t="shared" si="272"/>
        <v>1+2.8600122635781i</v>
      </c>
      <c r="AT309">
        <f t="shared" si="296"/>
        <v>3.029797047298239</v>
      </c>
      <c r="AU309">
        <f t="shared" si="297"/>
        <v>1.2344343698327036</v>
      </c>
      <c r="AV309" t="str">
        <f t="shared" si="273"/>
        <v>1+2.8600122635781i</v>
      </c>
      <c r="AW309">
        <f t="shared" si="298"/>
        <v>3.029797047298239</v>
      </c>
      <c r="AX309">
        <f t="shared" si="299"/>
        <v>1.2344343698327036</v>
      </c>
      <c r="AY309" t="str">
        <f t="shared" si="274"/>
        <v>1-0.000743933724188375i</v>
      </c>
      <c r="AZ309">
        <f t="shared" si="300"/>
        <v>1.0000002767186547</v>
      </c>
      <c r="BA309">
        <f t="shared" si="301"/>
        <v>-7.4393358694817529E-4</v>
      </c>
      <c r="BB309" s="58" t="str">
        <f t="shared" si="302"/>
        <v>-0.211370048962662+0.605967469983351i</v>
      </c>
      <c r="BC309">
        <f t="shared" si="303"/>
        <v>-3.8523575717211345</v>
      </c>
      <c r="BD309" s="60">
        <f t="shared" si="304"/>
        <v>109.2294962679245</v>
      </c>
      <c r="BE309" s="58" t="str">
        <f t="shared" si="305"/>
        <v>0.0805691631127481+0.0931198133683154i</v>
      </c>
      <c r="BF309" s="37">
        <f t="shared" si="306"/>
        <v>-18.192237530333184</v>
      </c>
      <c r="BG309" s="60">
        <f t="shared" si="307"/>
        <v>49.132971703710766</v>
      </c>
      <c r="BH309" s="58" t="str">
        <f t="shared" si="308"/>
        <v>0.0383118054225173+0.189293335868809i</v>
      </c>
      <c r="BI309" s="37">
        <f t="shared" si="309"/>
        <v>-14.282939458327288</v>
      </c>
      <c r="BJ309" s="60">
        <f t="shared" si="310"/>
        <v>78.558246696311969</v>
      </c>
      <c r="BK309">
        <f t="shared" si="311"/>
        <v>-18.192237530333184</v>
      </c>
      <c r="BL309" s="60">
        <f t="shared" si="312"/>
        <v>49.132971703710766</v>
      </c>
      <c r="BN309">
        <f t="shared" si="313"/>
        <v>0</v>
      </c>
      <c r="BO309">
        <f t="shared" si="314"/>
        <v>0</v>
      </c>
    </row>
    <row r="310" spans="13:67" ht="14.25" x14ac:dyDescent="0.2">
      <c r="M310" s="66">
        <v>92</v>
      </c>
      <c r="N310" s="36">
        <f t="shared" si="315"/>
        <v>8317.6377110267094</v>
      </c>
      <c r="O310" s="91" t="str">
        <f t="shared" si="263"/>
        <v>99.7340425531915</v>
      </c>
      <c r="P310" s="67" t="str">
        <f t="shared" si="264"/>
        <v>1+1517.80039599871i</v>
      </c>
      <c r="Q310" s="67">
        <f t="shared" si="275"/>
        <v>1517.8007254227546</v>
      </c>
      <c r="R310" s="67">
        <f t="shared" si="276"/>
        <v>1.5701374787290094</v>
      </c>
      <c r="S310" s="67" t="str">
        <f t="shared" si="265"/>
        <v>1+2.85346474447758i</v>
      </c>
      <c r="T310" s="67">
        <f t="shared" si="277"/>
        <v>3.0236172125413789</v>
      </c>
      <c r="U310" s="67">
        <f t="shared" si="278"/>
        <v>1.2337196489623199</v>
      </c>
      <c r="V310" t="str">
        <f t="shared" si="266"/>
        <v>1-0.294753501077904i</v>
      </c>
      <c r="W310" s="67">
        <f t="shared" si="279"/>
        <v>1.0425351919228827</v>
      </c>
      <c r="X310" s="67">
        <f t="shared" si="280"/>
        <v>-0.28663656963383982</v>
      </c>
      <c r="Y310" t="str">
        <f t="shared" si="267"/>
        <v>0.983625302463457+0.455610976388832i</v>
      </c>
      <c r="Z310" s="67">
        <f t="shared" si="281"/>
        <v>1.0840203399624531</v>
      </c>
      <c r="AA310" s="67">
        <f t="shared" si="282"/>
        <v>0.43377309644443557</v>
      </c>
      <c r="AB310" s="92" t="str">
        <f t="shared" si="283"/>
        <v>0.0939406319167541-0.166390015366673i</v>
      </c>
      <c r="AC310" s="37">
        <f t="shared" si="284"/>
        <v>-14.375824628701068</v>
      </c>
      <c r="AD310" s="60">
        <f t="shared" si="285"/>
        <v>-60.551755185296166</v>
      </c>
      <c r="AE310" t="str">
        <f t="shared" si="286"/>
        <v>118.329284003155</v>
      </c>
      <c r="AF310" t="str">
        <f t="shared" si="268"/>
        <v>1+1214.24031679897i</v>
      </c>
      <c r="AG310">
        <f t="shared" si="287"/>
        <v>1214.2407285790011</v>
      </c>
      <c r="AH310">
        <f t="shared" si="288"/>
        <v>1.5699727667795673</v>
      </c>
      <c r="AI310" t="str">
        <f t="shared" si="269"/>
        <v>1+2.85346474447758i</v>
      </c>
      <c r="AJ310">
        <f t="shared" si="289"/>
        <v>3.0236172125413789</v>
      </c>
      <c r="AK310">
        <f t="shared" si="290"/>
        <v>1.2337196489623199</v>
      </c>
      <c r="AL310" t="str">
        <f t="shared" si="270"/>
        <v>1-0.198740838057514i</v>
      </c>
      <c r="AM310">
        <f t="shared" si="291"/>
        <v>1.0195577083774134</v>
      </c>
      <c r="AN310">
        <f t="shared" si="292"/>
        <v>-0.19618453455918597</v>
      </c>
      <c r="AO310" s="58" t="str">
        <f t="shared" si="293"/>
        <v>0.258831861760402-0.15250274887285i</v>
      </c>
      <c r="AP310">
        <f t="shared" si="294"/>
        <v>-10.445478759018506</v>
      </c>
      <c r="AQ310" s="60">
        <f t="shared" si="295"/>
        <v>-30.50643033502331</v>
      </c>
      <c r="AR310" t="str">
        <f t="shared" si="271"/>
        <v>-1.94444444444444</v>
      </c>
      <c r="AS310" t="str">
        <f t="shared" si="272"/>
        <v>1+2.92663050715648i</v>
      </c>
      <c r="AT310">
        <f t="shared" si="296"/>
        <v>3.0927602760994901</v>
      </c>
      <c r="AU310">
        <f t="shared" si="297"/>
        <v>1.2415438367899567</v>
      </c>
      <c r="AV310" t="str">
        <f t="shared" si="273"/>
        <v>1+2.92663050715648i</v>
      </c>
      <c r="AW310">
        <f t="shared" si="298"/>
        <v>3.0927602760994901</v>
      </c>
      <c r="AX310">
        <f t="shared" si="299"/>
        <v>1.2415438367899567</v>
      </c>
      <c r="AY310" t="str">
        <f t="shared" si="274"/>
        <v>1-0.000726999725201155i</v>
      </c>
      <c r="AZ310">
        <f t="shared" si="300"/>
        <v>1.0000002642642654</v>
      </c>
      <c r="BA310">
        <f t="shared" si="301"/>
        <v>-7.2699959712114646E-4</v>
      </c>
      <c r="BB310" s="58" t="str">
        <f t="shared" si="302"/>
        <v>-0.202851398832365+0.595084702818946i</v>
      </c>
      <c r="BC310">
        <f t="shared" si="303"/>
        <v>-4.0310120911610028</v>
      </c>
      <c r="BD310" s="60">
        <f t="shared" si="304"/>
        <v>108.82312406283361</v>
      </c>
      <c r="BE310" s="58" t="str">
        <f t="shared" si="305"/>
        <v>0.0799601642550066+0.0896550803956739i</v>
      </c>
      <c r="BF310" s="37">
        <f t="shared" si="306"/>
        <v>-18.406836719862071</v>
      </c>
      <c r="BG310" s="60">
        <f t="shared" si="307"/>
        <v>48.271368877537427</v>
      </c>
      <c r="BH310" s="58" t="str">
        <f t="shared" si="308"/>
        <v>0.0382476477715894+0.184962277470402i</v>
      </c>
      <c r="BI310" s="37">
        <f t="shared" si="309"/>
        <v>-14.476490850179504</v>
      </c>
      <c r="BJ310" s="60">
        <f t="shared" si="310"/>
        <v>78.316693727810332</v>
      </c>
      <c r="BK310">
        <f t="shared" si="311"/>
        <v>-18.406836719862071</v>
      </c>
      <c r="BL310" s="60">
        <f t="shared" si="312"/>
        <v>48.271368877537427</v>
      </c>
      <c r="BN310">
        <f t="shared" si="313"/>
        <v>0</v>
      </c>
      <c r="BO310">
        <f t="shared" si="314"/>
        <v>0</v>
      </c>
    </row>
    <row r="311" spans="13:67" ht="14.25" x14ac:dyDescent="0.2">
      <c r="M311" s="66">
        <v>93</v>
      </c>
      <c r="N311" s="36">
        <f t="shared" si="315"/>
        <v>8511.3803820237772</v>
      </c>
      <c r="O311" s="91" t="str">
        <f t="shared" si="263"/>
        <v>99.7340425531915</v>
      </c>
      <c r="P311" s="67" t="str">
        <f t="shared" si="264"/>
        <v>1+1553.15450890644i</v>
      </c>
      <c r="Q311" s="67">
        <f t="shared" si="275"/>
        <v>1553.1548308318797</v>
      </c>
      <c r="R311" s="67">
        <f t="shared" si="276"/>
        <v>1.5701524759377641</v>
      </c>
      <c r="S311" s="67" t="str">
        <f t="shared" si="265"/>
        <v>1+2.9199304767441i</v>
      </c>
      <c r="T311" s="67">
        <f t="shared" si="277"/>
        <v>3.0864209027640781</v>
      </c>
      <c r="U311" s="67">
        <f t="shared" si="278"/>
        <v>1.2408419365359937</v>
      </c>
      <c r="V311" t="str">
        <f t="shared" si="266"/>
        <v>1-0.301619192103237i</v>
      </c>
      <c r="W311" s="67">
        <f t="shared" si="279"/>
        <v>1.0444970737369299</v>
      </c>
      <c r="X311" s="67">
        <f t="shared" si="280"/>
        <v>-0.29294162901325072</v>
      </c>
      <c r="Y311" t="str">
        <f t="shared" si="267"/>
        <v>0.982853586743787+0.466223519344884i</v>
      </c>
      <c r="Z311" s="67">
        <f t="shared" si="281"/>
        <v>1.0878260628268914</v>
      </c>
      <c r="AA311" s="67">
        <f t="shared" si="282"/>
        <v>0.44292360904292227</v>
      </c>
      <c r="AB311" s="92" t="str">
        <f t="shared" si="283"/>
        <v>0.0921703603733093-0.166485778038845i</v>
      </c>
      <c r="AC311" s="37">
        <f t="shared" si="284"/>
        <v>-14.411368191159672</v>
      </c>
      <c r="AD311" s="60">
        <f t="shared" si="285"/>
        <v>-61.030076487906413</v>
      </c>
      <c r="AE311" t="str">
        <f t="shared" si="286"/>
        <v>118.329284003155</v>
      </c>
      <c r="AF311" t="str">
        <f t="shared" si="268"/>
        <v>1+1242.52360712515i</v>
      </c>
      <c r="AG311">
        <f t="shared" si="287"/>
        <v>1242.5240095319261</v>
      </c>
      <c r="AH311">
        <f t="shared" si="288"/>
        <v>1.5699915132860367</v>
      </c>
      <c r="AI311" t="str">
        <f t="shared" si="269"/>
        <v>1+2.9199304767441i</v>
      </c>
      <c r="AJ311">
        <f t="shared" si="289"/>
        <v>3.0864209027640781</v>
      </c>
      <c r="AK311">
        <f t="shared" si="290"/>
        <v>1.2408419365359937</v>
      </c>
      <c r="AL311" t="str">
        <f t="shared" si="270"/>
        <v>1-0.203370106864258i</v>
      </c>
      <c r="AM311">
        <f t="shared" si="291"/>
        <v>1.020470185927046</v>
      </c>
      <c r="AN311">
        <f t="shared" si="292"/>
        <v>-0.20063393710747357</v>
      </c>
      <c r="AO311" s="58" t="str">
        <f t="shared" si="293"/>
        <v>0.258828257503759-0.151576620260273i</v>
      </c>
      <c r="AP311">
        <f t="shared" si="294"/>
        <v>-10.45914160671439</v>
      </c>
      <c r="AQ311" s="60">
        <f t="shared" si="295"/>
        <v>-30.35435939964626</v>
      </c>
      <c r="AR311" t="str">
        <f t="shared" si="271"/>
        <v>-1.94444444444444</v>
      </c>
      <c r="AS311" t="str">
        <f t="shared" si="272"/>
        <v>1+2.9948004889683i</v>
      </c>
      <c r="AT311">
        <f t="shared" si="296"/>
        <v>3.1573453990219016</v>
      </c>
      <c r="AU311">
        <f t="shared" si="297"/>
        <v>1.2485250090276199</v>
      </c>
      <c r="AV311" t="str">
        <f t="shared" si="273"/>
        <v>1+2.9948004889683i</v>
      </c>
      <c r="AW311">
        <f t="shared" si="298"/>
        <v>3.1573453990219016</v>
      </c>
      <c r="AX311">
        <f t="shared" si="299"/>
        <v>1.2485250090276199</v>
      </c>
      <c r="AY311" t="str">
        <f t="shared" si="274"/>
        <v>1-0.000710451191091214i</v>
      </c>
      <c r="AZ311">
        <f t="shared" si="300"/>
        <v>1.0000002523704157</v>
      </c>
      <c r="BA311">
        <f t="shared" si="301"/>
        <v>-7.1045107155999357E-4</v>
      </c>
      <c r="BB311" s="58" t="str">
        <f t="shared" si="302"/>
        <v>-0.1946374183021+0.584281668374224i</v>
      </c>
      <c r="BC311">
        <f t="shared" si="303"/>
        <v>-4.2105289090796303</v>
      </c>
      <c r="BD311" s="60">
        <f t="shared" si="304"/>
        <v>108.42408051823341</v>
      </c>
      <c r="BE311" s="58" t="str">
        <f t="shared" si="305"/>
        <v>0.079334787166082+0.0862578139550679i</v>
      </c>
      <c r="BF311" s="37">
        <f t="shared" si="306"/>
        <v>-18.621897100239305</v>
      </c>
      <c r="BG311" s="60">
        <f t="shared" si="307"/>
        <v>47.394004030326997</v>
      </c>
      <c r="BH311" s="58" t="str">
        <f t="shared" si="308"/>
        <v>0.0381857767480357+0.180731088159107i</v>
      </c>
      <c r="BI311" s="37">
        <f t="shared" si="309"/>
        <v>-14.669670515794015</v>
      </c>
      <c r="BJ311" s="60">
        <f t="shared" si="310"/>
        <v>78.069721118587168</v>
      </c>
      <c r="BK311">
        <f t="shared" si="311"/>
        <v>-18.621897100239305</v>
      </c>
      <c r="BL311" s="60">
        <f t="shared" si="312"/>
        <v>47.394004030326997</v>
      </c>
      <c r="BN311">
        <f t="shared" si="313"/>
        <v>0</v>
      </c>
      <c r="BO311">
        <f t="shared" si="314"/>
        <v>0</v>
      </c>
    </row>
    <row r="312" spans="13:67" ht="14.25" x14ac:dyDescent="0.2">
      <c r="M312" s="66">
        <v>94</v>
      </c>
      <c r="N312" s="36">
        <f t="shared" si="315"/>
        <v>8709.6358995608189</v>
      </c>
      <c r="O312" s="91" t="str">
        <f t="shared" si="263"/>
        <v>99.7340425531915</v>
      </c>
      <c r="P312" s="67" t="str">
        <f t="shared" si="264"/>
        <v>1+1589.33212489321i</v>
      </c>
      <c r="Q312" s="67">
        <f t="shared" si="275"/>
        <v>1589.3324394907333</v>
      </c>
      <c r="R312" s="67">
        <f t="shared" si="276"/>
        <v>1.5701671317686494</v>
      </c>
      <c r="S312" s="67" t="str">
        <f t="shared" si="265"/>
        <v>1+2.98794439479924i</v>
      </c>
      <c r="T312" s="67">
        <f t="shared" si="277"/>
        <v>3.1508430151964406</v>
      </c>
      <c r="U312" s="67">
        <f t="shared" si="278"/>
        <v>1.247835836513667</v>
      </c>
      <c r="V312" t="str">
        <f t="shared" si="266"/>
        <v>1-0.308644805616625i</v>
      </c>
      <c r="W312" s="67">
        <f t="shared" si="279"/>
        <v>1.0465474743336416</v>
      </c>
      <c r="X312" s="67">
        <f t="shared" si="280"/>
        <v>-0.29936881819816269</v>
      </c>
      <c r="Y312" t="str">
        <f t="shared" si="267"/>
        <v>0.982045501182741+0.47708326018209i</v>
      </c>
      <c r="Z312" s="67">
        <f t="shared" si="281"/>
        <v>1.0917975103192135</v>
      </c>
      <c r="AA312" s="67">
        <f t="shared" si="282"/>
        <v>0.45222778972968214</v>
      </c>
      <c r="AB312" s="92" t="str">
        <f t="shared" si="283"/>
        <v>0.0903430249739949-0.166609777335158i</v>
      </c>
      <c r="AC312" s="37">
        <f t="shared" si="284"/>
        <v>-14.446554496847355</v>
      </c>
      <c r="AD312" s="60">
        <f t="shared" si="285"/>
        <v>-61.531536353710067</v>
      </c>
      <c r="AE312" t="str">
        <f t="shared" si="286"/>
        <v>118.329284003155</v>
      </c>
      <c r="AF312" t="str">
        <f t="shared" si="268"/>
        <v>1+1271.46569991457i</v>
      </c>
      <c r="AG312">
        <f t="shared" si="287"/>
        <v>1271.4660931614526</v>
      </c>
      <c r="AH312">
        <f t="shared" si="288"/>
        <v>1.5700098330704679</v>
      </c>
      <c r="AI312" t="str">
        <f t="shared" si="269"/>
        <v>1+2.98794439479924i</v>
      </c>
      <c r="AJ312">
        <f t="shared" si="289"/>
        <v>3.1508430151964406</v>
      </c>
      <c r="AK312">
        <f t="shared" si="290"/>
        <v>1.247835836513667</v>
      </c>
      <c r="AL312" t="str">
        <f t="shared" si="270"/>
        <v>1-0.208107205193583i</v>
      </c>
      <c r="AM312">
        <f t="shared" si="291"/>
        <v>1.0214247935376759</v>
      </c>
      <c r="AN312">
        <f t="shared" si="292"/>
        <v>-0.20517865759650575</v>
      </c>
      <c r="AO312" s="58" t="str">
        <f t="shared" si="293"/>
        <v>0.258824815465182-0.150730859316932i</v>
      </c>
      <c r="AP312">
        <f t="shared" si="294"/>
        <v>-10.471587703133469</v>
      </c>
      <c r="AQ312" s="60">
        <f t="shared" si="295"/>
        <v>-30.215081398006603</v>
      </c>
      <c r="AR312" t="str">
        <f t="shared" si="271"/>
        <v>-1.94444444444444</v>
      </c>
      <c r="AS312" t="str">
        <f t="shared" si="272"/>
        <v>1+3.06455835364024i</v>
      </c>
      <c r="AT312">
        <f t="shared" si="296"/>
        <v>3.2235877377335611</v>
      </c>
      <c r="AU312">
        <f t="shared" si="297"/>
        <v>1.2553788652375464</v>
      </c>
      <c r="AV312" t="str">
        <f t="shared" si="273"/>
        <v>1+3.06455835364024i</v>
      </c>
      <c r="AW312">
        <f t="shared" si="298"/>
        <v>3.2235877377335611</v>
      </c>
      <c r="AX312">
        <f t="shared" si="299"/>
        <v>1.2553788652375464</v>
      </c>
      <c r="AY312" t="str">
        <f t="shared" si="274"/>
        <v>1-0.000694279347606724i</v>
      </c>
      <c r="AZ312">
        <f t="shared" si="300"/>
        <v>1.0000002410118771</v>
      </c>
      <c r="BA312">
        <f t="shared" si="301"/>
        <v>-6.9427923605369689E-4</v>
      </c>
      <c r="BB312" s="58" t="str">
        <f t="shared" si="302"/>
        <v>-0.186720298876647+0.573565239336976i</v>
      </c>
      <c r="BC312">
        <f t="shared" si="303"/>
        <v>-4.3908770233033874</v>
      </c>
      <c r="BD312" s="60">
        <f t="shared" si="304"/>
        <v>108.03231006193664</v>
      </c>
      <c r="BE312" s="58" t="str">
        <f t="shared" si="305"/>
        <v>0.0786927001885555+0.0829270461614281i</v>
      </c>
      <c r="BF312" s="37">
        <f t="shared" si="306"/>
        <v>-18.837431520150744</v>
      </c>
      <c r="BG312" s="60">
        <f t="shared" si="307"/>
        <v>46.500773708226575</v>
      </c>
      <c r="BH312" s="58" t="str">
        <f t="shared" si="308"/>
        <v>0.0381261344992324+0.176597428330227i</v>
      </c>
      <c r="BI312" s="37">
        <f t="shared" si="309"/>
        <v>-14.862464726436862</v>
      </c>
      <c r="BJ312" s="60">
        <f t="shared" si="310"/>
        <v>77.817228663930038</v>
      </c>
      <c r="BK312">
        <f t="shared" si="311"/>
        <v>-18.837431520150744</v>
      </c>
      <c r="BL312" s="60">
        <f t="shared" si="312"/>
        <v>46.500773708226575</v>
      </c>
      <c r="BN312">
        <f t="shared" si="313"/>
        <v>0</v>
      </c>
      <c r="BO312">
        <f t="shared" si="314"/>
        <v>0</v>
      </c>
    </row>
    <row r="313" spans="13:67" ht="14.25" x14ac:dyDescent="0.2">
      <c r="M313" s="66">
        <v>95</v>
      </c>
      <c r="N313" s="36">
        <f t="shared" si="315"/>
        <v>8912.5093813374679</v>
      </c>
      <c r="O313" s="91" t="str">
        <f t="shared" si="263"/>
        <v>99.7340425531915</v>
      </c>
      <c r="P313" s="67" t="str">
        <f t="shared" si="264"/>
        <v>1+1626.35242580991i</v>
      </c>
      <c r="Q313" s="67">
        <f t="shared" si="275"/>
        <v>1626.3527332463211</v>
      </c>
      <c r="R313" s="67">
        <f t="shared" si="276"/>
        <v>1.5701814539923555</v>
      </c>
      <c r="S313" s="67" t="str">
        <f t="shared" si="265"/>
        <v>1+3.05754256052262i</v>
      </c>
      <c r="T313" s="67">
        <f t="shared" si="277"/>
        <v>3.2169187912359898</v>
      </c>
      <c r="U313" s="67">
        <f t="shared" si="278"/>
        <v>1.254702319418542</v>
      </c>
      <c r="V313" t="str">
        <f t="shared" si="266"/>
        <v>1-0.315834066691348i</v>
      </c>
      <c r="W313" s="67">
        <f t="shared" si="279"/>
        <v>1.0486902105401741</v>
      </c>
      <c r="X313" s="67">
        <f t="shared" si="280"/>
        <v>-0.30591942019435808</v>
      </c>
      <c r="Y313" t="str">
        <f t="shared" si="267"/>
        <v>0.981199331722502+0.488195956878789i</v>
      </c>
      <c r="Z313" s="67">
        <f t="shared" si="281"/>
        <v>1.0959413400750428</v>
      </c>
      <c r="AA313" s="67">
        <f t="shared" si="282"/>
        <v>0.46168587622048252</v>
      </c>
      <c r="AB313" s="92" t="str">
        <f t="shared" si="283"/>
        <v>0.0884578399299615-0.166759163753983i</v>
      </c>
      <c r="AC313" s="37">
        <f t="shared" si="284"/>
        <v>-14.481426377655959</v>
      </c>
      <c r="AD313" s="60">
        <f t="shared" si="285"/>
        <v>-62.056166751978196</v>
      </c>
      <c r="AE313" t="str">
        <f t="shared" si="286"/>
        <v>118.329284003155</v>
      </c>
      <c r="AF313" t="str">
        <f t="shared" si="268"/>
        <v>1+1301.08194064792i</v>
      </c>
      <c r="AG313">
        <f t="shared" si="287"/>
        <v>1301.0823249434134</v>
      </c>
      <c r="AH313">
        <f t="shared" si="288"/>
        <v>1.570027735846204</v>
      </c>
      <c r="AI313" t="str">
        <f t="shared" si="269"/>
        <v>1+3.05754256052262i</v>
      </c>
      <c r="AJ313">
        <f t="shared" si="289"/>
        <v>3.2169187912359898</v>
      </c>
      <c r="AK313">
        <f t="shared" si="290"/>
        <v>1.254702319418542</v>
      </c>
      <c r="AL313" t="str">
        <f t="shared" si="270"/>
        <v>1-0.212954644717727i</v>
      </c>
      <c r="AM313">
        <f t="shared" si="291"/>
        <v>1.0224234351318702</v>
      </c>
      <c r="AN313">
        <f t="shared" si="292"/>
        <v>-0.20982035439257191</v>
      </c>
      <c r="AO313" s="58" t="str">
        <f t="shared" si="293"/>
        <v>0.258821528343673-0.149965017626612i</v>
      </c>
      <c r="AP313">
        <f t="shared" si="294"/>
        <v>-10.482832947070245</v>
      </c>
      <c r="AQ313" s="60">
        <f t="shared" si="295"/>
        <v>-30.088636297143665</v>
      </c>
      <c r="AR313" t="str">
        <f t="shared" si="271"/>
        <v>-1.94444444444444</v>
      </c>
      <c r="AS313" t="str">
        <f t="shared" si="272"/>
        <v>1+3.1359410877155i</v>
      </c>
      <c r="AT313">
        <f t="shared" si="296"/>
        <v>3.291523432336807</v>
      </c>
      <c r="AU313">
        <f t="shared" si="297"/>
        <v>1.2621064628525771</v>
      </c>
      <c r="AV313" t="str">
        <f t="shared" si="273"/>
        <v>1+3.1359410877155i</v>
      </c>
      <c r="AW313">
        <f t="shared" si="298"/>
        <v>3.291523432336807</v>
      </c>
      <c r="AX313">
        <f t="shared" si="299"/>
        <v>1.2621064628525771</v>
      </c>
      <c r="AY313" t="str">
        <f t="shared" si="274"/>
        <v>1-0.000678475620222208i</v>
      </c>
      <c r="AZ313">
        <f t="shared" si="300"/>
        <v>1.0000002301645572</v>
      </c>
      <c r="BA313">
        <f t="shared" si="301"/>
        <v>-6.7847551611486439E-4</v>
      </c>
      <c r="BB313" s="58" t="str">
        <f t="shared" si="302"/>
        <v>-0.179092179475502+0.562941782256177i</v>
      </c>
      <c r="BC313">
        <f t="shared" si="303"/>
        <v>-4.5720262394584665</v>
      </c>
      <c r="BD313" s="60">
        <f t="shared" si="304"/>
        <v>107.64775259878618</v>
      </c>
      <c r="BE313" s="58" t="str">
        <f t="shared" si="305"/>
        <v>0.078033593506465+0.0796618761489171i</v>
      </c>
      <c r="BF313" s="37">
        <f t="shared" si="306"/>
        <v>-19.053452617114424</v>
      </c>
      <c r="BG313" s="60">
        <f t="shared" si="307"/>
        <v>45.591585846807988</v>
      </c>
      <c r="BH313" s="58" t="str">
        <f t="shared" si="308"/>
        <v>0.0380686626925551+0.172559014303887i</v>
      </c>
      <c r="BI313" s="37">
        <f t="shared" si="309"/>
        <v>-15.054859186528704</v>
      </c>
      <c r="BJ313" s="60">
        <f t="shared" si="310"/>
        <v>77.559116301642561</v>
      </c>
      <c r="BK313">
        <f t="shared" si="311"/>
        <v>-19.053452617114424</v>
      </c>
      <c r="BL313" s="60">
        <f t="shared" si="312"/>
        <v>45.591585846807988</v>
      </c>
      <c r="BN313">
        <f t="shared" si="313"/>
        <v>0</v>
      </c>
      <c r="BO313">
        <f t="shared" si="314"/>
        <v>0</v>
      </c>
    </row>
    <row r="314" spans="13:67" ht="14.25" x14ac:dyDescent="0.2">
      <c r="M314" s="66">
        <v>96</v>
      </c>
      <c r="N314" s="36">
        <f t="shared" si="315"/>
        <v>9120.1083935591087</v>
      </c>
      <c r="O314" s="91" t="str">
        <f t="shared" si="263"/>
        <v>99.7340425531915</v>
      </c>
      <c r="P314" s="67" t="str">
        <f t="shared" si="264"/>
        <v>1+1664.23504031008i</v>
      </c>
      <c r="Q314" s="67">
        <f t="shared" si="275"/>
        <v>1664.2353407483852</v>
      </c>
      <c r="R314" s="67">
        <f t="shared" si="276"/>
        <v>1.570195450202692</v>
      </c>
      <c r="S314" s="67" t="str">
        <f t="shared" si="265"/>
        <v>1+3.12876187578295i</v>
      </c>
      <c r="T314" s="67">
        <f t="shared" si="277"/>
        <v>3.284684288535634</v>
      </c>
      <c r="U314" s="67">
        <f t="shared" si="278"/>
        <v>1.2614424351140217</v>
      </c>
      <c r="V314" t="str">
        <f t="shared" si="266"/>
        <v>1-0.323190787168789i</v>
      </c>
      <c r="W314" s="67">
        <f t="shared" si="279"/>
        <v>1.050929248289713</v>
      </c>
      <c r="X314" s="67">
        <f t="shared" si="280"/>
        <v>-0.31259465869772651</v>
      </c>
      <c r="Y314" t="str">
        <f t="shared" si="267"/>
        <v>0.980313283524197+0.499567501533862i</v>
      </c>
      <c r="Z314" s="67">
        <f t="shared" si="281"/>
        <v>1.1002644329627209</v>
      </c>
      <c r="AA314" s="67">
        <f t="shared" si="282"/>
        <v>0.47129796170423705</v>
      </c>
      <c r="AB314" s="92" t="str">
        <f t="shared" si="283"/>
        <v>0.086514096593229-0.166931016094154i</v>
      </c>
      <c r="AC314" s="37">
        <f t="shared" si="284"/>
        <v>-14.516025589364192</v>
      </c>
      <c r="AD314" s="60">
        <f t="shared" si="285"/>
        <v>-62.603983417003171</v>
      </c>
      <c r="AE314" t="str">
        <f t="shared" si="286"/>
        <v>118.329284003155</v>
      </c>
      <c r="AF314" t="str">
        <f t="shared" si="268"/>
        <v>1+1331.38803224807i</v>
      </c>
      <c r="AG314">
        <f t="shared" si="287"/>
        <v>1331.3884077959324</v>
      </c>
      <c r="AH314">
        <f t="shared" si="288"/>
        <v>1.570045231105488</v>
      </c>
      <c r="AI314" t="str">
        <f t="shared" si="269"/>
        <v>1+3.12876187578295i</v>
      </c>
      <c r="AJ314">
        <f t="shared" si="289"/>
        <v>3.284684288535634</v>
      </c>
      <c r="AK314">
        <f t="shared" si="290"/>
        <v>1.2614424351140217</v>
      </c>
      <c r="AL314" t="str">
        <f t="shared" si="270"/>
        <v>1-0.217914995613288i</v>
      </c>
      <c r="AM314">
        <f t="shared" si="291"/>
        <v>1.0234680968711918</v>
      </c>
      <c r="AN314">
        <f t="shared" si="292"/>
        <v>-0.21456068815555179</v>
      </c>
      <c r="AO314" s="58" t="str">
        <f t="shared" si="293"/>
        <v>0.258818389166829-0.149278689146181i</v>
      </c>
      <c r="AP314">
        <f t="shared" si="294"/>
        <v>-10.492891838437078</v>
      </c>
      <c r="AQ314" s="60">
        <f t="shared" si="295"/>
        <v>-29.975059636983524</v>
      </c>
      <c r="AR314" t="str">
        <f t="shared" si="271"/>
        <v>-1.94444444444444</v>
      </c>
      <c r="AS314" t="str">
        <f t="shared" si="272"/>
        <v>1+3.20898653926456i</v>
      </c>
      <c r="AT314">
        <f t="shared" si="296"/>
        <v>3.3611894634461081</v>
      </c>
      <c r="AU314">
        <f t="shared" si="297"/>
        <v>1.2687089321269911</v>
      </c>
      <c r="AV314" t="str">
        <f t="shared" si="273"/>
        <v>1+3.20898653926456i</v>
      </c>
      <c r="AW314">
        <f t="shared" si="298"/>
        <v>3.3611894634461081</v>
      </c>
      <c r="AX314">
        <f t="shared" si="299"/>
        <v>1.2687089321269911</v>
      </c>
      <c r="AY314" t="str">
        <f t="shared" si="274"/>
        <v>1-0.000663031629592221i</v>
      </c>
      <c r="AZ314">
        <f t="shared" si="300"/>
        <v>1.0000002198054467</v>
      </c>
      <c r="BA314">
        <f t="shared" si="301"/>
        <v>-6.6303153243359365E-4</v>
      </c>
      <c r="BB314" s="58" t="str">
        <f t="shared" si="302"/>
        <v>-0.171745171934952+0.552417173091589i</v>
      </c>
      <c r="BC314">
        <f t="shared" si="303"/>
        <v>-4.7539471750604303</v>
      </c>
      <c r="BD314" s="60">
        <f t="shared" si="304"/>
        <v>107.27034385008128</v>
      </c>
      <c r="BE314" s="58" t="str">
        <f t="shared" si="305"/>
        <v>0.0773571816178379+0.076461468732971i</v>
      </c>
      <c r="BF314" s="37">
        <f t="shared" si="306"/>
        <v>-19.269972764424626</v>
      </c>
      <c r="BG314" s="60">
        <f t="shared" si="307"/>
        <v>44.666360433078147</v>
      </c>
      <c r="BH314" s="58" t="str">
        <f t="shared" si="308"/>
        <v>0.038013302713567+0.168613617021294i</v>
      </c>
      <c r="BI314" s="37">
        <f t="shared" si="309"/>
        <v>-15.246839013497485</v>
      </c>
      <c r="BJ314" s="60">
        <f t="shared" si="310"/>
        <v>77.295284213097801</v>
      </c>
      <c r="BK314">
        <f t="shared" si="311"/>
        <v>-19.269972764424626</v>
      </c>
      <c r="BL314" s="60">
        <f t="shared" si="312"/>
        <v>44.666360433078147</v>
      </c>
      <c r="BN314">
        <f t="shared" si="313"/>
        <v>0</v>
      </c>
      <c r="BO314">
        <f t="shared" si="314"/>
        <v>0</v>
      </c>
    </row>
    <row r="315" spans="13:67" ht="14.25" x14ac:dyDescent="0.2">
      <c r="M315" s="66">
        <v>97</v>
      </c>
      <c r="N315" s="36">
        <f t="shared" si="315"/>
        <v>9332.5430079699217</v>
      </c>
      <c r="O315" s="91" t="str">
        <f t="shared" si="263"/>
        <v>99.7340425531915</v>
      </c>
      <c r="P315" s="67" t="str">
        <f t="shared" si="264"/>
        <v>1+1703.00005425739i</v>
      </c>
      <c r="Q315" s="67">
        <f t="shared" si="275"/>
        <v>1703.0003478568858</v>
      </c>
      <c r="R315" s="67">
        <f t="shared" si="276"/>
        <v>1.5702091278206125</v>
      </c>
      <c r="S315" s="67" t="str">
        <f t="shared" si="265"/>
        <v>1+3.20164010200388i</v>
      </c>
      <c r="T315" s="67">
        <f t="shared" si="277"/>
        <v>3.3541764030473131</v>
      </c>
      <c r="U315" s="67">
        <f t="shared" si="278"/>
        <v>1.2680573068658327</v>
      </c>
      <c r="V315" t="str">
        <f t="shared" si="266"/>
        <v>1-0.330718867679522i</v>
      </c>
      <c r="W315" s="67">
        <f t="shared" si="279"/>
        <v>1.053268707139458</v>
      </c>
      <c r="X315" s="67">
        <f t="shared" si="280"/>
        <v>-0.31939569264612061</v>
      </c>
      <c r="Y315" t="str">
        <f t="shared" si="267"/>
        <v>0.979385477160803+0.511203923490806i</v>
      </c>
      <c r="Z315" s="67">
        <f t="shared" si="281"/>
        <v>1.1047738973499908</v>
      </c>
      <c r="AA315" s="67">
        <f t="shared" si="282"/>
        <v>0.48106398846422971</v>
      </c>
      <c r="AB315" s="92" t="str">
        <f t="shared" si="283"/>
        <v>0.0845111708288481-0.167122342959847i</v>
      </c>
      <c r="AC315" s="37">
        <f t="shared" si="284"/>
        <v>-14.550392754568854</v>
      </c>
      <c r="AD315" s="60">
        <f t="shared" si="285"/>
        <v>-63.174985510912265</v>
      </c>
      <c r="AE315" t="str">
        <f t="shared" si="286"/>
        <v>118.329284003155</v>
      </c>
      <c r="AF315" t="str">
        <f t="shared" si="268"/>
        <v>1+1362.40004340591i</v>
      </c>
      <c r="AG315">
        <f t="shared" si="287"/>
        <v>1362.4004104052619</v>
      </c>
      <c r="AH315">
        <f t="shared" si="288"/>
        <v>1.5700623281244948</v>
      </c>
      <c r="AI315" t="str">
        <f t="shared" si="269"/>
        <v>1+3.20164010200388i</v>
      </c>
      <c r="AJ315">
        <f t="shared" si="289"/>
        <v>3.3541764030473131</v>
      </c>
      <c r="AK315">
        <f t="shared" si="290"/>
        <v>1.2680573068658327</v>
      </c>
      <c r="AL315" t="str">
        <f t="shared" si="270"/>
        <v>1-0.222990887923969i</v>
      </c>
      <c r="AM315">
        <f t="shared" si="291"/>
        <v>1.0245608503632764</v>
      </c>
      <c r="AN315">
        <f t="shared" si="292"/>
        <v>-0.21940131972803284</v>
      </c>
      <c r="AO315" s="58" t="str">
        <f t="shared" si="293"/>
        <v>0.258815391276063-0.148671509990378i</v>
      </c>
      <c r="AP315">
        <f t="shared" si="294"/>
        <v>-10.501777456785032</v>
      </c>
      <c r="AQ315" s="60">
        <f t="shared" si="295"/>
        <v>-29.874382749896835</v>
      </c>
      <c r="AR315" t="str">
        <f t="shared" si="271"/>
        <v>-1.94444444444444</v>
      </c>
      <c r="AS315" t="str">
        <f t="shared" si="272"/>
        <v>1+3.28373343795269i</v>
      </c>
      <c r="AT315">
        <f t="shared" si="296"/>
        <v>3.4326236746151753</v>
      </c>
      <c r="AU315">
        <f t="shared" si="297"/>
        <v>1.2751874704063451</v>
      </c>
      <c r="AV315" t="str">
        <f t="shared" si="273"/>
        <v>1+3.28373343795269i</v>
      </c>
      <c r="AW315">
        <f t="shared" si="298"/>
        <v>3.4326236746151753</v>
      </c>
      <c r="AX315">
        <f t="shared" si="299"/>
        <v>1.2751874704063451</v>
      </c>
      <c r="AY315" t="str">
        <f t="shared" si="274"/>
        <v>1-0.000647939187108505i</v>
      </c>
      <c r="AZ315">
        <f t="shared" si="300"/>
        <v>1.0000002099125731</v>
      </c>
      <c r="BA315">
        <f t="shared" si="301"/>
        <v>-6.4793909643479693E-4</v>
      </c>
      <c r="BB315" s="58" t="str">
        <f t="shared" si="302"/>
        <v>-0.164671384569321+0.541996813536958i</v>
      </c>
      <c r="BC315">
        <f t="shared" si="303"/>
        <v>-4.9366112610754795</v>
      </c>
      <c r="BD315" s="60">
        <f t="shared" si="304"/>
        <v>106.90001568214559</v>
      </c>
      <c r="BE315" s="58" t="str">
        <f t="shared" si="305"/>
        <v>0.0766632058431069+0.0733250529051801i</v>
      </c>
      <c r="BF315" s="37">
        <f t="shared" si="306"/>
        <v>-19.487004015644334</v>
      </c>
      <c r="BG315" s="60">
        <f t="shared" si="307"/>
        <v>43.725030171233342</v>
      </c>
      <c r="BH315" s="58" t="str">
        <f t="shared" si="308"/>
        <v>0.037959995849233+0.164759060762074i</v>
      </c>
      <c r="BI315" s="37">
        <f t="shared" si="309"/>
        <v>-15.43838871786053</v>
      </c>
      <c r="BJ315" s="60">
        <f t="shared" si="310"/>
        <v>77.025632932248755</v>
      </c>
      <c r="BK315">
        <f t="shared" si="311"/>
        <v>-19.487004015644334</v>
      </c>
      <c r="BL315" s="60">
        <f t="shared" si="312"/>
        <v>43.725030171233342</v>
      </c>
      <c r="BN315">
        <f t="shared" si="313"/>
        <v>0</v>
      </c>
      <c r="BO315">
        <f t="shared" si="314"/>
        <v>0</v>
      </c>
    </row>
    <row r="316" spans="13:67" ht="14.25" x14ac:dyDescent="0.2">
      <c r="M316" s="66">
        <v>98</v>
      </c>
      <c r="N316" s="36">
        <f t="shared" si="315"/>
        <v>9549.9258602143691</v>
      </c>
      <c r="O316" s="91" t="str">
        <f t="shared" si="263"/>
        <v>99.7340425531915</v>
      </c>
      <c r="P316" s="67" t="str">
        <f t="shared" si="264"/>
        <v>1+1742.66802137533i</v>
      </c>
      <c r="Q316" s="67">
        <f t="shared" si="275"/>
        <v>1742.6683082916861</v>
      </c>
      <c r="R316" s="67">
        <f t="shared" si="276"/>
        <v>1.5702224940981506</v>
      </c>
      <c r="S316" s="67" t="str">
        <f t="shared" si="265"/>
        <v>1+3.27621588018561i</v>
      </c>
      <c r="T316" s="67">
        <f t="shared" si="277"/>
        <v>3.4254328914139265</v>
      </c>
      <c r="U316" s="67">
        <f t="shared" si="278"/>
        <v>1.2745481255926161</v>
      </c>
      <c r="V316" t="str">
        <f t="shared" si="266"/>
        <v>1-0.338422299711481i</v>
      </c>
      <c r="W316" s="67">
        <f t="shared" si="279"/>
        <v>1.0557128648178953</v>
      </c>
      <c r="X316" s="67">
        <f t="shared" si="280"/>
        <v>-0.32632361057076981</v>
      </c>
      <c r="Y316" t="str">
        <f t="shared" si="267"/>
        <v>0.978413944630629+0.523111392534568i</v>
      </c>
      <c r="Z316" s="67">
        <f t="shared" si="281"/>
        <v>1.1094770732408681</v>
      </c>
      <c r="AA316" s="67">
        <f t="shared" si="282"/>
        <v>0.49098374167260805</v>
      </c>
      <c r="AB316" s="92" t="str">
        <f t="shared" si="283"/>
        <v>0.082448530497379-0.167330084869454i</v>
      </c>
      <c r="AC316" s="37">
        <f t="shared" si="284"/>
        <v>-14.584567305596707</v>
      </c>
      <c r="AD316" s="60">
        <f t="shared" si="285"/>
        <v>-63.76915527412072</v>
      </c>
      <c r="AE316" t="str">
        <f t="shared" si="286"/>
        <v>118.329284003155</v>
      </c>
      <c r="AF316" t="str">
        <f t="shared" si="268"/>
        <v>1+1394.13441710026i</v>
      </c>
      <c r="AG316">
        <f t="shared" si="287"/>
        <v>1394.1347757456886</v>
      </c>
      <c r="AH316">
        <f t="shared" si="288"/>
        <v>1.5700790359682504</v>
      </c>
      <c r="AI316" t="str">
        <f t="shared" si="269"/>
        <v>1+3.27621588018561i</v>
      </c>
      <c r="AJ316">
        <f t="shared" si="289"/>
        <v>3.4254328914139265</v>
      </c>
      <c r="AK316">
        <f t="shared" si="290"/>
        <v>1.2745481255926161</v>
      </c>
      <c r="AL316" t="str">
        <f t="shared" si="270"/>
        <v>1-0.22818501295506i</v>
      </c>
      <c r="AM316">
        <f t="shared" si="291"/>
        <v>1.0257038559629679</v>
      </c>
      <c r="AN316">
        <f t="shared" si="292"/>
        <v>-0.22434390786768521</v>
      </c>
      <c r="AO316" s="58" t="str">
        <f t="shared" si="293"/>
        <v>0.258812528312467-0.148143158238945i</v>
      </c>
      <c r="AP316">
        <f t="shared" si="294"/>
        <v>-10.509501442441049</v>
      </c>
      <c r="AQ316" s="60">
        <f t="shared" si="295"/>
        <v>-29.786632960472868</v>
      </c>
      <c r="AR316" t="str">
        <f t="shared" si="271"/>
        <v>-1.94444444444444</v>
      </c>
      <c r="AS316" t="str">
        <f t="shared" si="272"/>
        <v>1+3.36022141557498i</v>
      </c>
      <c r="AT316">
        <f t="shared" si="296"/>
        <v>3.5058647951238395</v>
      </c>
      <c r="AU316">
        <f t="shared" si="297"/>
        <v>1.2815433365949038</v>
      </c>
      <c r="AV316" t="str">
        <f t="shared" si="273"/>
        <v>1+3.36022141557498i</v>
      </c>
      <c r="AW316">
        <f t="shared" si="298"/>
        <v>3.5058647951238395</v>
      </c>
      <c r="AX316">
        <f t="shared" si="299"/>
        <v>1.2815433365949038</v>
      </c>
      <c r="AY316" t="str">
        <f t="shared" si="274"/>
        <v>1-0.000633190290558282i</v>
      </c>
      <c r="AZ316">
        <f t="shared" si="300"/>
        <v>1.000000200464952</v>
      </c>
      <c r="BA316">
        <f t="shared" si="301"/>
        <v>-6.3319020593665309E-4</v>
      </c>
      <c r="BB316" s="58" t="str">
        <f t="shared" si="302"/>
        <v>-0.157862943838099+0.531685647953241i</v>
      </c>
      <c r="BC316">
        <f t="shared" si="303"/>
        <v>-5.1199907411511516</v>
      </c>
      <c r="BD316" s="60">
        <f t="shared" si="304"/>
        <v>106.53669642356941</v>
      </c>
      <c r="BE316" s="58" t="str">
        <f t="shared" si="305"/>
        <v>0.0759514368564449+0.0702519201504625i</v>
      </c>
      <c r="BF316" s="37">
        <f t="shared" si="306"/>
        <v>-19.704558046747859</v>
      </c>
      <c r="BG316" s="60">
        <f t="shared" si="307"/>
        <v>42.767541149448718</v>
      </c>
      <c r="BH316" s="58" t="str">
        <f t="shared" si="308"/>
        <v>0.0379086834565256+0.160993221883304i</v>
      </c>
      <c r="BI316" s="37">
        <f t="shared" si="309"/>
        <v>-15.629492183592188</v>
      </c>
      <c r="BJ316" s="60">
        <f t="shared" si="310"/>
        <v>76.750063463096566</v>
      </c>
      <c r="BK316">
        <f t="shared" si="311"/>
        <v>-19.704558046747859</v>
      </c>
      <c r="BL316" s="60">
        <f t="shared" si="312"/>
        <v>42.767541149448718</v>
      </c>
      <c r="BN316">
        <f t="shared" si="313"/>
        <v>0</v>
      </c>
      <c r="BO316">
        <f t="shared" si="314"/>
        <v>0</v>
      </c>
    </row>
    <row r="317" spans="13:67" ht="14.25" x14ac:dyDescent="0.2">
      <c r="M317" s="66">
        <v>99</v>
      </c>
      <c r="N317" s="36">
        <f t="shared" si="315"/>
        <v>9772.3722095581161</v>
      </c>
      <c r="O317" s="91" t="str">
        <f t="shared" si="263"/>
        <v>99.7340425531915</v>
      </c>
      <c r="P317" s="67" t="str">
        <f t="shared" si="264"/>
        <v>1+1783.25997414514i</v>
      </c>
      <c r="Q317" s="67">
        <f t="shared" si="275"/>
        <v>1783.2602545304835</v>
      </c>
      <c r="R317" s="67">
        <f t="shared" si="276"/>
        <v>1.5702355561222647</v>
      </c>
      <c r="S317" s="67" t="str">
        <f t="shared" si="265"/>
        <v>1+3.35252875139286i</v>
      </c>
      <c r="T317" s="67">
        <f t="shared" si="277"/>
        <v>3.4984923937198671</v>
      </c>
      <c r="U317" s="67">
        <f t="shared" si="278"/>
        <v>1.2809161443133747</v>
      </c>
      <c r="V317" t="str">
        <f t="shared" si="266"/>
        <v>1-0.346305167726296i</v>
      </c>
      <c r="W317" s="67">
        <f t="shared" si="279"/>
        <v>1.0582661617919842</v>
      </c>
      <c r="X317" s="67">
        <f t="shared" si="280"/>
        <v>-0.33337942475464094</v>
      </c>
      <c r="Y317" t="str">
        <f t="shared" si="267"/>
        <v>0.977396625182924+0.535296222162851i</v>
      </c>
      <c r="Z317" s="67">
        <f t="shared" si="281"/>
        <v>1.1143815362705851</v>
      </c>
      <c r="AA317" s="67">
        <f t="shared" si="282"/>
        <v>0.5010568434046726</v>
      </c>
      <c r="AB317" s="92" t="str">
        <f t="shared" si="283"/>
        <v>0.0803257430014237-0.167551117000477i</v>
      </c>
      <c r="AC317" s="37">
        <f t="shared" si="284"/>
        <v>-14.618587427343186</v>
      </c>
      <c r="AD317" s="60">
        <f t="shared" si="285"/>
        <v>-64.386457666032086</v>
      </c>
      <c r="AE317" t="str">
        <f t="shared" si="286"/>
        <v>118.329284003155</v>
      </c>
      <c r="AF317" t="str">
        <f t="shared" si="268"/>
        <v>1+1426.60797931611i</v>
      </c>
      <c r="AG317">
        <f t="shared" si="287"/>
        <v>1426.6083297977739</v>
      </c>
      <c r="AH317">
        <f t="shared" si="288"/>
        <v>1.5700953634954371</v>
      </c>
      <c r="AI317" t="str">
        <f t="shared" si="269"/>
        <v>1+3.35252875139286i</v>
      </c>
      <c r="AJ317">
        <f t="shared" si="289"/>
        <v>3.4984923937198671</v>
      </c>
      <c r="AK317">
        <f t="shared" si="290"/>
        <v>1.2809161443133747</v>
      </c>
      <c r="AL317" t="str">
        <f t="shared" si="270"/>
        <v>1-0.233500124700406i</v>
      </c>
      <c r="AM317">
        <f t="shared" si="291"/>
        <v>1.0268993661674475</v>
      </c>
      <c r="AN317">
        <f t="shared" si="292"/>
        <v>-0.22939010681640262</v>
      </c>
      <c r="AO317" s="58" t="str">
        <f t="shared" si="293"/>
        <v>0.258809794203328-0.147693353766017i</v>
      </c>
      <c r="AP317">
        <f t="shared" si="294"/>
        <v>-10.516073980128125</v>
      </c>
      <c r="AQ317" s="60">
        <f t="shared" si="295"/>
        <v>-29.711833764655744</v>
      </c>
      <c r="AR317" t="str">
        <f t="shared" si="271"/>
        <v>-1.94444444444444</v>
      </c>
      <c r="AS317" t="str">
        <f t="shared" si="272"/>
        <v>1+3.43849102706959i</v>
      </c>
      <c r="AT317">
        <f t="shared" si="296"/>
        <v>3.5809524631357625</v>
      </c>
      <c r="AU317">
        <f t="shared" si="297"/>
        <v>1.2877778458269789</v>
      </c>
      <c r="AV317" t="str">
        <f t="shared" si="273"/>
        <v>1+3.43849102706959i</v>
      </c>
      <c r="AW317">
        <f t="shared" si="298"/>
        <v>3.5809524631357625</v>
      </c>
      <c r="AX317">
        <f t="shared" si="299"/>
        <v>1.2877778458269789</v>
      </c>
      <c r="AY317" t="str">
        <f t="shared" si="274"/>
        <v>1-0.000618777119881378i</v>
      </c>
      <c r="AZ317">
        <f t="shared" si="300"/>
        <v>1.0000001914425436</v>
      </c>
      <c r="BA317">
        <f t="shared" si="301"/>
        <v>-6.1877704090787804E-4</v>
      </c>
      <c r="BB317" s="58" t="str">
        <f t="shared" si="302"/>
        <v>-0.151312014174813+0.521488180761024i</v>
      </c>
      <c r="BC317">
        <f t="shared" si="303"/>
        <v>-5.3040586687088869</v>
      </c>
      <c r="BD317" s="60">
        <f t="shared" si="304"/>
        <v>106.18031117076167</v>
      </c>
      <c r="BE317" s="58" t="str">
        <f t="shared" si="305"/>
        <v>0.0752216772254224+0.0672414225766719i</v>
      </c>
      <c r="BF317" s="37">
        <f t="shared" si="306"/>
        <v>-19.922646096052073</v>
      </c>
      <c r="BG317" s="60">
        <f t="shared" si="307"/>
        <v>41.793853504729597</v>
      </c>
      <c r="BH317" s="58" t="str">
        <f t="shared" si="308"/>
        <v>0.0378593071168601+0.157314027580798i</v>
      </c>
      <c r="BI317" s="37">
        <f t="shared" si="309"/>
        <v>-15.820132648836996</v>
      </c>
      <c r="BJ317" s="60">
        <f t="shared" si="310"/>
        <v>76.468477406105961</v>
      </c>
      <c r="BK317">
        <f t="shared" si="311"/>
        <v>-19.922646096052073</v>
      </c>
      <c r="BL317" s="60">
        <f t="shared" si="312"/>
        <v>41.793853504729597</v>
      </c>
      <c r="BN317">
        <f t="shared" si="313"/>
        <v>0</v>
      </c>
      <c r="BO317">
        <f t="shared" si="314"/>
        <v>0</v>
      </c>
    </row>
    <row r="318" spans="13:67" ht="14.25" x14ac:dyDescent="0.2">
      <c r="M318" s="66">
        <v>100</v>
      </c>
      <c r="N318" s="36">
        <f t="shared" si="315"/>
        <v>10000</v>
      </c>
      <c r="O318" s="91" t="str">
        <f t="shared" si="263"/>
        <v>99.7340425531915</v>
      </c>
      <c r="P318" s="67" t="str">
        <f t="shared" si="264"/>
        <v>1+1824.79743495748i</v>
      </c>
      <c r="Q318" s="67">
        <f t="shared" si="275"/>
        <v>1824.7977089604749</v>
      </c>
      <c r="R318" s="67">
        <f t="shared" si="276"/>
        <v>1.5702483208185951</v>
      </c>
      <c r="S318" s="67" t="str">
        <f t="shared" si="265"/>
        <v>1+3.43061917772006i</v>
      </c>
      <c r="T318" s="67">
        <f t="shared" si="277"/>
        <v>3.5733944566113416</v>
      </c>
      <c r="U318" s="67">
        <f t="shared" si="278"/>
        <v>1.2871626727982839</v>
      </c>
      <c r="V318" t="str">
        <f t="shared" si="266"/>
        <v>1-0.354371651324929i</v>
      </c>
      <c r="W318" s="67">
        <f t="shared" si="279"/>
        <v>1.0609332058441554</v>
      </c>
      <c r="X318" s="67">
        <f t="shared" si="280"/>
        <v>-0.34056406520710658</v>
      </c>
      <c r="Y318" t="str">
        <f t="shared" si="267"/>
        <v>0.976331360946746+0.547764872933606i</v>
      </c>
      <c r="Z318" s="67">
        <f t="shared" si="281"/>
        <v>1.1194951015471639</v>
      </c>
      <c r="AA318" s="67">
        <f t="shared" si="282"/>
        <v>0.51128274692179054</v>
      </c>
      <c r="AB318" s="92" t="str">
        <f t="shared" si="283"/>
        <v>0.0781424828448155-0.167782252599393i</v>
      </c>
      <c r="AC318" s="37">
        <f t="shared" si="284"/>
        <v>-14.652490000022851</v>
      </c>
      <c r="AD318" s="60">
        <f t="shared" si="285"/>
        <v>-65.026839998949143</v>
      </c>
      <c r="AE318" t="str">
        <f t="shared" si="286"/>
        <v>118.329284003155</v>
      </c>
      <c r="AF318" t="str">
        <f t="shared" si="268"/>
        <v>1+1459.83794796598i</v>
      </c>
      <c r="AG318">
        <f t="shared" si="287"/>
        <v>1459.8382904697091</v>
      </c>
      <c r="AH318">
        <f t="shared" si="288"/>
        <v>1.5701113193630911</v>
      </c>
      <c r="AI318" t="str">
        <f t="shared" si="269"/>
        <v>1+3.43061917772006i</v>
      </c>
      <c r="AJ318">
        <f t="shared" si="289"/>
        <v>3.5733944566113416</v>
      </c>
      <c r="AK318">
        <f t="shared" si="290"/>
        <v>1.2871626727982839</v>
      </c>
      <c r="AL318" t="str">
        <f t="shared" si="270"/>
        <v>1-0.238939041302608i</v>
      </c>
      <c r="AM318">
        <f t="shared" si="291"/>
        <v>1.0281497291049633</v>
      </c>
      <c r="AN318">
        <f t="shared" si="292"/>
        <v>-0.23454156369979506</v>
      </c>
      <c r="AO318" s="58" t="str">
        <f t="shared" si="293"/>
        <v>0.258807183149253-0.147321858091648i</v>
      </c>
      <c r="AP318">
        <f t="shared" si="294"/>
        <v>-10.521503784948971</v>
      </c>
      <c r="AQ318" s="60">
        <f t="shared" si="295"/>
        <v>-29.650004987499244</v>
      </c>
      <c r="AR318" t="str">
        <f t="shared" si="271"/>
        <v>-1.94444444444444</v>
      </c>
      <c r="AS318" t="str">
        <f t="shared" si="272"/>
        <v>1+3.51858377202056i</v>
      </c>
      <c r="AT318">
        <f t="shared" si="296"/>
        <v>3.6579272492391683</v>
      </c>
      <c r="AU318">
        <f t="shared" si="297"/>
        <v>1.2938923643468041</v>
      </c>
      <c r="AV318" t="str">
        <f t="shared" si="273"/>
        <v>1+3.51858377202056i</v>
      </c>
      <c r="AW318">
        <f t="shared" si="298"/>
        <v>3.6579272492391683</v>
      </c>
      <c r="AX318">
        <f t="shared" si="299"/>
        <v>1.2938923643468041</v>
      </c>
      <c r="AY318" t="str">
        <f t="shared" si="274"/>
        <v>1-0.000604692033023919i</v>
      </c>
      <c r="AZ318">
        <f t="shared" si="300"/>
        <v>1.0000001828262106</v>
      </c>
      <c r="BA318">
        <f t="shared" si="301"/>
        <v>-6.0469195932155977E-4</v>
      </c>
      <c r="BB318" s="58" t="str">
        <f t="shared" si="302"/>
        <v>-0.1450108160411+0.511408494153887i</v>
      </c>
      <c r="BC318">
        <f t="shared" si="303"/>
        <v>-5.48878890208477</v>
      </c>
      <c r="BD318" s="60">
        <f t="shared" si="304"/>
        <v>105.8307820815501</v>
      </c>
      <c r="BE318" s="58" t="str">
        <f t="shared" si="305"/>
        <v>0.0744737639427983+0.064292970847765i</v>
      </c>
      <c r="BF318" s="37">
        <f t="shared" si="306"/>
        <v>-20.141278902107622</v>
      </c>
      <c r="BG318" s="60">
        <f t="shared" si="307"/>
        <v>40.803942082600969</v>
      </c>
      <c r="BH318" s="58" t="str">
        <f t="shared" si="308"/>
        <v>0.0378118087768307+0.15371945467313i</v>
      </c>
      <c r="BI318" s="37">
        <f t="shared" si="309"/>
        <v>-16.010292687033726</v>
      </c>
      <c r="BJ318" s="60">
        <f t="shared" si="310"/>
        <v>76.180777094050882</v>
      </c>
      <c r="BK318">
        <f t="shared" si="311"/>
        <v>-20.141278902107622</v>
      </c>
      <c r="BL318" s="60">
        <f t="shared" si="312"/>
        <v>40.803942082600969</v>
      </c>
      <c r="BN318">
        <f t="shared" si="313"/>
        <v>0</v>
      </c>
      <c r="BO318">
        <f t="shared" si="314"/>
        <v>0</v>
      </c>
    </row>
    <row r="319" spans="13:67" ht="14.25" x14ac:dyDescent="0.2">
      <c r="M319" s="66">
        <v>1</v>
      </c>
      <c r="N319" s="36">
        <f>10^(4+(M319/100))</f>
        <v>10232.929922807549</v>
      </c>
      <c r="O319" s="91" t="str">
        <f t="shared" si="263"/>
        <v>99.7340425531915</v>
      </c>
      <c r="P319" s="67" t="str">
        <f t="shared" si="264"/>
        <v>1+1867.30242752388i</v>
      </c>
      <c r="Q319" s="67">
        <f t="shared" si="275"/>
        <v>1867.302695289806</v>
      </c>
      <c r="R319" s="67">
        <f t="shared" si="276"/>
        <v>1.5702607949551357</v>
      </c>
      <c r="S319" s="67" t="str">
        <f t="shared" si="265"/>
        <v>1+3.5105285637449i</v>
      </c>
      <c r="T319" s="67">
        <f t="shared" si="277"/>
        <v>3.6501795567983817</v>
      </c>
      <c r="U319" s="67">
        <f t="shared" si="278"/>
        <v>1.2932890724276462</v>
      </c>
      <c r="V319" t="str">
        <f t="shared" si="266"/>
        <v>1-0.362626027463759i</v>
      </c>
      <c r="W319" s="67">
        <f t="shared" si="279"/>
        <v>1.0637187766482958</v>
      </c>
      <c r="X319" s="67">
        <f t="shared" si="280"/>
        <v>-0.34787837346637634</v>
      </c>
      <c r="Y319" t="str">
        <f t="shared" si="267"/>
        <v>0.975215892353825+0.560523955890517i</v>
      </c>
      <c r="Z319" s="67">
        <f t="shared" si="281"/>
        <v>1.1248258273291121</v>
      </c>
      <c r="AA319" s="67">
        <f t="shared" si="282"/>
        <v>0.52166073127385904</v>
      </c>
      <c r="AB319" s="92" t="str">
        <f t="shared" si="283"/>
        <v>0.0758985391479927-0.168020247081497i</v>
      </c>
      <c r="AC319" s="37">
        <f t="shared" si="284"/>
        <v>-14.68631054186547</v>
      </c>
      <c r="AD319" s="60">
        <f t="shared" si="285"/>
        <v>-65.690231568493303</v>
      </c>
      <c r="AE319" t="str">
        <f t="shared" si="286"/>
        <v>118.329284003155</v>
      </c>
      <c r="AF319" t="str">
        <f t="shared" si="268"/>
        <v>1+1493.84194201911i</v>
      </c>
      <c r="AG319">
        <f t="shared" si="287"/>
        <v>1493.8422767265045</v>
      </c>
      <c r="AH319">
        <f t="shared" si="288"/>
        <v>1.5701269120311925</v>
      </c>
      <c r="AI319" t="str">
        <f t="shared" si="269"/>
        <v>1+3.5105285637449i</v>
      </c>
      <c r="AJ319">
        <f t="shared" si="289"/>
        <v>3.6501795567983817</v>
      </c>
      <c r="AK319">
        <f t="shared" si="290"/>
        <v>1.2932890724276462</v>
      </c>
      <c r="AL319" t="str">
        <f t="shared" si="270"/>
        <v>1-0.24450464654724i</v>
      </c>
      <c r="AM319">
        <f t="shared" si="291"/>
        <v>1.0294573921164443</v>
      </c>
      <c r="AN319">
        <f t="shared" si="292"/>
        <v>-0.23979991575078394</v>
      </c>
      <c r="AO319" s="58" t="str">
        <f t="shared" si="293"/>
        <v>0.25880468961186-0.147028474255431i</v>
      </c>
      <c r="AP319">
        <f t="shared" si="294"/>
        <v>-10.525798090625631</v>
      </c>
      <c r="AQ319" s="60">
        <f t="shared" si="295"/>
        <v>-29.601162918915463</v>
      </c>
      <c r="AR319" t="str">
        <f t="shared" si="271"/>
        <v>-1.94444444444444</v>
      </c>
      <c r="AS319" t="str">
        <f t="shared" si="272"/>
        <v>1+3.60054211666142i</v>
      </c>
      <c r="AT319">
        <f t="shared" si="296"/>
        <v>3.7368306803831368</v>
      </c>
      <c r="AU319">
        <f t="shared" si="297"/>
        <v>1.2998883045999838</v>
      </c>
      <c r="AV319" t="str">
        <f t="shared" si="273"/>
        <v>1+3.60054211666142i</v>
      </c>
      <c r="AW319">
        <f t="shared" si="298"/>
        <v>3.7368306803831368</v>
      </c>
      <c r="AX319">
        <f t="shared" si="299"/>
        <v>1.2998883045999838</v>
      </c>
      <c r="AY319" t="str">
        <f t="shared" si="274"/>
        <v>1-0.000590927561886414i</v>
      </c>
      <c r="AZ319">
        <f t="shared" si="300"/>
        <v>1.0000001745976765</v>
      </c>
      <c r="BA319">
        <f t="shared" si="301"/>
        <v>-5.9092749310336954E-4</v>
      </c>
      <c r="BB319" s="58" t="str">
        <f t="shared" si="302"/>
        <v>-0.138951642275479+0.501450266006913i</v>
      </c>
      <c r="BC319">
        <f t="shared" si="303"/>
        <v>-5.6741560978977681</v>
      </c>
      <c r="BD319" s="60">
        <f t="shared" si="304"/>
        <v>105.48802865665185</v>
      </c>
      <c r="BE319" s="58" t="str">
        <f t="shared" si="305"/>
        <v>0.0737075709326406+0.0614060319128028i</v>
      </c>
      <c r="BF319" s="37">
        <f t="shared" si="306"/>
        <v>-20.360466639763239</v>
      </c>
      <c r="BG319" s="60">
        <f t="shared" si="307"/>
        <v>39.797797088158553</v>
      </c>
      <c r="BH319" s="58" t="str">
        <f t="shared" si="308"/>
        <v>0.0377661308758129+0.150207528408754i</v>
      </c>
      <c r="BI319" s="37">
        <f t="shared" si="309"/>
        <v>-16.199954188523392</v>
      </c>
      <c r="BJ319" s="60">
        <f t="shared" si="310"/>
        <v>75.886865737736414</v>
      </c>
      <c r="BK319">
        <f t="shared" si="311"/>
        <v>-20.360466639763239</v>
      </c>
      <c r="BL319" s="60">
        <f t="shared" si="312"/>
        <v>39.797797088158553</v>
      </c>
      <c r="BN319">
        <f t="shared" si="313"/>
        <v>0</v>
      </c>
      <c r="BO319">
        <f t="shared" si="314"/>
        <v>0</v>
      </c>
    </row>
    <row r="320" spans="13:67" ht="14.25" x14ac:dyDescent="0.2">
      <c r="M320" s="66">
        <v>2</v>
      </c>
      <c r="N320" s="36">
        <f t="shared" ref="N320:N383" si="316">10^(4+(M320/100))</f>
        <v>10471.285480509003</v>
      </c>
      <c r="O320" s="91" t="str">
        <f t="shared" si="263"/>
        <v>99.7340425531915</v>
      </c>
      <c r="P320" s="67" t="str">
        <f t="shared" si="264"/>
        <v>1+1910.79748855403i</v>
      </c>
      <c r="Q320" s="67">
        <f t="shared" si="275"/>
        <v>1910.7977502248607</v>
      </c>
      <c r="R320" s="67">
        <f t="shared" si="276"/>
        <v>1.5702729851458235</v>
      </c>
      <c r="S320" s="67" t="str">
        <f t="shared" si="265"/>
        <v>1+3.59229927848158i</v>
      </c>
      <c r="T320" s="67">
        <f t="shared" si="277"/>
        <v>3.728889124951194</v>
      </c>
      <c r="U320" s="67">
        <f t="shared" si="278"/>
        <v>1.2992967512621862</v>
      </c>
      <c r="V320" t="str">
        <f t="shared" si="266"/>
        <v>1-0.371072672722273i</v>
      </c>
      <c r="W320" s="67">
        <f t="shared" si="279"/>
        <v>1.0666278303331727</v>
      </c>
      <c r="X320" s="67">
        <f t="shared" si="280"/>
        <v>-0.35532309624337743</v>
      </c>
      <c r="Y320" t="str">
        <f t="shared" si="267"/>
        <v>0.974047853345723+0.573580236068252i</v>
      </c>
      <c r="Z320" s="67">
        <f t="shared" si="281"/>
        <v>1.1303820185298079</v>
      </c>
      <c r="AA320" s="67">
        <f t="shared" si="282"/>
        <v>0.532189896273916</v>
      </c>
      <c r="AB320" s="92" t="str">
        <f t="shared" si="283"/>
        <v>0.0735938230582515-0.168261802841144i</v>
      </c>
      <c r="AC320" s="37">
        <f t="shared" si="284"/>
        <v>-14.720083151837892</v>
      </c>
      <c r="AD320" s="60">
        <f t="shared" si="285"/>
        <v>-66.376543284149079</v>
      </c>
      <c r="AE320" t="str">
        <f t="shared" si="286"/>
        <v>118.329284003155</v>
      </c>
      <c r="AF320" t="str">
        <f t="shared" si="268"/>
        <v>1+1528.63799084322i</v>
      </c>
      <c r="AG320">
        <f t="shared" si="287"/>
        <v>1528.6383179317456</v>
      </c>
      <c r="AH320">
        <f t="shared" si="288"/>
        <v>1.5701421497671497</v>
      </c>
      <c r="AI320" t="str">
        <f t="shared" si="269"/>
        <v>1+3.59229927848158i</v>
      </c>
      <c r="AJ320">
        <f t="shared" si="289"/>
        <v>3.728889124951194</v>
      </c>
      <c r="AK320">
        <f t="shared" si="290"/>
        <v>1.2992967512621862</v>
      </c>
      <c r="AL320" t="str">
        <f t="shared" si="270"/>
        <v>1-0.250199891391873i</v>
      </c>
      <c r="AM320">
        <f t="shared" si="291"/>
        <v>1.030824905428902</v>
      </c>
      <c r="AN320">
        <f t="shared" si="292"/>
        <v>-0.24516678735125155</v>
      </c>
      <c r="AO320" s="58" t="str">
        <f t="shared" si="293"/>
        <v>0.258802308302041-0.146813046712125i</v>
      </c>
      <c r="AP320">
        <f t="shared" si="294"/>
        <v>-10.528962639901051</v>
      </c>
      <c r="AQ320" s="60">
        <f t="shared" si="295"/>
        <v>-29.565320426881517</v>
      </c>
      <c r="AR320" t="str">
        <f t="shared" si="271"/>
        <v>-1.94444444444444</v>
      </c>
      <c r="AS320" t="str">
        <f t="shared" si="272"/>
        <v>1+3.68440951639135i</v>
      </c>
      <c r="AT320">
        <f t="shared" si="296"/>
        <v>3.8177052642228868</v>
      </c>
      <c r="AU320">
        <f t="shared" si="297"/>
        <v>1.3057671205381463</v>
      </c>
      <c r="AV320" t="str">
        <f t="shared" si="273"/>
        <v>1+3.68440951639135i</v>
      </c>
      <c r="AW320">
        <f t="shared" si="298"/>
        <v>3.8177052642228868</v>
      </c>
      <c r="AX320">
        <f t="shared" si="299"/>
        <v>1.3057671205381463</v>
      </c>
      <c r="AY320" t="str">
        <f t="shared" si="274"/>
        <v>1-0.000577476408364071i</v>
      </c>
      <c r="AZ320">
        <f t="shared" si="300"/>
        <v>1.0000001667394871</v>
      </c>
      <c r="BA320">
        <f t="shared" si="301"/>
        <v>-5.7747634417199835E-4</v>
      </c>
      <c r="BB320" s="58" t="str">
        <f t="shared" si="302"/>
        <v>-0.133126872811073+0.491616787866578i</v>
      </c>
      <c r="BC320">
        <f t="shared" si="303"/>
        <v>-5.8601357028175531</v>
      </c>
      <c r="BD320" s="60">
        <f t="shared" si="304"/>
        <v>105.15196800892434</v>
      </c>
      <c r="BE320" s="58" t="str">
        <f t="shared" si="305"/>
        <v>0.0729230115114462+0.0585801265245137i</v>
      </c>
      <c r="BF320" s="37">
        <f t="shared" si="306"/>
        <v>-20.580218854655449</v>
      </c>
      <c r="BG320" s="60">
        <f t="shared" si="307"/>
        <v>38.775424724775249</v>
      </c>
      <c r="BH320" s="58" t="str">
        <f t="shared" si="308"/>
        <v>0.0377222164609828+0.146776321296556i</v>
      </c>
      <c r="BI320" s="37">
        <f t="shared" si="309"/>
        <v>-16.389098342718626</v>
      </c>
      <c r="BJ320" s="60">
        <f t="shared" si="310"/>
        <v>75.586647582042801</v>
      </c>
      <c r="BK320">
        <f t="shared" si="311"/>
        <v>-20.580218854655449</v>
      </c>
      <c r="BL320" s="60">
        <f t="shared" si="312"/>
        <v>38.775424724775249</v>
      </c>
      <c r="BN320">
        <f t="shared" si="313"/>
        <v>0</v>
      </c>
      <c r="BO320">
        <f t="shared" si="314"/>
        <v>0</v>
      </c>
    </row>
    <row r="321" spans="13:67" ht="14.25" x14ac:dyDescent="0.2">
      <c r="M321" s="66">
        <v>3</v>
      </c>
      <c r="N321" s="36">
        <f t="shared" si="316"/>
        <v>10715.193052376071</v>
      </c>
      <c r="O321" s="91" t="str">
        <f t="shared" si="263"/>
        <v>99.7340425531915</v>
      </c>
      <c r="P321" s="67" t="str">
        <f t="shared" si="264"/>
        <v>1+1955.305679705i</v>
      </c>
      <c r="Q321" s="67">
        <f t="shared" si="275"/>
        <v>1955.3059354194761</v>
      </c>
      <c r="R321" s="67">
        <f t="shared" si="276"/>
        <v>1.5702848978540447</v>
      </c>
      <c r="S321" s="67" t="str">
        <f t="shared" si="265"/>
        <v>1+3.67597467784541i</v>
      </c>
      <c r="T321" s="67">
        <f t="shared" si="277"/>
        <v>3.8095655700041005</v>
      </c>
      <c r="U321" s="67">
        <f t="shared" si="278"/>
        <v>1.3051871593264444</v>
      </c>
      <c r="V321" t="str">
        <f t="shared" si="266"/>
        <v>1-0.379716065623591i</v>
      </c>
      <c r="W321" s="67">
        <f t="shared" si="279"/>
        <v>1.0696655040210745</v>
      </c>
      <c r="X321" s="67">
        <f t="shared" si="280"/>
        <v>-0.36289887892319989</v>
      </c>
      <c r="Y321" t="str">
        <f t="shared" si="267"/>
        <v>0.972824766355103+0.586940636079383i</v>
      </c>
      <c r="Z321" s="67">
        <f t="shared" si="281"/>
        <v>1.1361722300404686</v>
      </c>
      <c r="AA321" s="67">
        <f t="shared" si="282"/>
        <v>0.54286915789892687</v>
      </c>
      <c r="AB321" s="92" t="str">
        <f t="shared" si="283"/>
        <v>0.0712283749890168-0.168503574787433i</v>
      </c>
      <c r="AC321" s="37">
        <f t="shared" si="284"/>
        <v>-14.753840452522024</v>
      </c>
      <c r="AD321" s="60">
        <f t="shared" si="285"/>
        <v>-67.08566730385229</v>
      </c>
      <c r="AE321" t="str">
        <f t="shared" si="286"/>
        <v>118.329284003155</v>
      </c>
      <c r="AF321" t="str">
        <f t="shared" si="268"/>
        <v>1+1564.244543764i</v>
      </c>
      <c r="AG321">
        <f t="shared" si="287"/>
        <v>1564.2448634070831</v>
      </c>
      <c r="AH321">
        <f t="shared" si="288"/>
        <v>1.5701570406501837</v>
      </c>
      <c r="AI321" t="str">
        <f t="shared" si="269"/>
        <v>1+3.67597467784541i</v>
      </c>
      <c r="AJ321">
        <f t="shared" si="289"/>
        <v>3.8095655700041005</v>
      </c>
      <c r="AK321">
        <f t="shared" si="290"/>
        <v>1.3051871593264444</v>
      </c>
      <c r="AL321" t="str">
        <f t="shared" si="270"/>
        <v>1-0.25602779553071i</v>
      </c>
      <c r="AM321">
        <f t="shared" si="291"/>
        <v>1.0322549259191331</v>
      </c>
      <c r="AN321">
        <f t="shared" si="292"/>
        <v>-0.25064378688596578</v>
      </c>
      <c r="AO321" s="58" t="str">
        <f t="shared" si="293"/>
        <v>0.258800034168728-0.146675461249222i</v>
      </c>
      <c r="AP321">
        <f t="shared" si="294"/>
        <v>-10.53100167702528</v>
      </c>
      <c r="AQ321" s="60">
        <f t="shared" si="295"/>
        <v>-29.542487047674879</v>
      </c>
      <c r="AR321" t="str">
        <f t="shared" si="271"/>
        <v>-1.94444444444444</v>
      </c>
      <c r="AS321" t="str">
        <f t="shared" si="272"/>
        <v>1+3.77023043881579i</v>
      </c>
      <c r="AT321">
        <f t="shared" si="296"/>
        <v>3.9005945138879925</v>
      </c>
      <c r="AU321">
        <f t="shared" si="297"/>
        <v>1.3115303031371475</v>
      </c>
      <c r="AV321" t="str">
        <f t="shared" si="273"/>
        <v>1+3.77023043881579i</v>
      </c>
      <c r="AW321">
        <f t="shared" si="298"/>
        <v>3.9005945138879925</v>
      </c>
      <c r="AX321">
        <f t="shared" si="299"/>
        <v>1.3115303031371475</v>
      </c>
      <c r="AY321" t="str">
        <f t="shared" si="274"/>
        <v>1-0.000564331440477248i</v>
      </c>
      <c r="AZ321">
        <f t="shared" si="300"/>
        <v>1.0000001592349745</v>
      </c>
      <c r="BA321">
        <f t="shared" si="301"/>
        <v>-5.6433138056971967E-4</v>
      </c>
      <c r="BB321" s="58" t="str">
        <f t="shared" si="302"/>
        <v>-0.127528987839989+0.481910982919955i</v>
      </c>
      <c r="BC321">
        <f t="shared" si="303"/>
        <v>-6.046703943895797</v>
      </c>
      <c r="BD321" s="60">
        <f t="shared" si="304"/>
        <v>104.82251512037459</v>
      </c>
      <c r="BE321" s="58" t="str">
        <f t="shared" si="305"/>
        <v>0.0721200407835015+0.0558148265428094i</v>
      </c>
      <c r="BF321" s="37">
        <f t="shared" si="306"/>
        <v>-20.80054439641782</v>
      </c>
      <c r="BG321" s="60">
        <f t="shared" si="307"/>
        <v>37.736847816522292</v>
      </c>
      <c r="BH321" s="58" t="str">
        <f t="shared" si="308"/>
        <v>0.0376800092903579+0.143423951960046i</v>
      </c>
      <c r="BI321" s="37">
        <f t="shared" si="309"/>
        <v>-16.577705620921101</v>
      </c>
      <c r="BJ321" s="60">
        <f t="shared" si="310"/>
        <v>75.280028072699679</v>
      </c>
      <c r="BK321">
        <f t="shared" si="311"/>
        <v>-20.80054439641782</v>
      </c>
      <c r="BL321" s="60">
        <f t="shared" si="312"/>
        <v>37.736847816522292</v>
      </c>
      <c r="BN321">
        <f t="shared" si="313"/>
        <v>0</v>
      </c>
      <c r="BO321">
        <f t="shared" si="314"/>
        <v>0</v>
      </c>
    </row>
    <row r="322" spans="13:67" ht="14.25" x14ac:dyDescent="0.2">
      <c r="M322" s="66">
        <v>4</v>
      </c>
      <c r="N322" s="36">
        <f t="shared" si="316"/>
        <v>10964.781961431856</v>
      </c>
      <c r="O322" s="91" t="str">
        <f t="shared" si="263"/>
        <v>99.7340425531915</v>
      </c>
      <c r="P322" s="67" t="str">
        <f t="shared" si="264"/>
        <v>1+2000.85059980889i</v>
      </c>
      <c r="Q322" s="67">
        <f t="shared" si="275"/>
        <v>2000.8508497025944</v>
      </c>
      <c r="R322" s="67">
        <f t="shared" si="276"/>
        <v>1.5702965393960608</v>
      </c>
      <c r="S322" s="67" t="str">
        <f t="shared" si="265"/>
        <v>1+3.76159912764071i</v>
      </c>
      <c r="T322" s="67">
        <f t="shared" si="277"/>
        <v>3.892252303881051</v>
      </c>
      <c r="U322" s="67">
        <f t="shared" si="278"/>
        <v>1.3109617841057462</v>
      </c>
      <c r="V322" t="str">
        <f t="shared" si="266"/>
        <v>1-0.38856078900904i</v>
      </c>
      <c r="W322" s="67">
        <f t="shared" si="279"/>
        <v>1.0728371203287701</v>
      </c>
      <c r="X322" s="67">
        <f t="shared" si="280"/>
        <v>-0.37060625894270588</v>
      </c>
      <c r="Y322" t="str">
        <f t="shared" si="267"/>
        <v>0.971544037050475+0.600612239784841i</v>
      </c>
      <c r="Z322" s="67">
        <f t="shared" si="281"/>
        <v>1.1422052698651404</v>
      </c>
      <c r="AA322" s="67">
        <f t="shared" si="282"/>
        <v>0.5536972441716117</v>
      </c>
      <c r="AB322" s="92" t="str">
        <f t="shared" si="283"/>
        <v>0.0688023716181597-0.168742176614165i</v>
      </c>
      <c r="AC322" s="37">
        <f t="shared" si="284"/>
        <v>-14.787613533333756</v>
      </c>
      <c r="AD322" s="60">
        <f t="shared" si="285"/>
        <v>-67.817476676800567</v>
      </c>
      <c r="AE322" t="str">
        <f t="shared" si="286"/>
        <v>118.329284003155</v>
      </c>
      <c r="AF322" t="str">
        <f t="shared" si="268"/>
        <v>1+1600.68047984711i</v>
      </c>
      <c r="AG322">
        <f t="shared" si="287"/>
        <v>1600.6807922142298</v>
      </c>
      <c r="AH322">
        <f t="shared" si="288"/>
        <v>1.5701715925756115</v>
      </c>
      <c r="AI322" t="str">
        <f t="shared" si="269"/>
        <v>1+3.76159912764071i</v>
      </c>
      <c r="AJ322">
        <f t="shared" si="289"/>
        <v>3.892252303881051</v>
      </c>
      <c r="AK322">
        <f t="shared" si="290"/>
        <v>1.3109617841057462</v>
      </c>
      <c r="AL322" t="str">
        <f t="shared" si="270"/>
        <v>1-0.261991448995665i</v>
      </c>
      <c r="AM322">
        <f t="shared" si="291"/>
        <v>1.0337502209658038</v>
      </c>
      <c r="AN322">
        <f t="shared" si="292"/>
        <v>-0.25623250340336146</v>
      </c>
      <c r="AO322" s="58" t="str">
        <f t="shared" si="293"/>
        <v>0.258797862388192-0.146615644926453i</v>
      </c>
      <c r="AP322">
        <f t="shared" si="294"/>
        <v>-10.531917942261224</v>
      </c>
      <c r="AQ322" s="60">
        <f t="shared" si="295"/>
        <v>-29.532669052801904</v>
      </c>
      <c r="AR322" t="str">
        <f t="shared" si="271"/>
        <v>-1.94444444444444</v>
      </c>
      <c r="AS322" t="str">
        <f t="shared" si="272"/>
        <v>1+3.85805038732379i</v>
      </c>
      <c r="AT322">
        <f t="shared" si="296"/>
        <v>3.9855429731881258</v>
      </c>
      <c r="AU322">
        <f t="shared" si="297"/>
        <v>1.3171793761280313</v>
      </c>
      <c r="AV322" t="str">
        <f t="shared" si="273"/>
        <v>1+3.85805038732379i</v>
      </c>
      <c r="AW322">
        <f t="shared" si="298"/>
        <v>3.9855429731881258</v>
      </c>
      <c r="AX322">
        <f t="shared" si="299"/>
        <v>1.3171793761280313</v>
      </c>
      <c r="AY322" t="str">
        <f t="shared" si="274"/>
        <v>1-0.000551485688589976i</v>
      </c>
      <c r="AZ322">
        <f t="shared" si="300"/>
        <v>1.0000001520682207</v>
      </c>
      <c r="BA322">
        <f t="shared" si="301"/>
        <v>-5.5148563268101706E-4</v>
      </c>
      <c r="BB322" s="58" t="str">
        <f t="shared" si="302"/>
        <v>-0.122150579504433+0.472335423852273i</v>
      </c>
      <c r="BC322">
        <f t="shared" si="303"/>
        <v>-6.2338378176174629</v>
      </c>
      <c r="BD322" s="60">
        <f t="shared" si="304"/>
        <v>104.49958308697424</v>
      </c>
      <c r="BE322" s="58" t="str">
        <f t="shared" si="305"/>
        <v>0.0712986579483692+0.0531097520205647i</v>
      </c>
      <c r="BF322" s="37">
        <f t="shared" si="306"/>
        <v>-21.021451350951214</v>
      </c>
      <c r="BG322" s="60">
        <f t="shared" si="307"/>
        <v>36.682106410173681</v>
      </c>
      <c r="BH322" s="58" t="str">
        <f t="shared" si="308"/>
        <v>0.0376394539244844+0.140148584015371i</v>
      </c>
      <c r="BI322" s="37">
        <f t="shared" si="309"/>
        <v>-16.765755759878704</v>
      </c>
      <c r="BJ322" s="60">
        <f t="shared" si="310"/>
        <v>74.966914034172305</v>
      </c>
      <c r="BK322">
        <f t="shared" si="311"/>
        <v>-21.021451350951214</v>
      </c>
      <c r="BL322" s="60">
        <f t="shared" si="312"/>
        <v>36.682106410173681</v>
      </c>
      <c r="BN322">
        <f t="shared" si="313"/>
        <v>0</v>
      </c>
      <c r="BO322">
        <f t="shared" si="314"/>
        <v>0</v>
      </c>
    </row>
    <row r="323" spans="13:67" ht="14.25" x14ac:dyDescent="0.2">
      <c r="M323" s="66">
        <v>5</v>
      </c>
      <c r="N323" s="36">
        <f t="shared" si="316"/>
        <v>11220.184543019639</v>
      </c>
      <c r="O323" s="91" t="str">
        <f t="shared" si="263"/>
        <v>99.7340425531915</v>
      </c>
      <c r="P323" s="67" t="str">
        <f t="shared" si="264"/>
        <v>1+2047.45639738518i</v>
      </c>
      <c r="Q323" s="67">
        <f t="shared" si="275"/>
        <v>2047.4566415906102</v>
      </c>
      <c r="R323" s="67">
        <f t="shared" si="276"/>
        <v>1.5703079159443594</v>
      </c>
      <c r="S323" s="67" t="str">
        <f t="shared" si="265"/>
        <v>1+3.84921802708413i</v>
      </c>
      <c r="T323" s="67">
        <f t="shared" si="277"/>
        <v>3.976993766657102</v>
      </c>
      <c r="U323" s="67">
        <f t="shared" si="278"/>
        <v>1.3166221462560463</v>
      </c>
      <c r="V323" t="str">
        <f t="shared" si="266"/>
        <v>1-0.397611532468031i</v>
      </c>
      <c r="W323" s="67">
        <f t="shared" si="279"/>
        <v>1.0761481918172682</v>
      </c>
      <c r="X323" s="67">
        <f t="shared" si="280"/>
        <v>-0.37844565906555083</v>
      </c>
      <c r="Y323" t="str">
        <f t="shared" si="267"/>
        <v>0.970202948833274+0.614602296049876i</v>
      </c>
      <c r="Z323" s="67">
        <f t="shared" si="281"/>
        <v>1.1484902020629344</v>
      </c>
      <c r="AA323" s="67">
        <f t="shared" si="282"/>
        <v>0.56467269157863398</v>
      </c>
      <c r="AB323" s="92" t="str">
        <f t="shared" si="283"/>
        <v>0.0663161325718086-0.168974187806122i</v>
      </c>
      <c r="AC323" s="37">
        <f t="shared" si="284"/>
        <v>-14.821431894316127</v>
      </c>
      <c r="AD323" s="60">
        <f t="shared" si="285"/>
        <v>-68.571824998919368</v>
      </c>
      <c r="AE323" t="str">
        <f t="shared" si="286"/>
        <v>118.329284003155</v>
      </c>
      <c r="AF323" t="str">
        <f t="shared" si="268"/>
        <v>1+1637.96511790814i</v>
      </c>
      <c r="AG323">
        <f t="shared" si="287"/>
        <v>1637.9654231649172</v>
      </c>
      <c r="AH323">
        <f t="shared" si="288"/>
        <v>1.5701858132590316</v>
      </c>
      <c r="AI323" t="str">
        <f t="shared" si="269"/>
        <v>1+3.84921802708413i</v>
      </c>
      <c r="AJ323">
        <f t="shared" si="289"/>
        <v>3.976993766657102</v>
      </c>
      <c r="AK323">
        <f t="shared" si="290"/>
        <v>1.3166221462560463</v>
      </c>
      <c r="AL323" t="str">
        <f t="shared" si="270"/>
        <v>1-0.268094013794745i</v>
      </c>
      <c r="AM323">
        <f t="shared" si="291"/>
        <v>1.0353136723875411</v>
      </c>
      <c r="AN323">
        <f t="shared" si="292"/>
        <v>-0.26193450307819738</v>
      </c>
      <c r="AO323" s="58" t="str">
        <f t="shared" si="293"/>
        <v>0.258795788353808-0.146633566037148i</v>
      </c>
      <c r="AP323">
        <f t="shared" si="294"/>
        <v>-10.531712668364833</v>
      </c>
      <c r="AQ323" s="60">
        <f t="shared" si="295"/>
        <v>-29.535869492368825</v>
      </c>
      <c r="AR323" t="str">
        <f t="shared" si="271"/>
        <v>-1.94444444444444</v>
      </c>
      <c r="AS323" t="str">
        <f t="shared" si="272"/>
        <v>1+3.94791592521448i</v>
      </c>
      <c r="AT323">
        <f t="shared" si="296"/>
        <v>4.0725962422712749</v>
      </c>
      <c r="AU323">
        <f t="shared" si="297"/>
        <v>1.3227158919389252</v>
      </c>
      <c r="AV323" t="str">
        <f t="shared" si="273"/>
        <v>1+3.94791592521448i</v>
      </c>
      <c r="AW323">
        <f t="shared" si="298"/>
        <v>4.0725962422712749</v>
      </c>
      <c r="AX323">
        <f t="shared" si="299"/>
        <v>1.3227158919389252</v>
      </c>
      <c r="AY323" t="str">
        <f t="shared" si="274"/>
        <v>1-0.000538932341714569i</v>
      </c>
      <c r="AZ323">
        <f t="shared" si="300"/>
        <v>1.0000001452240239</v>
      </c>
      <c r="BA323">
        <f t="shared" si="301"/>
        <v>-5.3893228953729203E-4</v>
      </c>
      <c r="BB323" s="58" t="str">
        <f t="shared" si="302"/>
        <v>-0.116984362196028+0.462892350512538i</v>
      </c>
      <c r="BC323">
        <f t="shared" si="303"/>
        <v>-6.4215150778192145</v>
      </c>
      <c r="BD323" s="60">
        <f t="shared" si="304"/>
        <v>104.18308335138344</v>
      </c>
      <c r="BE323" s="58" t="str">
        <f t="shared" si="305"/>
        <v>0.0704589084973026+0.0504645680711566i</v>
      </c>
      <c r="BF323" s="37">
        <f t="shared" si="306"/>
        <v>-21.242946972135339</v>
      </c>
      <c r="BG323" s="60">
        <f t="shared" si="307"/>
        <v>35.611258352464063</v>
      </c>
      <c r="BH323" s="58" t="str">
        <f t="shared" si="308"/>
        <v>0.0376004958073824+0.136948424973224i</v>
      </c>
      <c r="BI323" s="37">
        <f t="shared" si="309"/>
        <v>-16.953227746184069</v>
      </c>
      <c r="BJ323" s="60">
        <f t="shared" si="310"/>
        <v>74.647213859014585</v>
      </c>
      <c r="BK323">
        <f t="shared" si="311"/>
        <v>-21.242946972135339</v>
      </c>
      <c r="BL323" s="60">
        <f t="shared" si="312"/>
        <v>35.611258352464063</v>
      </c>
      <c r="BN323">
        <f t="shared" si="313"/>
        <v>0</v>
      </c>
      <c r="BO323">
        <f t="shared" si="314"/>
        <v>0</v>
      </c>
    </row>
    <row r="324" spans="13:67" ht="14.25" x14ac:dyDescent="0.2">
      <c r="M324" s="66">
        <v>6</v>
      </c>
      <c r="N324" s="36">
        <f t="shared" si="316"/>
        <v>11481.536214968832</v>
      </c>
      <c r="O324" s="91" t="str">
        <f t="shared" si="263"/>
        <v>99.7340425531915</v>
      </c>
      <c r="P324" s="67" t="str">
        <f t="shared" si="264"/>
        <v>1+2095.14778344465i</v>
      </c>
      <c r="Q324" s="67">
        <f t="shared" si="275"/>
        <v>2095.1480220912867</v>
      </c>
      <c r="R324" s="67">
        <f t="shared" si="276"/>
        <v>1.5703190335309247</v>
      </c>
      <c r="S324" s="67" t="str">
        <f t="shared" si="265"/>
        <v>1+3.93887783287594i</v>
      </c>
      <c r="T324" s="67">
        <f t="shared" si="277"/>
        <v>4.0638354521709488</v>
      </c>
      <c r="U324" s="67">
        <f t="shared" si="278"/>
        <v>1.3221697955249385</v>
      </c>
      <c r="V324" t="str">
        <f t="shared" si="266"/>
        <v>1-0.406873094824548i</v>
      </c>
      <c r="W324" s="67">
        <f t="shared" si="279"/>
        <v>1.0796044253763069</v>
      </c>
      <c r="X324" s="67">
        <f t="shared" si="280"/>
        <v>-0.3864173805786334</v>
      </c>
      <c r="Y324" t="str">
        <f t="shared" si="267"/>
        <v>0.968798657075588+0.6289182225875i</v>
      </c>
      <c r="Z324" s="67">
        <f t="shared" si="281"/>
        <v>1.1550363494947173</v>
      </c>
      <c r="AA324" s="67">
        <f t="shared" si="282"/>
        <v>0.57579384208031092</v>
      </c>
      <c r="AB324" s="92" t="str">
        <f t="shared" si="283"/>
        <v>0.0637701267171766-0.169196161375988i</v>
      </c>
      <c r="AC324" s="37">
        <f t="shared" si="284"/>
        <v>-14.855323390798702</v>
      </c>
      <c r="AD324" s="60">
        <f t="shared" si="285"/>
        <v>-69.348546085610522</v>
      </c>
      <c r="AE324" t="str">
        <f t="shared" si="286"/>
        <v>118.329284003155</v>
      </c>
      <c r="AF324" t="str">
        <f t="shared" si="268"/>
        <v>1+1676.11822675572i</v>
      </c>
      <c r="AG324">
        <f t="shared" si="287"/>
        <v>1676.1185250640058</v>
      </c>
      <c r="AH324">
        <f t="shared" si="288"/>
        <v>1.5701997102404157</v>
      </c>
      <c r="AI324" t="str">
        <f t="shared" si="269"/>
        <v>1+3.93887783287594i</v>
      </c>
      <c r="AJ324">
        <f t="shared" si="289"/>
        <v>4.0638354521709488</v>
      </c>
      <c r="AK324">
        <f t="shared" si="290"/>
        <v>1.3221697955249385</v>
      </c>
      <c r="AL324" t="str">
        <f t="shared" si="270"/>
        <v>1-0.274338725588582i</v>
      </c>
      <c r="AM324">
        <f t="shared" si="291"/>
        <v>1.0369482804641548</v>
      </c>
      <c r="AN324">
        <f t="shared" si="292"/>
        <v>-0.26775132547159669</v>
      </c>
      <c r="AO324" s="58" t="str">
        <f t="shared" si="293"/>
        <v>0.25879380766628-0.146729234091471i</v>
      </c>
      <c r="AP324">
        <f t="shared" si="294"/>
        <v>-10.530385579008195</v>
      </c>
      <c r="AQ324" s="60">
        <f t="shared" si="295"/>
        <v>-29.552088214742618</v>
      </c>
      <c r="AR324" t="str">
        <f t="shared" si="271"/>
        <v>-1.94444444444444</v>
      </c>
      <c r="AS324" t="str">
        <f t="shared" si="272"/>
        <v>1+4.03987470038557i</v>
      </c>
      <c r="AT324">
        <f t="shared" si="296"/>
        <v>4.1618010037501074</v>
      </c>
      <c r="AU324">
        <f t="shared" si="297"/>
        <v>1.3281414278451713</v>
      </c>
      <c r="AV324" t="str">
        <f t="shared" si="273"/>
        <v>1+4.03987470038557i</v>
      </c>
      <c r="AW324">
        <f t="shared" si="298"/>
        <v>4.1618010037501074</v>
      </c>
      <c r="AX324">
        <f t="shared" si="299"/>
        <v>1.3281414278451713</v>
      </c>
      <c r="AY324" t="str">
        <f t="shared" si="274"/>
        <v>1-0.000526664743900353i</v>
      </c>
      <c r="AZ324">
        <f t="shared" si="300"/>
        <v>1.0000001386878665</v>
      </c>
      <c r="BA324">
        <f t="shared" si="301"/>
        <v>-5.2666469520568462E-4</v>
      </c>
      <c r="BB324" s="58" t="str">
        <f t="shared" si="302"/>
        <v>-0.112023181545295+0.4535836873169i</v>
      </c>
      <c r="BC324">
        <f t="shared" si="303"/>
        <v>-6.6097142226144339</v>
      </c>
      <c r="BD324" s="60">
        <f t="shared" si="304"/>
        <v>103.87292592373886</v>
      </c>
      <c r="BE324" s="58" t="str">
        <f t="shared" si="305"/>
        <v>0.0696008862743812+0.0478789815196323i</v>
      </c>
      <c r="BF324" s="37">
        <f t="shared" si="306"/>
        <v>-21.465037613413127</v>
      </c>
      <c r="BG324" s="60">
        <f t="shared" si="307"/>
        <v>34.524379838128354</v>
      </c>
      <c r="BH324" s="58" t="str">
        <f t="shared" si="308"/>
        <v>0.0375630813373962+0.133821725164683i</v>
      </c>
      <c r="BI324" s="37">
        <f t="shared" si="309"/>
        <v>-17.140099801622618</v>
      </c>
      <c r="BJ324" s="60">
        <f t="shared" si="310"/>
        <v>74.320837708996251</v>
      </c>
      <c r="BK324">
        <f t="shared" si="311"/>
        <v>-21.465037613413127</v>
      </c>
      <c r="BL324" s="60">
        <f t="shared" si="312"/>
        <v>34.524379838128354</v>
      </c>
      <c r="BN324">
        <f t="shared" si="313"/>
        <v>0</v>
      </c>
      <c r="BO324">
        <f t="shared" si="314"/>
        <v>0</v>
      </c>
    </row>
    <row r="325" spans="13:67" ht="14.25" x14ac:dyDescent="0.2">
      <c r="M325" s="66">
        <v>7</v>
      </c>
      <c r="N325" s="36">
        <f t="shared" si="316"/>
        <v>11748.975549395318</v>
      </c>
      <c r="O325" s="91" t="str">
        <f t="shared" si="263"/>
        <v>99.7340425531915</v>
      </c>
      <c r="P325" s="67" t="str">
        <f t="shared" si="264"/>
        <v>1+2143.95004459147i</v>
      </c>
      <c r="Q325" s="67">
        <f t="shared" si="275"/>
        <v>2143.9502778058463</v>
      </c>
      <c r="R325" s="67">
        <f t="shared" si="276"/>
        <v>1.5703298980504377</v>
      </c>
      <c r="S325" s="67" t="str">
        <f t="shared" si="265"/>
        <v>1+4.03062608383196i</v>
      </c>
      <c r="T325" s="67">
        <f t="shared" si="277"/>
        <v>4.1528239341039441</v>
      </c>
      <c r="U325" s="67">
        <f t="shared" si="278"/>
        <v>1.3276063068812016</v>
      </c>
      <c r="V325" t="str">
        <f t="shared" si="266"/>
        <v>1-0.416350386681543i</v>
      </c>
      <c r="W325" s="67">
        <f t="shared" si="279"/>
        <v>1.0832117265289694</v>
      </c>
      <c r="X325" s="67">
        <f t="shared" si="280"/>
        <v>-0.39452159643678042</v>
      </c>
      <c r="Y325" t="str">
        <f t="shared" si="267"/>
        <v>0.967328183086322+0.643567609891457i</v>
      </c>
      <c r="Z325" s="67">
        <f t="shared" si="281"/>
        <v>1.1618532963737236</v>
      </c>
      <c r="AA325" s="67">
        <f t="shared" si="282"/>
        <v>0.58705884076625481</v>
      </c>
      <c r="AB325" s="92" t="str">
        <f t="shared" si="283"/>
        <v>0.0611649779857919-0.169404632318108i</v>
      </c>
      <c r="AC325" s="37">
        <f t="shared" si="284"/>
        <v>-14.889314179262501</v>
      </c>
      <c r="AD325" s="60">
        <f t="shared" si="285"/>
        <v>-70.147453666596149</v>
      </c>
      <c r="AE325" t="str">
        <f t="shared" si="286"/>
        <v>118.329284003155</v>
      </c>
      <c r="AF325" t="str">
        <f t="shared" si="268"/>
        <v>1+1715.16003567318i</v>
      </c>
      <c r="AG325">
        <f t="shared" si="287"/>
        <v>1715.1603271911415</v>
      </c>
      <c r="AH325">
        <f t="shared" si="288"/>
        <v>1.5702132908881061</v>
      </c>
      <c r="AI325" t="str">
        <f t="shared" si="269"/>
        <v>1+4.03062608383196i</v>
      </c>
      <c r="AJ325">
        <f t="shared" si="289"/>
        <v>4.1528239341039441</v>
      </c>
      <c r="AK325">
        <f t="shared" si="290"/>
        <v>1.3276063068812016</v>
      </c>
      <c r="AL325" t="str">
        <f t="shared" si="270"/>
        <v>1-0.280728895406029i</v>
      </c>
      <c r="AM325">
        <f t="shared" si="291"/>
        <v>1.0386571680376009</v>
      </c>
      <c r="AN325">
        <f t="shared" si="292"/>
        <v>-0.27368447958463848</v>
      </c>
      <c r="AO325" s="58" t="str">
        <f t="shared" si="293"/>
        <v>0.258791916124312-0.146902699821501i</v>
      </c>
      <c r="AP325">
        <f t="shared" si="294"/>
        <v>-10.527934889131917</v>
      </c>
      <c r="AQ325" s="60">
        <f t="shared" si="295"/>
        <v>-29.581321862427586</v>
      </c>
      <c r="AR325" t="str">
        <f t="shared" si="271"/>
        <v>-1.94444444444444</v>
      </c>
      <c r="AS325" t="str">
        <f t="shared" si="272"/>
        <v>1+4.13397547059687i</v>
      </c>
      <c r="AT325">
        <f t="shared" si="296"/>
        <v>4.2532050493124141</v>
      </c>
      <c r="AU325">
        <f t="shared" si="297"/>
        <v>1.3334575823242028</v>
      </c>
      <c r="AV325" t="str">
        <f t="shared" si="273"/>
        <v>1+4.13397547059687i</v>
      </c>
      <c r="AW325">
        <f t="shared" si="298"/>
        <v>4.2532050493124141</v>
      </c>
      <c r="AX325">
        <f t="shared" si="299"/>
        <v>1.3334575823242028</v>
      </c>
      <c r="AY325" t="str">
        <f t="shared" si="274"/>
        <v>1-0.000514676390704584i</v>
      </c>
      <c r="AZ325">
        <f t="shared" si="300"/>
        <v>1.0000001324458847</v>
      </c>
      <c r="BA325">
        <f t="shared" si="301"/>
        <v>-5.1467634526007491E-4</v>
      </c>
      <c r="BB325" s="58" t="str">
        <f t="shared" si="302"/>
        <v>-0.107260022183015+0.444411060328853i</v>
      </c>
      <c r="BC325">
        <f t="shared" si="303"/>
        <v>-6.798414480455631</v>
      </c>
      <c r="BD325" s="60">
        <f t="shared" si="304"/>
        <v>103.56901959070602</v>
      </c>
      <c r="BE325" s="58" t="str">
        <f t="shared" si="305"/>
        <v>0.0687247353775302+0.0453527373420025i</v>
      </c>
      <c r="BF325" s="37">
        <f t="shared" si="306"/>
        <v>-21.687728659718132</v>
      </c>
      <c r="BG325" s="60">
        <f t="shared" si="307"/>
        <v>33.421565924109885</v>
      </c>
      <c r="BH325" s="58" t="str">
        <f t="shared" si="308"/>
        <v>0.0375271579285658+0.13076677669094i</v>
      </c>
      <c r="BI325" s="37">
        <f t="shared" si="309"/>
        <v>-17.32634936958755</v>
      </c>
      <c r="BJ325" s="60">
        <f t="shared" si="310"/>
        <v>73.987697728278434</v>
      </c>
      <c r="BK325">
        <f t="shared" si="311"/>
        <v>-21.687728659718132</v>
      </c>
      <c r="BL325" s="60">
        <f t="shared" si="312"/>
        <v>33.421565924109885</v>
      </c>
      <c r="BN325">
        <f t="shared" si="313"/>
        <v>0</v>
      </c>
      <c r="BO325">
        <f t="shared" si="314"/>
        <v>0</v>
      </c>
    </row>
    <row r="326" spans="13:67" ht="14.25" x14ac:dyDescent="0.2">
      <c r="M326" s="66">
        <v>8</v>
      </c>
      <c r="N326" s="36">
        <f t="shared" si="316"/>
        <v>12022.644346174151</v>
      </c>
      <c r="O326" s="91" t="str">
        <f t="shared" si="263"/>
        <v>99.7340425531915</v>
      </c>
      <c r="P326" s="67" t="str">
        <f t="shared" si="264"/>
        <v>1+2193.88905643046i</v>
      </c>
      <c r="Q326" s="67">
        <f t="shared" si="275"/>
        <v>2193.88928433623</v>
      </c>
      <c r="R326" s="67">
        <f t="shared" si="276"/>
        <v>1.5703405152634</v>
      </c>
      <c r="S326" s="67" t="str">
        <f t="shared" si="265"/>
        <v>1+4.12451142608926i</v>
      </c>
      <c r="T326" s="67">
        <f t="shared" si="277"/>
        <v>4.2440068925416297</v>
      </c>
      <c r="U326" s="67">
        <f t="shared" si="278"/>
        <v>1.3329332768494724</v>
      </c>
      <c r="V326" t="str">
        <f t="shared" si="266"/>
        <v>1-0.426048433024605i</v>
      </c>
      <c r="W326" s="67">
        <f t="shared" si="279"/>
        <v>1.0869762036414234</v>
      </c>
      <c r="X326" s="67">
        <f t="shared" si="280"/>
        <v>-0.40275834438540303</v>
      </c>
      <c r="Y326" t="str">
        <f t="shared" si="267"/>
        <v>0.965788407792996+0.658558225260801i</v>
      </c>
      <c r="Z326" s="67">
        <f t="shared" si="281"/>
        <v>1.1689508906220083</v>
      </c>
      <c r="AA326" s="67">
        <f t="shared" si="282"/>
        <v>0.59846563420995569</v>
      </c>
      <c r="AB326" s="92" t="str">
        <f t="shared" si="283"/>
        <v>0.0585014706473135-0.169596126756385i</v>
      </c>
      <c r="AC326" s="37">
        <f t="shared" si="284"/>
        <v>-14.923428664803655</v>
      </c>
      <c r="AD326" s="60">
        <f t="shared" si="285"/>
        <v>-70.968341107784809</v>
      </c>
      <c r="AE326" t="str">
        <f t="shared" si="286"/>
        <v>118.329284003155</v>
      </c>
      <c r="AF326" t="str">
        <f t="shared" si="268"/>
        <v>1+1755.11124514437i</v>
      </c>
      <c r="AG326">
        <f t="shared" si="287"/>
        <v>1755.111530026574</v>
      </c>
      <c r="AH326">
        <f t="shared" si="288"/>
        <v>1.5702265624027214</v>
      </c>
      <c r="AI326" t="str">
        <f t="shared" si="269"/>
        <v>1+4.12451142608926i</v>
      </c>
      <c r="AJ326">
        <f t="shared" si="289"/>
        <v>4.2440068925416297</v>
      </c>
      <c r="AK326">
        <f t="shared" si="290"/>
        <v>1.3329332768494724</v>
      </c>
      <c r="AL326" t="str">
        <f t="shared" si="270"/>
        <v>1-0.287267911399706i</v>
      </c>
      <c r="AM326">
        <f t="shared" si="291"/>
        <v>1.0404435846887372</v>
      </c>
      <c r="AN326">
        <f t="shared" si="292"/>
        <v>-0.27973543970234299</v>
      </c>
      <c r="AO326" s="58" t="str">
        <f t="shared" si="293"/>
        <v>0.258790109715702-0.147154055208166i</v>
      </c>
      <c r="AP326">
        <f t="shared" si="294"/>
        <v>-10.524357307229845</v>
      </c>
      <c r="AQ326" s="60">
        <f t="shared" si="295"/>
        <v>-29.623563844174353</v>
      </c>
      <c r="AR326" t="str">
        <f t="shared" si="271"/>
        <v>-1.94444444444444</v>
      </c>
      <c r="AS326" t="str">
        <f t="shared" si="272"/>
        <v>1+4.23026812932231i</v>
      </c>
      <c r="AT326">
        <f t="shared" si="296"/>
        <v>4.3468573068321525</v>
      </c>
      <c r="AU326">
        <f t="shared" si="297"/>
        <v>1.3386659716110185</v>
      </c>
      <c r="AV326" t="str">
        <f t="shared" si="273"/>
        <v>1+4.23026812932231i</v>
      </c>
      <c r="AW326">
        <f t="shared" si="298"/>
        <v>4.3468573068321525</v>
      </c>
      <c r="AX326">
        <f t="shared" si="299"/>
        <v>1.3386659716110185</v>
      </c>
      <c r="AY326" t="str">
        <f t="shared" si="274"/>
        <v>1-0.000502960925743715i</v>
      </c>
      <c r="AZ326">
        <f t="shared" si="300"/>
        <v>1.0000001264848384</v>
      </c>
      <c r="BA326">
        <f t="shared" si="301"/>
        <v>-5.0296088333243107E-4</v>
      </c>
      <c r="BB326" s="58" t="str">
        <f t="shared" si="302"/>
        <v>-0.102688014354275+0.435375813964117i</v>
      </c>
      <c r="BC326">
        <f t="shared" si="303"/>
        <v>-6.9875957954567012</v>
      </c>
      <c r="BD326" s="60">
        <f t="shared" si="304"/>
        <v>103.27127211303383</v>
      </c>
      <c r="BE326" s="58" t="str">
        <f t="shared" si="305"/>
        <v>0.0678306518741452+0.0428856148999611i</v>
      </c>
      <c r="BF326" s="37">
        <f t="shared" si="306"/>
        <v>-21.911024460260357</v>
      </c>
      <c r="BG326" s="60">
        <f t="shared" si="307"/>
        <v>32.302931005248993</v>
      </c>
      <c r="BH326" s="58" t="str">
        <f t="shared" si="308"/>
        <v>0.0374926740631455+0.127781912396843i</v>
      </c>
      <c r="BI326" s="37">
        <f t="shared" si="309"/>
        <v>-17.511953102686533</v>
      </c>
      <c r="BJ326" s="60">
        <f t="shared" si="310"/>
        <v>73.647708268859489</v>
      </c>
      <c r="BK326">
        <f t="shared" si="311"/>
        <v>-21.911024460260357</v>
      </c>
      <c r="BL326" s="60">
        <f t="shared" si="312"/>
        <v>32.302931005248993</v>
      </c>
      <c r="BN326">
        <f t="shared" si="313"/>
        <v>0</v>
      </c>
      <c r="BO326">
        <f t="shared" si="314"/>
        <v>0</v>
      </c>
    </row>
    <row r="327" spans="13:67" ht="14.25" x14ac:dyDescent="0.2">
      <c r="M327" s="66">
        <v>9</v>
      </c>
      <c r="N327" s="36">
        <f t="shared" si="316"/>
        <v>12302.687708123816</v>
      </c>
      <c r="O327" s="91" t="str">
        <f t="shared" si="263"/>
        <v>99.7340425531915</v>
      </c>
      <c r="P327" s="67" t="str">
        <f t="shared" si="264"/>
        <v>1+2244.99129728672i</v>
      </c>
      <c r="Q327" s="67">
        <f t="shared" si="275"/>
        <v>2244.9915200047217</v>
      </c>
      <c r="R327" s="67">
        <f t="shared" si="276"/>
        <v>1.5703508907991888</v>
      </c>
      <c r="S327" s="67" t="str">
        <f t="shared" si="265"/>
        <v>1+4.22058363889904i</v>
      </c>
      <c r="T327" s="67">
        <f t="shared" si="277"/>
        <v>4.3374331410342526</v>
      </c>
      <c r="U327" s="67">
        <f t="shared" si="278"/>
        <v>1.3381523200459582</v>
      </c>
      <c r="V327" t="str">
        <f t="shared" si="266"/>
        <v>1-0.435972375886274i</v>
      </c>
      <c r="W327" s="67">
        <f t="shared" si="279"/>
        <v>1.0909041720224204</v>
      </c>
      <c r="X327" s="67">
        <f t="shared" si="280"/>
        <v>-0.41112752009376491</v>
      </c>
      <c r="Y327" t="str">
        <f t="shared" si="267"/>
        <v>0.96417606512577+0.673898016918228i</v>
      </c>
      <c r="Z327" s="67">
        <f t="shared" si="281"/>
        <v>1.1763392460373554</v>
      </c>
      <c r="AA327" s="67">
        <f t="shared" si="282"/>
        <v>0.61001196957323045</v>
      </c>
      <c r="AB327" s="92" t="str">
        <f t="shared" si="283"/>
        <v>0.0557805539538441-0.169767171754333i</v>
      </c>
      <c r="AC327" s="37">
        <f t="shared" si="284"/>
        <v>-14.95768945063805</v>
      </c>
      <c r="AD327" s="60">
        <f t="shared" si="285"/>
        <v>-71.810981165191563</v>
      </c>
      <c r="AE327" t="str">
        <f t="shared" si="286"/>
        <v>118.329284003155</v>
      </c>
      <c r="AF327" t="str">
        <f t="shared" si="268"/>
        <v>1+1795.99303782938i</v>
      </c>
      <c r="AG327">
        <f t="shared" si="287"/>
        <v>1795.993316226874</v>
      </c>
      <c r="AH327">
        <f t="shared" si="288"/>
        <v>1.5702395318209761</v>
      </c>
      <c r="AI327" t="str">
        <f t="shared" si="269"/>
        <v>1+4.22058363889904i</v>
      </c>
      <c r="AJ327">
        <f t="shared" si="289"/>
        <v>4.3374331410342526</v>
      </c>
      <c r="AK327">
        <f t="shared" si="290"/>
        <v>1.3381523200459582</v>
      </c>
      <c r="AL327" t="str">
        <f t="shared" si="270"/>
        <v>1-0.293959240642448i</v>
      </c>
      <c r="AM327">
        <f t="shared" si="291"/>
        <v>1.0423109109853377</v>
      </c>
      <c r="AN327">
        <f t="shared" si="292"/>
        <v>-0.28590564102576355</v>
      </c>
      <c r="AO327" s="58" t="str">
        <f t="shared" si="293"/>
        <v>0.25878838460882-0.147483433530046i</v>
      </c>
      <c r="AP327">
        <f t="shared" si="294"/>
        <v>-10.519648039586606</v>
      </c>
      <c r="AQ327" s="60">
        <f t="shared" si="295"/>
        <v>-29.678804283425972</v>
      </c>
      <c r="AR327" t="str">
        <f t="shared" si="271"/>
        <v>-1.94444444444444</v>
      </c>
      <c r="AS327" t="str">
        <f t="shared" si="272"/>
        <v>1+4.32880373220413i</v>
      </c>
      <c r="AT327">
        <f t="shared" si="296"/>
        <v>4.4428078679979404</v>
      </c>
      <c r="AU327">
        <f t="shared" si="297"/>
        <v>1.3437682264495234</v>
      </c>
      <c r="AV327" t="str">
        <f t="shared" si="273"/>
        <v>1+4.32880373220413i</v>
      </c>
      <c r="AW327">
        <f t="shared" si="298"/>
        <v>4.4428078679979404</v>
      </c>
      <c r="AX327">
        <f t="shared" si="299"/>
        <v>1.3437682264495234</v>
      </c>
      <c r="AY327" t="str">
        <f t="shared" si="274"/>
        <v>1-0.00049151213732315i</v>
      </c>
      <c r="AZ327">
        <f t="shared" si="300"/>
        <v>1.0000001207920832</v>
      </c>
      <c r="BA327">
        <f t="shared" si="301"/>
        <v>-4.9151209774263662E-4</v>
      </c>
      <c r="BB327" s="58" t="str">
        <f t="shared" si="302"/>
        <v>-0.0983004394645344+0.426479027276178i</v>
      </c>
      <c r="BC327">
        <f t="shared" si="303"/>
        <v>-7.1772388120890476</v>
      </c>
      <c r="BD327" s="60">
        <f t="shared" si="304"/>
        <v>102.97959041188216</v>
      </c>
      <c r="BE327" s="58" t="str">
        <f t="shared" si="305"/>
        <v>0.0669188853059777+0.0404774239812638i</v>
      </c>
      <c r="BF327" s="37">
        <f t="shared" si="306"/>
        <v>-22.134928262727101</v>
      </c>
      <c r="BG327" s="60">
        <f t="shared" si="307"/>
        <v>31.168609246690593</v>
      </c>
      <c r="BH327" s="58" t="str">
        <f t="shared" si="308"/>
        <v>0.0374595793358809+0.124865504868085i</v>
      </c>
      <c r="BI327" s="37">
        <f t="shared" si="309"/>
        <v>-17.696886851675654</v>
      </c>
      <c r="BJ327" s="60">
        <f t="shared" si="310"/>
        <v>73.30078612845621</v>
      </c>
      <c r="BK327">
        <f t="shared" si="311"/>
        <v>-22.134928262727101</v>
      </c>
      <c r="BL327" s="60">
        <f t="shared" si="312"/>
        <v>31.168609246690593</v>
      </c>
      <c r="BN327">
        <f t="shared" si="313"/>
        <v>0</v>
      </c>
      <c r="BO327">
        <f t="shared" si="314"/>
        <v>0</v>
      </c>
    </row>
    <row r="328" spans="13:67" ht="14.25" x14ac:dyDescent="0.2">
      <c r="M328" s="66">
        <v>10</v>
      </c>
      <c r="N328" s="36">
        <f t="shared" si="316"/>
        <v>12589.254117941671</v>
      </c>
      <c r="O328" s="91" t="str">
        <f t="shared" si="263"/>
        <v>99.7340425531915</v>
      </c>
      <c r="P328" s="67" t="str">
        <f t="shared" si="264"/>
        <v>1+2297.28386224478i</v>
      </c>
      <c r="Q328" s="67">
        <f t="shared" si="275"/>
        <v>2297.2840798931011</v>
      </c>
      <c r="R328" s="67">
        <f t="shared" si="276"/>
        <v>1.5703610301590416</v>
      </c>
      <c r="S328" s="67" t="str">
        <f t="shared" si="265"/>
        <v>1+4.31889366102019i</v>
      </c>
      <c r="T328" s="67">
        <f t="shared" si="277"/>
        <v>4.4331526541729174</v>
      </c>
      <c r="U328" s="67">
        <f t="shared" si="278"/>
        <v>1.3432650659105037</v>
      </c>
      <c r="V328" t="str">
        <f t="shared" si="266"/>
        <v>1-0.446127477072415i</v>
      </c>
      <c r="W328" s="67">
        <f t="shared" si="279"/>
        <v>1.0950021578969595</v>
      </c>
      <c r="X328" s="67">
        <f t="shared" si="280"/>
        <v>-0.41962887033444318</v>
      </c>
      <c r="Y328" t="str">
        <f t="shared" si="267"/>
        <v>0.962487735089678+0.689595118224319i</v>
      </c>
      <c r="Z328" s="67">
        <f t="shared" si="281"/>
        <v>1.1840287442781405</v>
      </c>
      <c r="AA328" s="67">
        <f t="shared" si="282"/>
        <v>0.62169539450859845</v>
      </c>
      <c r="AB328" s="92" t="str">
        <f t="shared" si="283"/>
        <v>0.0530033460756309-0.169914305745663i</v>
      </c>
      <c r="AC328" s="37">
        <f t="shared" si="284"/>
        <v>-14.992117290132782</v>
      </c>
      <c r="AD328" s="60">
        <f t="shared" si="285"/>
        <v>-72.675125775964588</v>
      </c>
      <c r="AE328" t="str">
        <f t="shared" si="286"/>
        <v>118.329284003155</v>
      </c>
      <c r="AF328" t="str">
        <f t="shared" si="268"/>
        <v>1+1837.82708979583i</v>
      </c>
      <c r="AG328">
        <f t="shared" si="287"/>
        <v>1837.8273618562246</v>
      </c>
      <c r="AH328">
        <f t="shared" si="288"/>
        <v>1.5702522060194095</v>
      </c>
      <c r="AI328" t="str">
        <f t="shared" si="269"/>
        <v>1+4.31889366102019i</v>
      </c>
      <c r="AJ328">
        <f t="shared" si="289"/>
        <v>4.4331526541729174</v>
      </c>
      <c r="AK328">
        <f t="shared" si="290"/>
        <v>1.3432650659105037</v>
      </c>
      <c r="AL328" t="str">
        <f t="shared" si="270"/>
        <v>1-0.300806430965589i</v>
      </c>
      <c r="AM328">
        <f t="shared" si="291"/>
        <v>1.0442626627962219</v>
      </c>
      <c r="AN328">
        <f t="shared" si="292"/>
        <v>-0.29219647509081226</v>
      </c>
      <c r="AO328" s="58" t="str">
        <f t="shared" si="293"/>
        <v>0.258786737144489-0.147891009434073i</v>
      </c>
      <c r="AP328">
        <f t="shared" si="294"/>
        <v>-10.513800796503531</v>
      </c>
      <c r="AQ328" s="60">
        <f t="shared" si="295"/>
        <v>-29.747029943288059</v>
      </c>
      <c r="AR328" t="str">
        <f t="shared" si="271"/>
        <v>-1.94444444444444</v>
      </c>
      <c r="AS328" t="str">
        <f t="shared" si="272"/>
        <v>1+4.42963452412326i</v>
      </c>
      <c r="AT328">
        <f t="shared" si="296"/>
        <v>4.5411080164762323</v>
      </c>
      <c r="AU328">
        <f t="shared" si="297"/>
        <v>1.3487659890345367</v>
      </c>
      <c r="AV328" t="str">
        <f t="shared" si="273"/>
        <v>1+4.42963452412326i</v>
      </c>
      <c r="AW328">
        <f t="shared" si="298"/>
        <v>4.5411080164762323</v>
      </c>
      <c r="AX328">
        <f t="shared" si="299"/>
        <v>1.3487659890345367</v>
      </c>
      <c r="AY328" t="str">
        <f t="shared" si="274"/>
        <v>1-0.000480323955143727i</v>
      </c>
      <c r="AZ328">
        <f t="shared" si="300"/>
        <v>1.0000001153555442</v>
      </c>
      <c r="BA328">
        <f t="shared" si="301"/>
        <v>-4.8032391820504249E-4</v>
      </c>
      <c r="BB328" s="58" t="str">
        <f t="shared" si="302"/>
        <v>-0.0940907346351126+0.417721529785928i</v>
      </c>
      <c r="BC328">
        <f t="shared" si="303"/>
        <v>-7.3673248593578533</v>
      </c>
      <c r="BD328" s="60">
        <f t="shared" si="304"/>
        <v>102.69388074422044</v>
      </c>
      <c r="BE328" s="58" t="str">
        <f t="shared" si="305"/>
        <v>0.065989739958217+0.0381280006591101i</v>
      </c>
      <c r="BF328" s="37">
        <f t="shared" si="306"/>
        <v>-22.35944214949064</v>
      </c>
      <c r="BG328" s="60">
        <f t="shared" si="307"/>
        <v>30.01875496825588</v>
      </c>
      <c r="BH328" s="58" t="str">
        <f t="shared" si="308"/>
        <v>0.0374278244906373+0.122015965451885i</v>
      </c>
      <c r="BI328" s="37">
        <f t="shared" si="309"/>
        <v>-17.881125655861389</v>
      </c>
      <c r="BJ328" s="60">
        <f t="shared" si="310"/>
        <v>72.946850800932381</v>
      </c>
      <c r="BK328">
        <f t="shared" si="311"/>
        <v>-22.35944214949064</v>
      </c>
      <c r="BL328" s="60">
        <f t="shared" si="312"/>
        <v>30.01875496825588</v>
      </c>
      <c r="BN328">
        <f t="shared" si="313"/>
        <v>0</v>
      </c>
      <c r="BO328">
        <f t="shared" si="314"/>
        <v>0</v>
      </c>
    </row>
    <row r="329" spans="13:67" ht="14.25" x14ac:dyDescent="0.2">
      <c r="M329" s="66">
        <v>11</v>
      </c>
      <c r="N329" s="36">
        <f t="shared" si="316"/>
        <v>12882.49551693136</v>
      </c>
      <c r="O329" s="91" t="str">
        <f t="shared" si="263"/>
        <v>99.7340425531915</v>
      </c>
      <c r="P329" s="67" t="str">
        <f t="shared" si="264"/>
        <v>1+2350.79447751475i</v>
      </c>
      <c r="Q329" s="67">
        <f t="shared" si="275"/>
        <v>2350.7946902087911</v>
      </c>
      <c r="R329" s="67">
        <f t="shared" si="276"/>
        <v>1.570370938718973</v>
      </c>
      <c r="S329" s="67" t="str">
        <f t="shared" si="265"/>
        <v>1+4.41949361772774i</v>
      </c>
      <c r="T329" s="67">
        <f t="shared" si="277"/>
        <v>4.5312165956988002</v>
      </c>
      <c r="U329" s="67">
        <f t="shared" si="278"/>
        <v>1.3482731556298677</v>
      </c>
      <c r="V329" t="str">
        <f t="shared" si="266"/>
        <v>1-0.456519120952096i</v>
      </c>
      <c r="W329" s="67">
        <f t="shared" si="279"/>
        <v>1.0992769022384099</v>
      </c>
      <c r="X329" s="67">
        <f t="shared" si="280"/>
        <v>-0.42826198624746253</v>
      </c>
      <c r="Y329" t="str">
        <f t="shared" si="267"/>
        <v>0.960719836510353+0.705657851989965i</v>
      </c>
      <c r="Z329" s="67">
        <f t="shared" si="281"/>
        <v>1.1920300366767485</v>
      </c>
      <c r="AA329" s="67">
        <f t="shared" si="282"/>
        <v>0.63351325790414781</v>
      </c>
      <c r="AB329" s="92" t="str">
        <f t="shared" si="283"/>
        <v>0.0501711372511077-0.170034089533895i</v>
      </c>
      <c r="AC329" s="37">
        <f t="shared" si="284"/>
        <v>-15.026731041892861</v>
      </c>
      <c r="AD329" s="60">
        <f t="shared" si="285"/>
        <v>-73.560505891577577</v>
      </c>
      <c r="AE329" t="str">
        <f t="shared" si="286"/>
        <v>118.329284003155</v>
      </c>
      <c r="AF329" t="str">
        <f t="shared" si="268"/>
        <v>1+1880.6355820118i</v>
      </c>
      <c r="AG329">
        <f t="shared" si="287"/>
        <v>1880.6358478793445</v>
      </c>
      <c r="AH329">
        <f t="shared" si="288"/>
        <v>1.5702645917180336</v>
      </c>
      <c r="AI329" t="str">
        <f t="shared" si="269"/>
        <v>1+4.41949361772774i</v>
      </c>
      <c r="AJ329">
        <f t="shared" si="289"/>
        <v>4.5312165956988002</v>
      </c>
      <c r="AK329">
        <f t="shared" si="290"/>
        <v>1.3482731556298677</v>
      </c>
      <c r="AL329" t="str">
        <f t="shared" si="270"/>
        <v>1-0.307813112840072i</v>
      </c>
      <c r="AM329">
        <f t="shared" si="291"/>
        <v>1.046302495665711</v>
      </c>
      <c r="AN329">
        <f t="shared" si="292"/>
        <v>-0.29860928497355183</v>
      </c>
      <c r="AO329" s="58" t="str">
        <f t="shared" si="293"/>
        <v>0.258785163828227-0.148376999028159i</v>
      </c>
      <c r="AP329">
        <f t="shared" si="294"/>
        <v>-10.506807800566655</v>
      </c>
      <c r="AQ329" s="60">
        <f t="shared" si="295"/>
        <v>-29.828224128303859</v>
      </c>
      <c r="AR329" t="str">
        <f t="shared" si="271"/>
        <v>-1.94444444444444</v>
      </c>
      <c r="AS329" t="str">
        <f t="shared" si="272"/>
        <v>1+4.53281396690023i</v>
      </c>
      <c r="AT329">
        <f t="shared" si="296"/>
        <v>4.6418102566268038</v>
      </c>
      <c r="AU329">
        <f t="shared" si="297"/>
        <v>1.3536609101388719</v>
      </c>
      <c r="AV329" t="str">
        <f t="shared" si="273"/>
        <v>1+4.53281396690023i</v>
      </c>
      <c r="AW329">
        <f t="shared" si="298"/>
        <v>4.6418102566268038</v>
      </c>
      <c r="AX329">
        <f t="shared" si="299"/>
        <v>1.3536609101388719</v>
      </c>
      <c r="AY329" t="str">
        <f t="shared" si="274"/>
        <v>1-0.000469390447083158i</v>
      </c>
      <c r="AZ329">
        <f t="shared" si="300"/>
        <v>1.0000001101636899</v>
      </c>
      <c r="BA329">
        <f t="shared" si="301"/>
        <v>-4.6939041260997161E-4</v>
      </c>
      <c r="BB329" s="58" t="str">
        <f t="shared" si="302"/>
        <v>-0.0900524963431854+0.409103916825729i</v>
      </c>
      <c r="BC329">
        <f t="shared" si="303"/>
        <v>-7.5578359345564419</v>
      </c>
      <c r="BD329" s="60">
        <f t="shared" si="304"/>
        <v>102.41404886761839</v>
      </c>
      <c r="BE329" s="58" t="str">
        <f t="shared" si="305"/>
        <v>0.0650435758683743+0.0358372029869973i</v>
      </c>
      <c r="BF329" s="37">
        <f t="shared" si="306"/>
        <v>-22.584566976449306</v>
      </c>
      <c r="BG329" s="60">
        <f t="shared" si="307"/>
        <v>28.853542976040799</v>
      </c>
      <c r="BH329" s="58" t="str">
        <f t="shared" si="308"/>
        <v>0.0373973614499552+0.119231743300912i</v>
      </c>
      <c r="BI329" s="37">
        <f t="shared" si="309"/>
        <v>-18.064643735123081</v>
      </c>
      <c r="BJ329" s="60">
        <f t="shared" si="310"/>
        <v>72.585824739314575</v>
      </c>
      <c r="BK329">
        <f t="shared" si="311"/>
        <v>-22.584566976449306</v>
      </c>
      <c r="BL329" s="60">
        <f t="shared" si="312"/>
        <v>28.853542976040799</v>
      </c>
      <c r="BN329">
        <f t="shared" si="313"/>
        <v>0</v>
      </c>
      <c r="BO329">
        <f t="shared" si="314"/>
        <v>0</v>
      </c>
    </row>
    <row r="330" spans="13:67" ht="14.25" x14ac:dyDescent="0.2">
      <c r="M330" s="66">
        <v>12</v>
      </c>
      <c r="N330" s="36">
        <f t="shared" si="316"/>
        <v>13182.567385564091</v>
      </c>
      <c r="O330" s="91" t="str">
        <f t="shared" si="263"/>
        <v>99.7340425531915</v>
      </c>
      <c r="P330" s="67" t="str">
        <f t="shared" si="264"/>
        <v>1+2405.55151513314i</v>
      </c>
      <c r="Q330" s="67">
        <f t="shared" si="275"/>
        <v>2405.5517229856741</v>
      </c>
      <c r="R330" s="67">
        <f t="shared" si="276"/>
        <v>1.5703806217326248</v>
      </c>
      <c r="S330" s="67" t="str">
        <f t="shared" si="265"/>
        <v>1+4.52243684845031i</v>
      </c>
      <c r="T330" s="67">
        <f t="shared" si="277"/>
        <v>4.6316773471628156</v>
      </c>
      <c r="U330" s="67">
        <f t="shared" si="278"/>
        <v>1.3531782392466394</v>
      </c>
      <c r="V330" t="str">
        <f t="shared" si="266"/>
        <v>1-0.46715281731245i</v>
      </c>
      <c r="W330" s="67">
        <f t="shared" si="279"/>
        <v>1.1037353644433794</v>
      </c>
      <c r="X330" s="67">
        <f t="shared" si="280"/>
        <v>-0.43702629673041088</v>
      </c>
      <c r="Y330" t="str">
        <f t="shared" si="267"/>
        <v>0.958868619437884+0.722094734889221i</v>
      </c>
      <c r="Z330" s="67">
        <f t="shared" si="281"/>
        <v>1.2003540458953967</v>
      </c>
      <c r="AA330" s="67">
        <f t="shared" si="282"/>
        <v>0.64546271151103884</v>
      </c>
      <c r="AB330" s="92" t="str">
        <f t="shared" si="283"/>
        <v>0.0472853920776853-0.170123117799544i</v>
      </c>
      <c r="AC330" s="37">
        <f t="shared" si="284"/>
        <v>-15.061547628467093</v>
      </c>
      <c r="AD330" s="60">
        <f t="shared" si="285"/>
        <v>-74.466831358170438</v>
      </c>
      <c r="AE330" t="str">
        <f t="shared" si="286"/>
        <v>118.329284003155</v>
      </c>
      <c r="AF330" t="str">
        <f t="shared" si="268"/>
        <v>1+1924.44121210652i</v>
      </c>
      <c r="AG330">
        <f t="shared" si="287"/>
        <v>1924.4414719221813</v>
      </c>
      <c r="AH330">
        <f t="shared" si="288"/>
        <v>1.570276695483894</v>
      </c>
      <c r="AI330" t="str">
        <f t="shared" si="269"/>
        <v>1+4.52243684845031i</v>
      </c>
      <c r="AJ330">
        <f t="shared" si="289"/>
        <v>4.6316773471628156</v>
      </c>
      <c r="AK330">
        <f t="shared" si="290"/>
        <v>1.3531782392466394</v>
      </c>
      <c r="AL330" t="str">
        <f t="shared" si="270"/>
        <v>1-0.31498300130137i</v>
      </c>
      <c r="AM330">
        <f t="shared" si="291"/>
        <v>1.0484342092419623</v>
      </c>
      <c r="AN330">
        <f t="shared" si="292"/>
        <v>-0.30514536028286748</v>
      </c>
      <c r="AO330" s="58" t="str">
        <f t="shared" si="293"/>
        <v>0.258783661322819-0.148941659995804i</v>
      </c>
      <c r="AP330">
        <f t="shared" si="294"/>
        <v>-10.498659797026015</v>
      </c>
      <c r="AQ330" s="60">
        <f t="shared" si="295"/>
        <v>-29.92236656340749</v>
      </c>
      <c r="AR330" t="str">
        <f t="shared" si="271"/>
        <v>-1.94444444444444</v>
      </c>
      <c r="AS330" t="str">
        <f t="shared" si="272"/>
        <v>1+4.63839676764133i</v>
      </c>
      <c r="AT330">
        <f t="shared" si="296"/>
        <v>4.7449683427885523</v>
      </c>
      <c r="AU330">
        <f t="shared" si="297"/>
        <v>1.358454646419579</v>
      </c>
      <c r="AV330" t="str">
        <f t="shared" si="273"/>
        <v>1+4.63839676764133i</v>
      </c>
      <c r="AW330">
        <f t="shared" si="298"/>
        <v>4.7449683427885523</v>
      </c>
      <c r="AX330">
        <f t="shared" si="299"/>
        <v>1.358454646419579</v>
      </c>
      <c r="AY330" t="str">
        <f t="shared" si="274"/>
        <v>1-0.000458705816050751i</v>
      </c>
      <c r="AZ330">
        <f t="shared" si="300"/>
        <v>1.0000001052055074</v>
      </c>
      <c r="BA330">
        <f t="shared" si="301"/>
        <v>-4.5870578387850134E-4</v>
      </c>
      <c r="BB330" s="58" t="str">
        <f t="shared" si="302"/>
        <v>-0.0861794832187383+0.40062656437445i</v>
      </c>
      <c r="BC330">
        <f t="shared" si="303"/>
        <v>-7.7487546866895238</v>
      </c>
      <c r="BD330" s="60">
        <f t="shared" si="304"/>
        <v>102.14000019476711</v>
      </c>
      <c r="BE330" s="58" t="str">
        <f t="shared" si="305"/>
        <v>0.0640808095516508+0.0336049065487071i</v>
      </c>
      <c r="BF330" s="37">
        <f t="shared" si="306"/>
        <v>-22.810302315156626</v>
      </c>
      <c r="BG330" s="60">
        <f t="shared" si="307"/>
        <v>27.673168836596659</v>
      </c>
      <c r="BH330" s="58" t="str">
        <f t="shared" si="308"/>
        <v>0.0373681433380929+0.116511324440182i</v>
      </c>
      <c r="BI330" s="37">
        <f t="shared" si="309"/>
        <v>-18.247414483715513</v>
      </c>
      <c r="BJ330" s="60">
        <f t="shared" si="310"/>
        <v>72.217633631359689</v>
      </c>
      <c r="BK330">
        <f t="shared" si="311"/>
        <v>-22.810302315156626</v>
      </c>
      <c r="BL330" s="60">
        <f t="shared" si="312"/>
        <v>27.673168836596659</v>
      </c>
      <c r="BN330">
        <f t="shared" si="313"/>
        <v>0</v>
      </c>
      <c r="BO330">
        <f t="shared" si="314"/>
        <v>0</v>
      </c>
    </row>
    <row r="331" spans="13:67" ht="14.25" x14ac:dyDescent="0.2">
      <c r="M331" s="66">
        <v>13</v>
      </c>
      <c r="N331" s="36">
        <f t="shared" si="316"/>
        <v>13489.628825916556</v>
      </c>
      <c r="O331" s="91" t="str">
        <f t="shared" si="263"/>
        <v>99.7340425531915</v>
      </c>
      <c r="P331" s="67" t="str">
        <f t="shared" si="264"/>
        <v>1+2461.5840080061i</v>
      </c>
      <c r="Q331" s="67">
        <f t="shared" si="275"/>
        <v>2461.5842111273328</v>
      </c>
      <c r="R331" s="67">
        <f t="shared" si="276"/>
        <v>1.5703900843340517</v>
      </c>
      <c r="S331" s="67" t="str">
        <f t="shared" si="265"/>
        <v>1+4.62777793505146i</v>
      </c>
      <c r="T331" s="67">
        <f t="shared" si="277"/>
        <v>4.7345885371539049</v>
      </c>
      <c r="U331" s="67">
        <f t="shared" si="278"/>
        <v>1.3579819729479232</v>
      </c>
      <c r="V331" t="str">
        <f t="shared" si="266"/>
        <v>1-0.478034204280041i</v>
      </c>
      <c r="W331" s="67">
        <f t="shared" si="279"/>
        <v>1.1083847258337927</v>
      </c>
      <c r="X331" s="67">
        <f t="shared" si="280"/>
        <v>-0.44592106199856546</v>
      </c>
      <c r="Y331" t="str">
        <f t="shared" si="267"/>
        <v>0.956930157192663+0.738914481974969i</v>
      </c>
      <c r="Z331" s="67">
        <f t="shared" si="281"/>
        <v>1.2090119674416426</v>
      </c>
      <c r="AA331" s="67">
        <f t="shared" si="282"/>
        <v>0.65754071248879709</v>
      </c>
      <c r="AB331" s="92" t="str">
        <f t="shared" si="283"/>
        <v>0.0443477508744287-0.170178031043629i</v>
      </c>
      <c r="AC331" s="37">
        <f t="shared" si="284"/>
        <v>-15.096581999266066</v>
      </c>
      <c r="AD331" s="60">
        <f t="shared" si="285"/>
        <v>-75.393790848912232</v>
      </c>
      <c r="AE331" t="str">
        <f t="shared" si="286"/>
        <v>118.329284003155</v>
      </c>
      <c r="AF331" t="str">
        <f t="shared" si="268"/>
        <v>1+1969.26720640488i</v>
      </c>
      <c r="AG331">
        <f t="shared" si="287"/>
        <v>1969.2674603064158</v>
      </c>
      <c r="AH331">
        <f t="shared" si="288"/>
        <v>1.5702885237345536</v>
      </c>
      <c r="AI331" t="str">
        <f t="shared" si="269"/>
        <v>1+4.62777793505146i</v>
      </c>
      <c r="AJ331">
        <f t="shared" si="289"/>
        <v>4.7345885371539049</v>
      </c>
      <c r="AK331">
        <f t="shared" si="290"/>
        <v>1.3579819729479232</v>
      </c>
      <c r="AL331" t="str">
        <f t="shared" si="270"/>
        <v>1-0.322319897919252i</v>
      </c>
      <c r="AM331">
        <f t="shared" si="291"/>
        <v>1.0506617517520456</v>
      </c>
      <c r="AN331">
        <f t="shared" si="292"/>
        <v>-0.31180593194280209</v>
      </c>
      <c r="AO331" s="58" t="str">
        <f t="shared" si="293"/>
        <v>0.25878222644126-0.149585291732759i</v>
      </c>
      <c r="AP331">
        <f t="shared" si="294"/>
        <v>-10.489346066368658</v>
      </c>
      <c r="AQ331" s="60">
        <f t="shared" si="295"/>
        <v>-30.029433250519709</v>
      </c>
      <c r="AR331" t="str">
        <f t="shared" si="271"/>
        <v>-1.94444444444444</v>
      </c>
      <c r="AS331" t="str">
        <f t="shared" si="272"/>
        <v>1+4.74643890774508i</v>
      </c>
      <c r="AT331">
        <f t="shared" si="296"/>
        <v>4.8506373091539547</v>
      </c>
      <c r="AU331">
        <f t="shared" si="297"/>
        <v>1.3631488578972011</v>
      </c>
      <c r="AV331" t="str">
        <f t="shared" si="273"/>
        <v>1+4.74643890774508i</v>
      </c>
      <c r="AW331">
        <f t="shared" si="298"/>
        <v>4.8506373091539547</v>
      </c>
      <c r="AX331">
        <f t="shared" si="299"/>
        <v>1.3631488578972011</v>
      </c>
      <c r="AY331" t="str">
        <f t="shared" si="274"/>
        <v>1-0.000448264396913703i</v>
      </c>
      <c r="AZ331">
        <f t="shared" si="300"/>
        <v>1.0000001004704797</v>
      </c>
      <c r="BA331">
        <f t="shared" si="301"/>
        <v>-4.4826436688881244E-4</v>
      </c>
      <c r="BB331" s="58" t="str">
        <f t="shared" si="302"/>
        <v>-0.0824656180680578+0.392289643365696i</v>
      </c>
      <c r="BC331">
        <f t="shared" si="303"/>
        <v>-7.9400643996487554</v>
      </c>
      <c r="BD331" s="60">
        <f t="shared" si="304"/>
        <v>101.87163993808315</v>
      </c>
      <c r="BE331" s="58" t="str">
        <f t="shared" si="305"/>
        <v>0.0631019144209935+0.0314309998862184i</v>
      </c>
      <c r="BF331" s="37">
        <f t="shared" si="306"/>
        <v>-23.036646398914826</v>
      </c>
      <c r="BG331" s="60">
        <f t="shared" si="307"/>
        <v>26.477849089170967</v>
      </c>
      <c r="BH331" s="58" t="str">
        <f t="shared" si="308"/>
        <v>0.037340124498091+0.113853230856655i</v>
      </c>
      <c r="BI331" s="37">
        <f t="shared" si="309"/>
        <v>-18.42941046601744</v>
      </c>
      <c r="BJ331" s="60">
        <f t="shared" si="310"/>
        <v>71.842206687563404</v>
      </c>
      <c r="BK331">
        <f t="shared" si="311"/>
        <v>-23.036646398914826</v>
      </c>
      <c r="BL331" s="60">
        <f t="shared" si="312"/>
        <v>26.477849089170967</v>
      </c>
      <c r="BN331">
        <f t="shared" si="313"/>
        <v>0</v>
      </c>
      <c r="BO331">
        <f t="shared" si="314"/>
        <v>0</v>
      </c>
    </row>
    <row r="332" spans="13:67" ht="14.25" x14ac:dyDescent="0.2">
      <c r="M332" s="66">
        <v>14</v>
      </c>
      <c r="N332" s="36">
        <f t="shared" si="316"/>
        <v>13803.842646028841</v>
      </c>
      <c r="O332" s="91" t="str">
        <f t="shared" si="263"/>
        <v>99.7340425531915</v>
      </c>
      <c r="P332" s="67" t="str">
        <f t="shared" si="264"/>
        <v>1+2518.92166530301i</v>
      </c>
      <c r="Q332" s="67">
        <f t="shared" si="275"/>
        <v>2518.92186380064</v>
      </c>
      <c r="R332" s="67">
        <f t="shared" si="276"/>
        <v>1.5703993315404432</v>
      </c>
      <c r="S332" s="67" t="str">
        <f t="shared" si="265"/>
        <v>1+4.73557273076965i</v>
      </c>
      <c r="T332" s="67">
        <f t="shared" si="277"/>
        <v>4.8400050711139873</v>
      </c>
      <c r="U332" s="67">
        <f t="shared" si="278"/>
        <v>1.3626860165276502</v>
      </c>
      <c r="V332" t="str">
        <f t="shared" si="266"/>
        <v>1-0.489169051310272i</v>
      </c>
      <c r="W332" s="67">
        <f t="shared" si="279"/>
        <v>1.1132323929709338</v>
      </c>
      <c r="X332" s="67">
        <f t="shared" si="280"/>
        <v>-0.4549453673615938</v>
      </c>
      <c r="Y332" t="str">
        <f t="shared" si="267"/>
        <v>0.954900338036373+0.756126011299748i</v>
      </c>
      <c r="Z332" s="67">
        <f t="shared" si="281"/>
        <v>1.2180152710643843</v>
      </c>
      <c r="AA332" s="67">
        <f t="shared" si="282"/>
        <v>0.66974402689764012</v>
      </c>
      <c r="AB332" s="92" t="str">
        <f t="shared" si="283"/>
        <v>0.0413600300538818-0.170195527886704i</v>
      </c>
      <c r="AC332" s="37">
        <f t="shared" si="284"/>
        <v>-15.131847098308741</v>
      </c>
      <c r="AD332" s="60">
        <f t="shared" si="285"/>
        <v>-76.341051853083584</v>
      </c>
      <c r="AE332" t="str">
        <f t="shared" si="286"/>
        <v>118.329284003155</v>
      </c>
      <c r="AF332" t="str">
        <f t="shared" si="268"/>
        <v>1+2015.13733224241i</v>
      </c>
      <c r="AG332">
        <f t="shared" si="287"/>
        <v>2015.1375803644416</v>
      </c>
      <c r="AH332">
        <f t="shared" si="288"/>
        <v>1.5703000827414946</v>
      </c>
      <c r="AI332" t="str">
        <f t="shared" si="269"/>
        <v>1+4.73557273076965i</v>
      </c>
      <c r="AJ332">
        <f t="shared" si="289"/>
        <v>4.8400050711139873</v>
      </c>
      <c r="AK332">
        <f t="shared" si="290"/>
        <v>1.3626860165276502</v>
      </c>
      <c r="AL332" t="str">
        <f t="shared" si="270"/>
        <v>1-0.329827692813418i</v>
      </c>
      <c r="AM332">
        <f t="shared" si="291"/>
        <v>1.0529892245159123</v>
      </c>
      <c r="AN332">
        <f t="shared" si="292"/>
        <v>-0.3185921667682941</v>
      </c>
      <c r="AO332" s="58" t="str">
        <f t="shared" si="293"/>
        <v>0.258780856139977-0.15030823550578i</v>
      </c>
      <c r="AP332">
        <f t="shared" si="294"/>
        <v>-10.47885443918662</v>
      </c>
      <c r="AQ332" s="60">
        <f t="shared" si="295"/>
        <v>-30.149396303354134</v>
      </c>
      <c r="AR332" t="str">
        <f t="shared" si="271"/>
        <v>-1.94444444444444</v>
      </c>
      <c r="AS332" t="str">
        <f t="shared" si="272"/>
        <v>1+4.85699767258424i</v>
      </c>
      <c r="AT332">
        <f t="shared" si="296"/>
        <v>4.9588735002507098</v>
      </c>
      <c r="AU332">
        <f t="shared" si="297"/>
        <v>1.3677452056016999</v>
      </c>
      <c r="AV332" t="str">
        <f t="shared" si="273"/>
        <v>1+4.85699767258424i</v>
      </c>
      <c r="AW332">
        <f t="shared" si="298"/>
        <v>4.9588735002507098</v>
      </c>
      <c r="AX332">
        <f t="shared" si="299"/>
        <v>1.3677452056016999</v>
      </c>
      <c r="AY332" t="str">
        <f t="shared" si="274"/>
        <v>1-0.00043806065349338i</v>
      </c>
      <c r="AZ332">
        <f t="shared" si="300"/>
        <v>1.0000000959485635</v>
      </c>
      <c r="BA332">
        <f t="shared" si="301"/>
        <v>-4.3806062547252159E-4</v>
      </c>
      <c r="BB332" s="58" t="str">
        <f t="shared" si="302"/>
        <v>-0.0789049891902964+0.384093133456569i</v>
      </c>
      <c r="BC332">
        <f t="shared" si="303"/>
        <v>-8.1317489752164267</v>
      </c>
      <c r="BD332" s="60">
        <f t="shared" si="304"/>
        <v>101.60887324475911</v>
      </c>
      <c r="BE332" s="58" t="str">
        <f t="shared" si="305"/>
        <v>0.0621074208819871+0.0293153798313905i</v>
      </c>
      <c r="BF332" s="37">
        <f t="shared" si="306"/>
        <v>-23.263596073525171</v>
      </c>
      <c r="BG332" s="60">
        <f t="shared" si="307"/>
        <v>25.267821391675547</v>
      </c>
      <c r="BH332" s="58" t="str">
        <f t="shared" si="308"/>
        <v>0.0373132605033624+0.111256019611173i</v>
      </c>
      <c r="BI332" s="37">
        <f t="shared" si="309"/>
        <v>-18.610603414403077</v>
      </c>
      <c r="BJ332" s="60">
        <f t="shared" si="310"/>
        <v>71.45947694140493</v>
      </c>
      <c r="BK332">
        <f t="shared" si="311"/>
        <v>-23.263596073525171</v>
      </c>
      <c r="BL332" s="60">
        <f t="shared" si="312"/>
        <v>25.267821391675547</v>
      </c>
      <c r="BN332">
        <f t="shared" si="313"/>
        <v>0</v>
      </c>
      <c r="BO332">
        <f t="shared" si="314"/>
        <v>0</v>
      </c>
    </row>
    <row r="333" spans="13:67" ht="14.25" x14ac:dyDescent="0.2">
      <c r="M333" s="66">
        <v>15</v>
      </c>
      <c r="N333" s="36">
        <f t="shared" si="316"/>
        <v>14125.375446227561</v>
      </c>
      <c r="O333" s="91" t="str">
        <f t="shared" si="263"/>
        <v>99.7340425531915</v>
      </c>
      <c r="P333" s="67" t="str">
        <f t="shared" si="264"/>
        <v>1+2577.59488820874i</v>
      </c>
      <c r="Q333" s="67">
        <f t="shared" si="275"/>
        <v>2577.5950821880124</v>
      </c>
      <c r="R333" s="67">
        <f t="shared" si="276"/>
        <v>1.5704083682547847</v>
      </c>
      <c r="S333" s="67" t="str">
        <f t="shared" si="265"/>
        <v>1+4.84587838983243i</v>
      </c>
      <c r="T333" s="67">
        <f t="shared" si="277"/>
        <v>4.9479831617584296</v>
      </c>
      <c r="U333" s="67">
        <f t="shared" si="278"/>
        <v>1.3672920310162076</v>
      </c>
      <c r="V333" t="str">
        <f t="shared" si="266"/>
        <v>1-0.500563262246426i</v>
      </c>
      <c r="W333" s="67">
        <f t="shared" si="279"/>
        <v>1.1182860007667021</v>
      </c>
      <c r="X333" s="67">
        <f t="shared" si="280"/>
        <v>-0.46409811726574307</v>
      </c>
      <c r="Y333" t="str">
        <f t="shared" si="267"/>
        <v>0.95277485645044+0.773738448644231i</v>
      </c>
      <c r="Z333" s="67">
        <f t="shared" si="281"/>
        <v>1.2273757020548099</v>
      </c>
      <c r="AA333" s="67">
        <f t="shared" si="282"/>
        <v>0.68206923416060627</v>
      </c>
      <c r="AB333" s="92" t="str">
        <f t="shared" si="283"/>
        <v>0.0383242214478067-0.170172377633632i</v>
      </c>
      <c r="AC333" s="37">
        <f t="shared" si="284"/>
        <v>-15.167353837426777</v>
      </c>
      <c r="AD333" s="60">
        <f t="shared" si="285"/>
        <v>-77.308260726344116</v>
      </c>
      <c r="AE333" t="str">
        <f t="shared" si="286"/>
        <v>118.329284003155</v>
      </c>
      <c r="AF333" t="str">
        <f t="shared" si="268"/>
        <v>1+2062.07591056699i</v>
      </c>
      <c r="AG333">
        <f t="shared" si="287"/>
        <v>2062.0761530410755</v>
      </c>
      <c r="AH333">
        <f t="shared" si="288"/>
        <v>1.5703113786334424</v>
      </c>
      <c r="AI333" t="str">
        <f t="shared" si="269"/>
        <v>1+4.84587838983243i</v>
      </c>
      <c r="AJ333">
        <f t="shared" si="289"/>
        <v>4.9479831617584296</v>
      </c>
      <c r="AK333">
        <f t="shared" si="290"/>
        <v>1.3672920310162076</v>
      </c>
      <c r="AL333" t="str">
        <f t="shared" si="270"/>
        <v>1-0.3375103667161i</v>
      </c>
      <c r="AM333">
        <f t="shared" si="291"/>
        <v>1.05542088649071</v>
      </c>
      <c r="AN333">
        <f t="shared" si="292"/>
        <v>-0.32550516183973849</v>
      </c>
      <c r="AO333" s="58" t="str">
        <f t="shared" si="293"/>
        <v>0.258779547512382-0.151110874633605i</v>
      </c>
      <c r="AP333">
        <f t="shared" si="294"/>
        <v>-10.467171313449708</v>
      </c>
      <c r="AQ333" s="60">
        <f t="shared" si="295"/>
        <v>-30.282223761106675</v>
      </c>
      <c r="AR333" t="str">
        <f t="shared" si="271"/>
        <v>-1.94444444444444</v>
      </c>
      <c r="AS333" t="str">
        <f t="shared" si="272"/>
        <v>1+4.9701316818794i</v>
      </c>
      <c r="AT333">
        <f t="shared" si="296"/>
        <v>5.0697346020498308</v>
      </c>
      <c r="AU333">
        <f t="shared" si="297"/>
        <v>1.3722453493786129</v>
      </c>
      <c r="AV333" t="str">
        <f t="shared" si="273"/>
        <v>1+4.9701316818794i</v>
      </c>
      <c r="AW333">
        <f t="shared" si="298"/>
        <v>5.0697346020498308</v>
      </c>
      <c r="AX333">
        <f t="shared" si="299"/>
        <v>1.3722453493786129</v>
      </c>
      <c r="AY333" t="str">
        <f t="shared" si="274"/>
        <v>1-0.000428089175629957i</v>
      </c>
      <c r="AZ333">
        <f t="shared" si="300"/>
        <v>1.000000091630167</v>
      </c>
      <c r="BA333">
        <f t="shared" si="301"/>
        <v>-4.2808914947937027E-4</v>
      </c>
      <c r="BB333" s="58" t="str">
        <f t="shared" si="302"/>
        <v>-0.0754918510504469+0.376036836248827i</v>
      </c>
      <c r="BC333">
        <f t="shared" si="303"/>
        <v>-8.3237929159675126</v>
      </c>
      <c r="BD333" s="60">
        <f t="shared" si="304"/>
        <v>101.35160532262988</v>
      </c>
      <c r="BE333" s="58" t="str">
        <f t="shared" si="305"/>
        <v>0.0610979160851295+0.0272579467701512i</v>
      </c>
      <c r="BF333" s="37">
        <f t="shared" si="306"/>
        <v>-23.491146753394286</v>
      </c>
      <c r="BG333" s="60">
        <f t="shared" si="307"/>
        <v>24.043344596285731</v>
      </c>
      <c r="BH333" s="58" t="str">
        <f t="shared" si="308"/>
        <v>0.0372875081643072+0.108718281972402i</v>
      </c>
      <c r="BI333" s="37">
        <f t="shared" si="309"/>
        <v>-18.790964229417217</v>
      </c>
      <c r="BJ333" s="60">
        <f t="shared" si="310"/>
        <v>71.069381561523173</v>
      </c>
      <c r="BK333">
        <f t="shared" si="311"/>
        <v>-23.491146753394286</v>
      </c>
      <c r="BL333" s="60">
        <f t="shared" si="312"/>
        <v>24.043344596285731</v>
      </c>
      <c r="BN333">
        <f t="shared" si="313"/>
        <v>0</v>
      </c>
      <c r="BO333">
        <f t="shared" si="314"/>
        <v>0</v>
      </c>
    </row>
    <row r="334" spans="13:67" ht="14.25" x14ac:dyDescent="0.2">
      <c r="M334" s="66">
        <v>16</v>
      </c>
      <c r="N334" s="36">
        <f t="shared" si="316"/>
        <v>14454.397707459291</v>
      </c>
      <c r="O334" s="91" t="str">
        <f t="shared" si="263"/>
        <v>99.7340425531915</v>
      </c>
      <c r="P334" s="67" t="str">
        <f t="shared" si="264"/>
        <v>1+2637.63478604269i</v>
      </c>
      <c r="Q334" s="67">
        <f t="shared" si="275"/>
        <v>2637.6349756064551</v>
      </c>
      <c r="R334" s="67">
        <f t="shared" si="276"/>
        <v>1.5704171992684555</v>
      </c>
      <c r="S334" s="67" t="str">
        <f t="shared" si="265"/>
        <v>1+4.95875339776027i</v>
      </c>
      <c r="T334" s="67">
        <f t="shared" si="277"/>
        <v>5.0585803601207147</v>
      </c>
      <c r="U334" s="67">
        <f t="shared" si="278"/>
        <v>1.3718016764709282</v>
      </c>
      <c r="V334" t="str">
        <f t="shared" si="266"/>
        <v>1-0.512222878449961i</v>
      </c>
      <c r="W334" s="67">
        <f t="shared" si="279"/>
        <v>1.1235534153779976</v>
      </c>
      <c r="X334" s="67">
        <f t="shared" si="280"/>
        <v>-0.47337802965249481</v>
      </c>
      <c r="Y334" t="str">
        <f t="shared" si="267"/>
        <v>0.950549204003455+0.791761132355824i</v>
      </c>
      <c r="Z334" s="67">
        <f t="shared" si="281"/>
        <v>1.2371052824804274</v>
      </c>
      <c r="AA334" s="67">
        <f t="shared" si="282"/>
        <v>0.6945127325110042</v>
      </c>
      <c r="AB334" s="92" t="str">
        <f t="shared" si="283"/>
        <v>0.0352424905404116-0.170105433006005i</v>
      </c>
      <c r="AC334" s="37">
        <f t="shared" si="284"/>
        <v>-15.203111075561466</v>
      </c>
      <c r="AD334" s="60">
        <f t="shared" si="285"/>
        <v>-78.295042806368173</v>
      </c>
      <c r="AE334" t="str">
        <f t="shared" si="286"/>
        <v>118.329284003155</v>
      </c>
      <c r="AF334" t="str">
        <f t="shared" si="268"/>
        <v>1+2110.10782883416i</v>
      </c>
      <c r="AG334">
        <f t="shared" si="287"/>
        <v>2110.1080657888619</v>
      </c>
      <c r="AH334">
        <f t="shared" si="288"/>
        <v>1.5703224173996175</v>
      </c>
      <c r="AI334" t="str">
        <f t="shared" si="269"/>
        <v>1+4.95875339776027i</v>
      </c>
      <c r="AJ334">
        <f t="shared" si="289"/>
        <v>5.0585803601207147</v>
      </c>
      <c r="AK334">
        <f t="shared" si="290"/>
        <v>1.3718016764709282</v>
      </c>
      <c r="AL334" t="str">
        <f t="shared" si="270"/>
        <v>1-0.345371993082693i</v>
      </c>
      <c r="AM334">
        <f t="shared" si="291"/>
        <v>1.0579611588361417</v>
      </c>
      <c r="AN334">
        <f t="shared" si="292"/>
        <v>-0.332545938683523</v>
      </c>
      <c r="AO334" s="58" t="str">
        <f t="shared" si="293"/>
        <v>0.258778297782702-0.151993634690209i</v>
      </c>
      <c r="AP334">
        <f t="shared" si="294"/>
        <v>-10.454281674309517</v>
      </c>
      <c r="AQ334" s="60">
        <f t="shared" si="295"/>
        <v>-30.427879381806047</v>
      </c>
      <c r="AR334" t="str">
        <f t="shared" si="271"/>
        <v>-1.94444444444444</v>
      </c>
      <c r="AS334" t="str">
        <f t="shared" si="272"/>
        <v>1+5.08590092077974i</v>
      </c>
      <c r="AT334">
        <f t="shared" si="296"/>
        <v>5.1832796737189675</v>
      </c>
      <c r="AU334">
        <f t="shared" si="297"/>
        <v>1.3766509458488887</v>
      </c>
      <c r="AV334" t="str">
        <f t="shared" si="273"/>
        <v>1+5.08590092077974i</v>
      </c>
      <c r="AW334">
        <f t="shared" si="298"/>
        <v>5.1832796737189675</v>
      </c>
      <c r="AX334">
        <f t="shared" si="299"/>
        <v>1.3766509458488887</v>
      </c>
      <c r="AY334" t="str">
        <f t="shared" si="274"/>
        <v>1-0.000418344676313883i</v>
      </c>
      <c r="AZ334">
        <f t="shared" si="300"/>
        <v>1.0000000875061303</v>
      </c>
      <c r="BA334">
        <f t="shared" si="301"/>
        <v>-4.1834465190873535E-4</v>
      </c>
      <c r="BB334" s="58" t="str">
        <f t="shared" si="302"/>
        <v>-0.0722206243688291+0.368120387958437i</v>
      </c>
      <c r="BC334">
        <f t="shared" si="303"/>
        <v>-8.5161813081323015</v>
      </c>
      <c r="BD334" s="60">
        <f t="shared" si="304"/>
        <v>101.09974155722959</v>
      </c>
      <c r="BE334" s="58" t="str">
        <f t="shared" si="305"/>
        <v>0.0600740433208674+0.0252585998705816i</v>
      </c>
      <c r="BF334" s="37">
        <f t="shared" si="306"/>
        <v>-23.719292383693762</v>
      </c>
      <c r="BG334" s="60">
        <f t="shared" si="307"/>
        <v>22.804698750861448</v>
      </c>
      <c r="BH334" s="58" t="str">
        <f t="shared" si="308"/>
        <v>0.0372628255304032+0.106238642572407i</v>
      </c>
      <c r="BI334" s="37">
        <f t="shared" si="309"/>
        <v>-18.970462982441802</v>
      </c>
      <c r="BJ334" s="60">
        <f t="shared" si="310"/>
        <v>70.671862175423556</v>
      </c>
      <c r="BK334">
        <f t="shared" si="311"/>
        <v>-23.719292383693762</v>
      </c>
      <c r="BL334" s="60">
        <f t="shared" si="312"/>
        <v>22.804698750861448</v>
      </c>
      <c r="BN334">
        <f t="shared" si="313"/>
        <v>0</v>
      </c>
      <c r="BO334">
        <f t="shared" si="314"/>
        <v>0</v>
      </c>
    </row>
    <row r="335" spans="13:67" ht="14.25" x14ac:dyDescent="0.2">
      <c r="M335" s="66">
        <v>17</v>
      </c>
      <c r="N335" s="36">
        <f t="shared" si="316"/>
        <v>14791.083881682089</v>
      </c>
      <c r="O335" s="91" t="str">
        <f t="shared" si="263"/>
        <v>99.7340425531915</v>
      </c>
      <c r="P335" s="67" t="str">
        <f t="shared" si="264"/>
        <v>1+2699.07319275344i</v>
      </c>
      <c r="Q335" s="67">
        <f t="shared" si="275"/>
        <v>2699.0733780022069</v>
      </c>
      <c r="R335" s="67">
        <f t="shared" si="276"/>
        <v>1.5704258292637705</v>
      </c>
      <c r="S335" s="67" t="str">
        <f t="shared" si="265"/>
        <v>1+5.07425760237646i</v>
      </c>
      <c r="T335" s="67">
        <f t="shared" si="277"/>
        <v>5.1718555872409375</v>
      </c>
      <c r="U335" s="67">
        <f t="shared" si="278"/>
        <v>1.3762166099209356</v>
      </c>
      <c r="V335" t="str">
        <f t="shared" si="266"/>
        <v>1-0.524154082003722i</v>
      </c>
      <c r="W335" s="67">
        <f t="shared" si="279"/>
        <v>1.1290427368710028</v>
      </c>
      <c r="X335" s="67">
        <f t="shared" si="280"/>
        <v>-0.48278363068640712</v>
      </c>
      <c r="Y335" t="str">
        <f t="shared" si="267"/>
        <v>0.948218659788176+0.810203618299989i</v>
      </c>
      <c r="Z335" s="67">
        <f t="shared" si="281"/>
        <v>1.2472163123840543</v>
      </c>
      <c r="AA335" s="67">
        <f t="shared" si="282"/>
        <v>0.70707074543295734</v>
      </c>
      <c r="AB335" s="92" t="str">
        <f t="shared" si="283"/>
        <v>0.0321171735727568-0.169991642936751i</v>
      </c>
      <c r="AC335" s="37">
        <f t="shared" si="284"/>
        <v>-15.239125604782569</v>
      </c>
      <c r="AD335" s="60">
        <f t="shared" si="285"/>
        <v>-79.301002597686121</v>
      </c>
      <c r="AE335" t="str">
        <f t="shared" si="286"/>
        <v>118.329284003155</v>
      </c>
      <c r="AF335" t="str">
        <f t="shared" si="268"/>
        <v>1+2159.25855420275i</v>
      </c>
      <c r="AG335">
        <f t="shared" si="287"/>
        <v>2159.2587857637054</v>
      </c>
      <c r="AH335">
        <f t="shared" si="288"/>
        <v>1.5703332048929086</v>
      </c>
      <c r="AI335" t="str">
        <f t="shared" si="269"/>
        <v>1+5.07425760237646i</v>
      </c>
      <c r="AJ335">
        <f t="shared" si="289"/>
        <v>5.1718555872409375</v>
      </c>
      <c r="AK335">
        <f t="shared" si="290"/>
        <v>1.3762166099209356</v>
      </c>
      <c r="AL335" t="str">
        <f t="shared" si="270"/>
        <v>1-0.353416740251557i</v>
      </c>
      <c r="AM335">
        <f t="shared" si="291"/>
        <v>1.0606146294908609</v>
      </c>
      <c r="AN335">
        <f t="shared" si="292"/>
        <v>-0.33971543726767423</v>
      </c>
      <c r="AO335" s="58" t="str">
        <f t="shared" si="293"/>
        <v>0.2587771043001-0.152956983730474i</v>
      </c>
      <c r="AP335">
        <f t="shared" si="294"/>
        <v>-10.440169116569599</v>
      </c>
      <c r="AQ335" s="60">
        <f t="shared" si="295"/>
        <v>-30.586322416223553</v>
      </c>
      <c r="AR335" t="str">
        <f t="shared" si="271"/>
        <v>-1.94444444444444</v>
      </c>
      <c r="AS335" t="str">
        <f t="shared" si="272"/>
        <v>1+5.20436677166815i</v>
      </c>
      <c r="AT335">
        <f t="shared" si="296"/>
        <v>5.2995691800412947</v>
      </c>
      <c r="AU335">
        <f t="shared" si="297"/>
        <v>1.380963646515879</v>
      </c>
      <c r="AV335" t="str">
        <f t="shared" si="273"/>
        <v>1+5.20436677166815i</v>
      </c>
      <c r="AW335">
        <f t="shared" si="298"/>
        <v>5.2995691800412947</v>
      </c>
      <c r="AX335">
        <f t="shared" si="299"/>
        <v>1.380963646515879</v>
      </c>
      <c r="AY335" t="str">
        <f t="shared" si="274"/>
        <v>1-0.000408821988882637i</v>
      </c>
      <c r="AZ335">
        <f t="shared" si="300"/>
        <v>1.0000000835677059</v>
      </c>
      <c r="BA335">
        <f t="shared" si="301"/>
        <v>-4.0882196610642784E-4</v>
      </c>
      <c r="BB335" s="58" t="str">
        <f t="shared" si="302"/>
        <v>-0.0690858956838499+0.36034327153301i</v>
      </c>
      <c r="BC335">
        <f t="shared" si="303"/>
        <v>-8.7088998044782233</v>
      </c>
      <c r="BD335" s="60">
        <f t="shared" si="304"/>
        <v>100.85318762041391</v>
      </c>
      <c r="BE335" s="58" t="str">
        <f t="shared" si="305"/>
        <v>0.0590365010459926+0.0233172323086554i</v>
      </c>
      <c r="BF335" s="37">
        <f t="shared" si="306"/>
        <v>-23.94802540926079</v>
      </c>
      <c r="BG335" s="60">
        <f t="shared" si="307"/>
        <v>21.552185022727823</v>
      </c>
      <c r="BH335" s="58" t="str">
        <f t="shared" si="308"/>
        <v>0.0372391718882149+0.103815758583457i</v>
      </c>
      <c r="BI335" s="37">
        <f t="shared" si="309"/>
        <v>-19.14906892104781</v>
      </c>
      <c r="BJ335" s="60">
        <f t="shared" si="310"/>
        <v>70.26686520419041</v>
      </c>
      <c r="BK335">
        <f t="shared" si="311"/>
        <v>-23.94802540926079</v>
      </c>
      <c r="BL335" s="60">
        <f t="shared" si="312"/>
        <v>21.552185022727823</v>
      </c>
      <c r="BN335">
        <f t="shared" si="313"/>
        <v>0</v>
      </c>
      <c r="BO335">
        <f t="shared" si="314"/>
        <v>0</v>
      </c>
    </row>
    <row r="336" spans="13:67" ht="14.25" x14ac:dyDescent="0.2">
      <c r="M336" s="66">
        <v>18</v>
      </c>
      <c r="N336" s="36">
        <f t="shared" si="316"/>
        <v>15135.612484362096</v>
      </c>
      <c r="O336" s="91" t="str">
        <f t="shared" si="263"/>
        <v>99.7340425531915</v>
      </c>
      <c r="P336" s="67" t="str">
        <f t="shared" si="264"/>
        <v>1+2761.94268379743i</v>
      </c>
      <c r="Q336" s="67">
        <f t="shared" si="275"/>
        <v>2761.9428648294211</v>
      </c>
      <c r="R336" s="67">
        <f t="shared" si="276"/>
        <v>1.5704342628164623</v>
      </c>
      <c r="S336" s="67" t="str">
        <f t="shared" si="265"/>
        <v>1+5.19245224553917i</v>
      </c>
      <c r="T336" s="67">
        <f t="shared" si="277"/>
        <v>5.2878691665173383</v>
      </c>
      <c r="U336" s="67">
        <f t="shared" si="278"/>
        <v>1.3805384834597714</v>
      </c>
      <c r="V336" t="str">
        <f t="shared" si="266"/>
        <v>1-0.53636319898976i</v>
      </c>
      <c r="W336" s="67">
        <f t="shared" si="279"/>
        <v>1.1347623016431807</v>
      </c>
      <c r="X336" s="67">
        <f t="shared" si="280"/>
        <v>-0.4923132499062155</v>
      </c>
      <c r="Y336" t="str">
        <f t="shared" si="267"/>
        <v>0.945778280407863+0.82907568492689i</v>
      </c>
      <c r="Z336" s="67">
        <f t="shared" si="281"/>
        <v>1.2577213709833532</v>
      </c>
      <c r="AA336" s="67">
        <f t="shared" si="282"/>
        <v>0.71973932909441474</v>
      </c>
      <c r="AB336" s="92" t="str">
        <f t="shared" si="283"/>
        <v>0.0289507734933032-0.169828065315192i</v>
      </c>
      <c r="AC336" s="37">
        <f t="shared" si="284"/>
        <v>-15.275402143644074</v>
      </c>
      <c r="AD336" s="60">
        <f t="shared" si="285"/>
        <v>-80.325724029168768</v>
      </c>
      <c r="AE336" t="str">
        <f t="shared" si="286"/>
        <v>118.329284003155</v>
      </c>
      <c r="AF336" t="str">
        <f t="shared" si="268"/>
        <v>1+2209.55414703794i</v>
      </c>
      <c r="AG336">
        <f t="shared" si="287"/>
        <v>2209.5543733279246</v>
      </c>
      <c r="AH336">
        <f t="shared" si="288"/>
        <v>1.5703437468329779</v>
      </c>
      <c r="AI336" t="str">
        <f t="shared" si="269"/>
        <v>1+5.19245224553917i</v>
      </c>
      <c r="AJ336">
        <f t="shared" si="289"/>
        <v>5.2878691665173383</v>
      </c>
      <c r="AK336">
        <f t="shared" si="290"/>
        <v>1.3805384834597714</v>
      </c>
      <c r="AL336" t="str">
        <f t="shared" si="270"/>
        <v>1-0.361648873654125i</v>
      </c>
      <c r="AM336">
        <f t="shared" si="291"/>
        <v>1.0633860577491587</v>
      </c>
      <c r="AN336">
        <f t="shared" si="292"/>
        <v>-0.3470145098238035</v>
      </c>
      <c r="AO336" s="58" t="str">
        <f t="shared" si="293"/>
        <v>0.25877596453304-0.15400143253837i</v>
      </c>
      <c r="AP336">
        <f t="shared" si="294"/>
        <v>-10.424815869968819</v>
      </c>
      <c r="AQ336" s="60">
        <f t="shared" si="295"/>
        <v>-30.75750736335884</v>
      </c>
      <c r="AR336" t="str">
        <f t="shared" si="271"/>
        <v>-1.94444444444444</v>
      </c>
      <c r="AS336" t="str">
        <f t="shared" si="272"/>
        <v>1+5.32559204670682i</v>
      </c>
      <c r="AT336">
        <f t="shared" si="296"/>
        <v>5.4186650245191323</v>
      </c>
      <c r="AU336">
        <f t="shared" si="297"/>
        <v>1.3851850960129142</v>
      </c>
      <c r="AV336" t="str">
        <f t="shared" si="273"/>
        <v>1+5.32559204670682i</v>
      </c>
      <c r="AW336">
        <f t="shared" si="298"/>
        <v>5.4186650245191323</v>
      </c>
      <c r="AX336">
        <f t="shared" si="299"/>
        <v>1.3851850960129142</v>
      </c>
      <c r="AY336" t="str">
        <f t="shared" si="274"/>
        <v>1-0.000399516064281296i</v>
      </c>
      <c r="AZ336">
        <f t="shared" si="300"/>
        <v>1.0000000798065396</v>
      </c>
      <c r="BA336">
        <f t="shared" si="301"/>
        <v>-3.9951604302530076E-4</v>
      </c>
      <c r="BB336" s="58" t="str">
        <f t="shared" si="302"/>
        <v>-0.0660824164415383+0.352704828219883i</v>
      </c>
      <c r="BC336">
        <f t="shared" si="303"/>
        <v>-8.9019346072608307</v>
      </c>
      <c r="BD336" s="60">
        <f t="shared" si="304"/>
        <v>100.61184957092317</v>
      </c>
      <c r="BE336" s="58" t="str">
        <f t="shared" si="305"/>
        <v>0.0579860415336208+0.0214337265274075i</v>
      </c>
      <c r="BF336" s="37">
        <f t="shared" si="306"/>
        <v>-24.177336750904903</v>
      </c>
      <c r="BG336" s="60">
        <f t="shared" si="307"/>
        <v>20.286125541754362</v>
      </c>
      <c r="BH336" s="58" t="str">
        <f t="shared" si="308"/>
        <v>0.0372165077557286+0.101448318915654i</v>
      </c>
      <c r="BI336" s="37">
        <f t="shared" si="309"/>
        <v>-19.32675047722968</v>
      </c>
      <c r="BJ336" s="60">
        <f t="shared" si="310"/>
        <v>69.854342207564258</v>
      </c>
      <c r="BK336">
        <f t="shared" si="311"/>
        <v>-24.177336750904903</v>
      </c>
      <c r="BL336" s="60">
        <f t="shared" si="312"/>
        <v>20.286125541754362</v>
      </c>
      <c r="BN336">
        <f t="shared" si="313"/>
        <v>0</v>
      </c>
      <c r="BO336">
        <f t="shared" si="314"/>
        <v>0</v>
      </c>
    </row>
    <row r="337" spans="13:67" ht="14.25" x14ac:dyDescent="0.2">
      <c r="M337" s="66">
        <v>19</v>
      </c>
      <c r="N337" s="36">
        <f t="shared" si="316"/>
        <v>15488.166189124853</v>
      </c>
      <c r="O337" s="91" t="str">
        <f t="shared" si="263"/>
        <v>99.7340425531915</v>
      </c>
      <c r="P337" s="67" t="str">
        <f t="shared" si="264"/>
        <v>1+2826.27659341101i</v>
      </c>
      <c r="Q337" s="67">
        <f t="shared" si="275"/>
        <v>2826.2767703222103</v>
      </c>
      <c r="R337" s="67">
        <f t="shared" si="276"/>
        <v>1.5704425043981074</v>
      </c>
      <c r="S337" s="67" t="str">
        <f t="shared" si="265"/>
        <v>1+5.31339999561271i</v>
      </c>
      <c r="T337" s="67">
        <f t="shared" si="277"/>
        <v>5.4066828567410115</v>
      </c>
      <c r="U337" s="67">
        <f t="shared" si="278"/>
        <v>1.3847689424792755</v>
      </c>
      <c r="V337" t="str">
        <f t="shared" si="266"/>
        <v>1-0.54885670284351i</v>
      </c>
      <c r="W337" s="67">
        <f t="shared" si="279"/>
        <v>1.1407206845920912</v>
      </c>
      <c r="X337" s="67">
        <f t="shared" si="280"/>
        <v>-0.50196501585420394</v>
      </c>
      <c r="Y337" t="str">
        <f t="shared" si="267"/>
        <v>0.943222889490663+0.848387338456054i</v>
      </c>
      <c r="Z337" s="67">
        <f t="shared" si="281"/>
        <v>1.2686333179101292</v>
      </c>
      <c r="AA337" s="67">
        <f t="shared" si="282"/>
        <v>0.73251438076330888</v>
      </c>
      <c r="AB337" s="92" t="str">
        <f t="shared" si="283"/>
        <v>0.0257459547418701-0.16961187956592i</v>
      </c>
      <c r="AC337" s="37">
        <f t="shared" si="284"/>
        <v>-15.311943338463694</v>
      </c>
      <c r="AD337" s="60">
        <f t="shared" si="285"/>
        <v>-81.368770787149856</v>
      </c>
      <c r="AE337" t="str">
        <f t="shared" si="286"/>
        <v>118.329284003155</v>
      </c>
      <c r="AF337" t="str">
        <f t="shared" si="268"/>
        <v>1+2261.02127472881i</v>
      </c>
      <c r="AG337">
        <f t="shared" si="287"/>
        <v>2261.0214958678062</v>
      </c>
      <c r="AH337">
        <f t="shared" si="288"/>
        <v>1.5703540488092917</v>
      </c>
      <c r="AI337" t="str">
        <f t="shared" si="269"/>
        <v>1+5.31339999561271i</v>
      </c>
      <c r="AJ337">
        <f t="shared" si="289"/>
        <v>5.4066828567410115</v>
      </c>
      <c r="AK337">
        <f t="shared" si="290"/>
        <v>1.3847689424792755</v>
      </c>
      <c r="AL337" t="str">
        <f t="shared" si="270"/>
        <v>1-0.370072758076495i</v>
      </c>
      <c r="AM337">
        <f t="shared" si="291"/>
        <v>1.066280378826481</v>
      </c>
      <c r="AN337">
        <f t="shared" si="292"/>
        <v>-0.35444391450879154</v>
      </c>
      <c r="AO337" s="58" t="str">
        <f t="shared" si="293"/>
        <v>0.258774876063928-0.155127534897803i</v>
      </c>
      <c r="AP337">
        <f t="shared" si="294"/>
        <v>-10.408202827430342</v>
      </c>
      <c r="AQ337" s="60">
        <f t="shared" si="295"/>
        <v>-30.941383708646125</v>
      </c>
      <c r="AR337" t="str">
        <f t="shared" si="271"/>
        <v>-1.94444444444444</v>
      </c>
      <c r="AS337" t="str">
        <f t="shared" si="272"/>
        <v>1+5.44964102114122i</v>
      </c>
      <c r="AT337">
        <f t="shared" si="296"/>
        <v>5.5406305831832094</v>
      </c>
      <c r="AU337">
        <f t="shared" si="297"/>
        <v>1.3893169304849986</v>
      </c>
      <c r="AV337" t="str">
        <f t="shared" si="273"/>
        <v>1+5.44964102114122i</v>
      </c>
      <c r="AW337">
        <f t="shared" si="298"/>
        <v>5.5406305831832094</v>
      </c>
      <c r="AX337">
        <f t="shared" si="299"/>
        <v>1.3893169304849986</v>
      </c>
      <c r="AY337" t="str">
        <f t="shared" si="274"/>
        <v>1-0.000390421968385456i</v>
      </c>
      <c r="AZ337">
        <f t="shared" si="300"/>
        <v>1.0000000762146537</v>
      </c>
      <c r="BA337">
        <f t="shared" si="301"/>
        <v>-3.9042194854820695E-4</v>
      </c>
      <c r="BB337" s="58" t="str">
        <f t="shared" si="302"/>
        <v>-0.0632051016620338+0.345204268590237i</v>
      </c>
      <c r="BC337">
        <f t="shared" si="303"/>
        <v>-9.0952724512914092</v>
      </c>
      <c r="BD337" s="60">
        <f t="shared" si="304"/>
        <v>100.37563394725809</v>
      </c>
      <c r="BE337" s="58" t="str">
        <f t="shared" si="305"/>
        <v>0.0569234691429228+0.0196079495668772i</v>
      </c>
      <c r="BF337" s="37">
        <f t="shared" si="306"/>
        <v>-24.407215789755096</v>
      </c>
      <c r="BG337" s="60">
        <f t="shared" si="307"/>
        <v>19.006863160108217</v>
      </c>
      <c r="BH337" s="58" t="str">
        <f t="shared" si="308"/>
        <v>0.0371947948734018+0.0991350434349738i</v>
      </c>
      <c r="BI337" s="37">
        <f t="shared" si="309"/>
        <v>-19.503475278721758</v>
      </c>
      <c r="BJ337" s="60">
        <f t="shared" si="310"/>
        <v>69.434250238611966</v>
      </c>
      <c r="BK337">
        <f t="shared" si="311"/>
        <v>-24.407215789755096</v>
      </c>
      <c r="BL337" s="60">
        <f t="shared" si="312"/>
        <v>19.006863160108217</v>
      </c>
      <c r="BN337">
        <f t="shared" si="313"/>
        <v>0</v>
      </c>
      <c r="BO337">
        <f t="shared" si="314"/>
        <v>0</v>
      </c>
    </row>
    <row r="338" spans="13:67" ht="14.25" x14ac:dyDescent="0.2">
      <c r="M338" s="66">
        <v>20</v>
      </c>
      <c r="N338" s="36">
        <f t="shared" si="316"/>
        <v>15848.931924611146</v>
      </c>
      <c r="O338" s="91" t="str">
        <f t="shared" si="263"/>
        <v>99.7340425531915</v>
      </c>
      <c r="P338" s="67" t="str">
        <f t="shared" si="264"/>
        <v>1+2892.10903228461i</v>
      </c>
      <c r="Q338" s="67">
        <f t="shared" si="275"/>
        <v>2892.1092051688192</v>
      </c>
      <c r="R338" s="67">
        <f t="shared" si="276"/>
        <v>1.5704505583784969</v>
      </c>
      <c r="S338" s="67" t="str">
        <f t="shared" si="265"/>
        <v>1+5.43716498069506i</v>
      </c>
      <c r="T338" s="67">
        <f t="shared" si="277"/>
        <v>5.5283598858338374</v>
      </c>
      <c r="U338" s="67">
        <f t="shared" si="278"/>
        <v>1.3889096240382155</v>
      </c>
      <c r="V338" t="str">
        <f t="shared" si="266"/>
        <v>1-0.561641217786083i</v>
      </c>
      <c r="W338" s="67">
        <f t="shared" si="279"/>
        <v>1.1469267010215753</v>
      </c>
      <c r="X338" s="67">
        <f t="shared" si="280"/>
        <v>-0.51173685223924437</v>
      </c>
      <c r="Y338" t="str">
        <f t="shared" si="267"/>
        <v>0.940547066709832+0.868148818181799i</v>
      </c>
      <c r="Z338" s="67">
        <f t="shared" si="281"/>
        <v>1.2799652945322084</v>
      </c>
      <c r="AA338" s="67">
        <f t="shared" si="282"/>
        <v>0.74539164818841508</v>
      </c>
      <c r="AB338" s="92" t="str">
        <f t="shared" si="283"/>
        <v>0.0225055368674733-0.169340398941392i</v>
      </c>
      <c r="AC338" s="37">
        <f t="shared" si="284"/>
        <v>-15.348749773076557</v>
      </c>
      <c r="AD338" s="60">
        <f t="shared" si="285"/>
        <v>-82.42968672667476</v>
      </c>
      <c r="AE338" t="str">
        <f t="shared" si="286"/>
        <v>118.329284003155</v>
      </c>
      <c r="AF338" t="str">
        <f t="shared" si="268"/>
        <v>1+2313.68722582769i</v>
      </c>
      <c r="AG338">
        <f t="shared" si="287"/>
        <v>2313.6874419329483</v>
      </c>
      <c r="AH338">
        <f t="shared" si="288"/>
        <v>1.5703641162840858</v>
      </c>
      <c r="AI338" t="str">
        <f t="shared" si="269"/>
        <v>1+5.43716498069506i</v>
      </c>
      <c r="AJ338">
        <f t="shared" si="289"/>
        <v>5.5283598858338374</v>
      </c>
      <c r="AK338">
        <f t="shared" si="290"/>
        <v>1.3889096240382155</v>
      </c>
      <c r="AL338" t="str">
        <f t="shared" si="270"/>
        <v>1-0.378692859973687i</v>
      </c>
      <c r="AM338">
        <f t="shared" si="291"/>
        <v>1.0693027084016249</v>
      </c>
      <c r="AN338">
        <f t="shared" si="292"/>
        <v>-0.36200430892200008</v>
      </c>
      <c r="AO338" s="58" t="str">
        <f t="shared" si="293"/>
        <v>0.258773836583976-0.156335887886248i</v>
      </c>
      <c r="AP338">
        <f t="shared" si="294"/>
        <v>-10.390309576437939</v>
      </c>
      <c r="AQ338" s="60">
        <f t="shared" si="295"/>
        <v>-31.137895646158341</v>
      </c>
      <c r="AR338" t="str">
        <f t="shared" si="271"/>
        <v>-1.94444444444444</v>
      </c>
      <c r="AS338" t="str">
        <f t="shared" si="272"/>
        <v>1+5.57657946737953i</v>
      </c>
      <c r="AT338">
        <f t="shared" si="296"/>
        <v>5.6655307391275329</v>
      </c>
      <c r="AU338">
        <f t="shared" si="297"/>
        <v>1.3933607760981925</v>
      </c>
      <c r="AV338" t="str">
        <f t="shared" si="273"/>
        <v>1+5.57657946737953i</v>
      </c>
      <c r="AW338">
        <f t="shared" si="298"/>
        <v>5.6655307391275329</v>
      </c>
      <c r="AX338">
        <f t="shared" si="299"/>
        <v>1.3933607760981925</v>
      </c>
      <c r="AY338" t="str">
        <f t="shared" si="274"/>
        <v>1-0.000381534879385101i</v>
      </c>
      <c r="AZ338">
        <f t="shared" si="300"/>
        <v>1.0000000727844296</v>
      </c>
      <c r="BA338">
        <f t="shared" si="301"/>
        <v>-3.8153486087190289E-4</v>
      </c>
      <c r="BB338" s="58" t="str">
        <f t="shared" si="302"/>
        <v>-0.0604490282300106+0.337840683027105i</v>
      </c>
      <c r="BC338">
        <f t="shared" si="303"/>
        <v>-9.2889005871612653</v>
      </c>
      <c r="BD338" s="60">
        <f t="shared" si="304"/>
        <v>100.14444785323562</v>
      </c>
      <c r="BE338" s="58" t="str">
        <f t="shared" si="305"/>
        <v>0.0558496382090089+0.0178397485032883i</v>
      </c>
      <c r="BF338" s="37">
        <f t="shared" si="306"/>
        <v>-24.637650360237821</v>
      </c>
      <c r="BG338" s="60">
        <f t="shared" si="307"/>
        <v>17.714761126560841</v>
      </c>
      <c r="BH338" s="58" t="str">
        <f t="shared" si="308"/>
        <v>0.037173996192286+0.0968746822012745i</v>
      </c>
      <c r="BI338" s="37">
        <f t="shared" si="309"/>
        <v>-19.679210163599205</v>
      </c>
      <c r="BJ338" s="60">
        <f t="shared" si="310"/>
        <v>69.006552207077306</v>
      </c>
      <c r="BK338">
        <f t="shared" si="311"/>
        <v>-24.637650360237821</v>
      </c>
      <c r="BL338" s="60">
        <f t="shared" si="312"/>
        <v>17.714761126560841</v>
      </c>
      <c r="BN338">
        <f t="shared" si="313"/>
        <v>0</v>
      </c>
      <c r="BO338">
        <f t="shared" si="314"/>
        <v>0</v>
      </c>
    </row>
    <row r="339" spans="13:67" ht="14.25" x14ac:dyDescent="0.2">
      <c r="M339" s="66">
        <v>21</v>
      </c>
      <c r="N339" s="36">
        <f t="shared" si="316"/>
        <v>16218.100973589309</v>
      </c>
      <c r="O339" s="91" t="str">
        <f t="shared" ref="O339:O402" si="317">COMPLEX(adc,0)</f>
        <v>99.7340425531915</v>
      </c>
      <c r="P339" s="67" t="str">
        <f t="shared" ref="P339:P402" si="318">IMSUM(COMPLEX(1,0),IMDIV(COMPLEX(0,2*PI()*N339),COMPLEX(wp_lf,0)))</f>
        <v>1+2959.47490564871i</v>
      </c>
      <c r="Q339" s="67">
        <f t="shared" si="275"/>
        <v>2959.4750745975953</v>
      </c>
      <c r="R339" s="67">
        <f t="shared" si="276"/>
        <v>1.570458429027954</v>
      </c>
      <c r="S339" s="67" t="str">
        <f t="shared" ref="S339:S402" si="319">IMSUM(COMPLEX(1,0),IMDIV(COMPLEX(0,2*PI()*N339),COMPLEX(wz_esr,0)))</f>
        <v>1+5.56381282261956i</v>
      </c>
      <c r="T339" s="67">
        <f t="shared" si="277"/>
        <v>5.6529649853104367</v>
      </c>
      <c r="U339" s="67">
        <f t="shared" si="278"/>
        <v>1.3929621553592486</v>
      </c>
      <c r="V339" t="str">
        <f t="shared" ref="V339:V402" si="320">IMSUB(COMPLEX(1,0),IMDIV(COMPLEX(0,2*PI()*N339),COMPLEX(wz_rhp,0)))</f>
        <v>1-0.574723522336526i</v>
      </c>
      <c r="W339" s="67">
        <f t="shared" si="279"/>
        <v>1.1533894082775789</v>
      </c>
      <c r="X339" s="67">
        <f t="shared" si="280"/>
        <v>-0.52162647468881695</v>
      </c>
      <c r="Y339" t="str">
        <f t="shared" ref="Y339:Y402" si="321">IMSUM(COMPLEX(1,0),IMDIV(COMPLEX(0,2*PI()*N339),COMPLEX(Q*(wsl/2),0)),IMDIV(IMPOWER(COMPLEX(0,2*PI()*N339),2),IMPOWER(COMPLEX(wsl/2,0),2)))</f>
        <v>0.9377451362865+0.888370601902251i</v>
      </c>
      <c r="Z339" s="67">
        <f t="shared" si="281"/>
        <v>1.2917307254041588</v>
      </c>
      <c r="AA339" s="67">
        <f t="shared" si="282"/>
        <v>0.75836673991720127</v>
      </c>
      <c r="AB339" s="92" t="str">
        <f t="shared" si="283"/>
        <v>0.019232486994371-0.169011082406384i</v>
      </c>
      <c r="AC339" s="37">
        <f t="shared" si="284"/>
        <v>-15.385819987563156</v>
      </c>
      <c r="AD339" s="60">
        <f t="shared" si="285"/>
        <v>-83.507996362823789</v>
      </c>
      <c r="AE339" t="str">
        <f t="shared" si="286"/>
        <v>118.329284003155</v>
      </c>
      <c r="AF339" t="str">
        <f t="shared" ref="AF339:AF402" si="322">IMSUM(COMPLEX(1,0),IMDIV(COMPLEX(0,2*PI()*N339),COMPLEX(wp_lf_DCM,0)))</f>
        <v>1+2367.57992451896i</v>
      </c>
      <c r="AG339">
        <f t="shared" si="287"/>
        <v>2367.5801357050627</v>
      </c>
      <c r="AH339">
        <f t="shared" si="288"/>
        <v>1.5703739545952602</v>
      </c>
      <c r="AI339" t="str">
        <f t="shared" ref="AI339:AI402" si="323">IMSUM(COMPLEX(1,0),IMDIV(COMPLEX(0,2*PI()*N339),COMPLEX(wz1_dcm,0)))</f>
        <v>1+5.56381282261956i</v>
      </c>
      <c r="AJ339">
        <f t="shared" si="289"/>
        <v>5.6529649853104367</v>
      </c>
      <c r="AK339">
        <f t="shared" si="290"/>
        <v>1.3929621553592486</v>
      </c>
      <c r="AL339" t="str">
        <f t="shared" ref="AL339:AL402" si="324">IMSUB(COMPLEX(1,0),IMDIV(COMPLEX(0,2*PI()*N339),COMPLEX(wz2_dcm,0)))</f>
        <v>1-0.38751374983783i</v>
      </c>
      <c r="AM339">
        <f t="shared" si="291"/>
        <v>1.0724583471228037</v>
      </c>
      <c r="AN339">
        <f t="shared" si="292"/>
        <v>-0.36969624349635516</v>
      </c>
      <c r="AO339" s="58" t="str">
        <f t="shared" si="293"/>
        <v>0.258772843888313-0.15762713219135i</v>
      </c>
      <c r="AP339">
        <f t="shared" si="294"/>
        <v>-10.371114433702759</v>
      </c>
      <c r="AQ339" s="60">
        <f t="shared" si="295"/>
        <v>-31.346981786227715</v>
      </c>
      <c r="AR339" t="str">
        <f t="shared" ref="AR339:AR402" si="325">COMPLEX(adc_ea,0)</f>
        <v>-1.94444444444444</v>
      </c>
      <c r="AS339" t="str">
        <f t="shared" ref="AS339:AS402" si="326">IMSUM(COMPLEX(1,0), IMDIV(COMPLEX(0,2*PI()*N339), COMPLEX(wp0_ea,0)))</f>
        <v>1+5.7064746898662i</v>
      </c>
      <c r="AT339">
        <f t="shared" si="296"/>
        <v>5.7934319177913478</v>
      </c>
      <c r="AU339">
        <f t="shared" si="297"/>
        <v>1.3973182476703905</v>
      </c>
      <c r="AV339" t="str">
        <f t="shared" ref="AV339:AV402" si="327">IMSUM(COMPLEX(1,0),IMDIV(COMPLEX(0,2*PI()*N339),COMPLEX(wp1_ea,0)))</f>
        <v>1+5.7064746898662i</v>
      </c>
      <c r="AW339">
        <f t="shared" si="298"/>
        <v>5.7934319177913478</v>
      </c>
      <c r="AX339">
        <f t="shared" si="299"/>
        <v>1.3973182476703905</v>
      </c>
      <c r="AY339" t="str">
        <f t="shared" ref="AY339:AY402" si="328">IMSUM(COMPLEX(1,0),IMDIV(COMPLEX(wz_ea,0),COMPLEX(0,2*PI()*N339)))</f>
        <v>1-0.000372850085228008i</v>
      </c>
      <c r="AZ339">
        <f t="shared" si="300"/>
        <v>1.0000000695085907</v>
      </c>
      <c r="BA339">
        <f t="shared" si="301"/>
        <v>-3.728500679504862E-4</v>
      </c>
      <c r="BB339" s="58" t="str">
        <f t="shared" si="302"/>
        <v>-0.057809432852835+0.330613051687055i</v>
      </c>
      <c r="BC339">
        <f t="shared" si="303"/>
        <v>-9.4828067646603014</v>
      </c>
      <c r="BD339" s="60">
        <f t="shared" si="304"/>
        <v>99.918199036586017</v>
      </c>
      <c r="BE339" s="58" t="str">
        <f t="shared" si="305"/>
        <v>0.0547654505578128+0.0161289460364974i</v>
      </c>
      <c r="BF339" s="37">
        <f t="shared" si="306"/>
        <v>-24.868626752223463</v>
      </c>
      <c r="BG339" s="60">
        <f t="shared" si="307"/>
        <v>16.410202673762242</v>
      </c>
      <c r="BH339" s="58" t="str">
        <f t="shared" si="308"/>
        <v>0.0371540758595625+0.0946660147258538i</v>
      </c>
      <c r="BI339" s="37">
        <f t="shared" si="309"/>
        <v>-19.853921198363061</v>
      </c>
      <c r="BJ339" s="60">
        <f t="shared" si="310"/>
        <v>68.571217250358288</v>
      </c>
      <c r="BK339">
        <f t="shared" si="311"/>
        <v>-24.868626752223463</v>
      </c>
      <c r="BL339" s="60">
        <f t="shared" si="312"/>
        <v>16.410202673762242</v>
      </c>
      <c r="BN339">
        <f t="shared" si="313"/>
        <v>0</v>
      </c>
      <c r="BO339">
        <f t="shared" si="314"/>
        <v>0</v>
      </c>
    </row>
    <row r="340" spans="13:67" ht="14.25" x14ac:dyDescent="0.2">
      <c r="M340" s="66">
        <v>22</v>
      </c>
      <c r="N340" s="36">
        <f t="shared" si="316"/>
        <v>16595.869074375616</v>
      </c>
      <c r="O340" s="91" t="str">
        <f t="shared" si="317"/>
        <v>99.7340425531915</v>
      </c>
      <c r="P340" s="67" t="str">
        <f t="shared" si="318"/>
        <v>1+3028.40993178108i</v>
      </c>
      <c r="Q340" s="67">
        <f t="shared" ref="Q340:Q403" si="329">IMABS(P340)</f>
        <v>3028.410096884219</v>
      </c>
      <c r="R340" s="67">
        <f t="shared" ref="R340:R403" si="330">IMARGUMENT(P340)</f>
        <v>1.5704661205195967</v>
      </c>
      <c r="S340" s="67" t="str">
        <f t="shared" si="319"/>
        <v>1+5.69341067174842i</v>
      </c>
      <c r="T340" s="67">
        <f t="shared" ref="T340:T403" si="331">IMABS(S340)</f>
        <v>5.7805644254846591</v>
      </c>
      <c r="U340" s="67">
        <f t="shared" ref="U340:U403" si="332">IMARGUMENT(S340)</f>
        <v>1.3969281524478931</v>
      </c>
      <c r="V340" t="str">
        <f t="shared" si="320"/>
        <v>1-0.588110552905881i</v>
      </c>
      <c r="W340" s="67">
        <f t="shared" ref="W340:W403" si="333">IMABS(V340)</f>
        <v>1.1601181071077467</v>
      </c>
      <c r="X340" s="67">
        <f t="shared" ref="X340:X403" si="334">IMARGUMENT(V340)</f>
        <v>-0.53163138814453559</v>
      </c>
      <c r="Y340" t="str">
        <f t="shared" si="321"/>
        <v>0.934811154950576+0.909063411474812i</v>
      </c>
      <c r="Z340" s="67">
        <f t="shared" ref="Z340:Z403" si="335">IMABS(Y340)</f>
        <v>1.3039433198963264</v>
      </c>
      <c r="AA340" s="67">
        <f t="shared" ref="AA340:AA403" si="336">IMARGUMENT(Y340)</f>
        <v>0.77143513651358564</v>
      </c>
      <c r="AB340" s="92" t="str">
        <f t="shared" ref="AB340:AB403" si="337">(IMDIV(IMPRODUCT(O340,S340,V340),IMPRODUCT(P340,Y340)))</f>
        <v>0.0159299111649489-0.168621545992426i</v>
      </c>
      <c r="AC340" s="37">
        <f t="shared" ref="AC340:AC403" si="338">20*LOG(IMABS(AB340))</f>
        <v>-15.423150506391391</v>
      </c>
      <c r="AD340" s="60">
        <f t="shared" ref="AD340:AD403" si="339">(180/PI())*IMARGUMENT(AB340)</f>
        <v>-84.603205443474835</v>
      </c>
      <c r="AE340" t="str">
        <f t="shared" ref="AE340:AE403" si="340">COMPLEX($B$67,0)</f>
        <v>118.329284003155</v>
      </c>
      <c r="AF340" t="str">
        <f t="shared" si="322"/>
        <v>1+2422.72794542486i</v>
      </c>
      <c r="AG340">
        <f t="shared" ref="AG340:AG403" si="341">IMABS(AF340)</f>
        <v>2422.7281518037807</v>
      </c>
      <c r="AH340">
        <f t="shared" ref="AH340:AH403" si="342">IMARGUMENT(AF340)</f>
        <v>1.5703835689592103</v>
      </c>
      <c r="AI340" t="str">
        <f t="shared" si="323"/>
        <v>1+5.69341067174842i</v>
      </c>
      <c r="AJ340">
        <f t="shared" ref="AJ340:AJ403" si="343">IMABS(AI340)</f>
        <v>5.7805644254846591</v>
      </c>
      <c r="AK340">
        <f t="shared" ref="AK340:AK403" si="344">IMARGUMENT(AI340)</f>
        <v>1.3969281524478931</v>
      </c>
      <c r="AL340" t="str">
        <f t="shared" si="324"/>
        <v>1-0.39654010462149i</v>
      </c>
      <c r="AM340">
        <f t="shared" ref="AM340:AM403" si="345">IMABS(AL340)</f>
        <v>1.0757527850641253</v>
      </c>
      <c r="AN340">
        <f t="shared" ref="AN340:AN403" si="346">IMARGUMENT(AL340)</f>
        <v>-0.3775201547842007</v>
      </c>
      <c r="AO340" s="58" t="str">
        <f t="shared" ref="AO340:AO403" si="347">(IMDIV(IMPRODUCT(AE340,AI340,AL340),IMPRODUCT(AF340)))</f>
        <v>0.258771895871298-0.159001952450629i</v>
      </c>
      <c r="AP340">
        <f t="shared" ref="AP340:AP403" si="348">20*LOG(IMABS(AO340))</f>
        <v>-10.350594483288397</v>
      </c>
      <c r="AQ340" s="60">
        <f t="shared" ref="AQ340:AQ403" si="349">(180/PI())*IMARGUMENT(AO340)</f>
        <v>-31.568574850042577</v>
      </c>
      <c r="AR340" t="str">
        <f t="shared" si="325"/>
        <v>-1.94444444444444</v>
      </c>
      <c r="AS340" t="str">
        <f t="shared" si="326"/>
        <v>1+5.83939556076759i</v>
      </c>
      <c r="AT340">
        <f t="shared" ref="AT340:AT403" si="350">IMABS(AS340)</f>
        <v>5.9244021230088899</v>
      </c>
      <c r="AU340">
        <f t="shared" ref="AU340:AU403" si="351">IMARGUMENT(AS340)</f>
        <v>1.401190947417303</v>
      </c>
      <c r="AV340" t="str">
        <f t="shared" si="327"/>
        <v>1+5.83939556076759i</v>
      </c>
      <c r="AW340">
        <f t="shared" ref="AW340:AW403" si="352">IMABS(AV340)</f>
        <v>5.9244021230088899</v>
      </c>
      <c r="AX340">
        <f t="shared" ref="AX340:AX403" si="353">IMARGUMENT(AV340)</f>
        <v>1.401190947417303</v>
      </c>
      <c r="AY340" t="str">
        <f t="shared" si="328"/>
        <v>1-0.000364362981121354i</v>
      </c>
      <c r="AZ340">
        <f t="shared" ref="AZ340:AZ403" si="354">IMABS(AY340)</f>
        <v>1.0000000663801889</v>
      </c>
      <c r="BA340">
        <f t="shared" ref="BA340:BA403" si="355">IMARGUMENT(AY340)</f>
        <v>-3.6436296499703244E-4</v>
      </c>
      <c r="BB340" s="58" t="str">
        <f t="shared" ref="BB340:BB403" si="356">IMDIV(IMPRODUCT(AR340,AY340), AS340)</f>
        <v>-0.0552817097272112+0.323520253947122i</v>
      </c>
      <c r="BC340">
        <f t="shared" ref="BC340:BC403" si="357">20*LOG(IMABS(BB340))</f>
        <v>-9.6769792164209925</v>
      </c>
      <c r="BD340" s="60">
        <f t="shared" ref="BD340:BD403" si="358">(180/PI())*IMARGUMENT(BB340)</f>
        <v>99.696795960946091</v>
      </c>
      <c r="BE340" s="58" t="str">
        <f t="shared" ref="BE340:BE403" si="359">IMPRODUCT(AB340,BB340)</f>
        <v>0.053671852655425+0.0144753362647462i</v>
      </c>
      <c r="BF340" s="37">
        <f t="shared" ref="BF340:BF403" si="360">20*LOG(IMABS(BE340))</f>
        <v>-25.100129722812383</v>
      </c>
      <c r="BG340" s="60">
        <f t="shared" ref="BG340:BG403" si="361">(180/PI())*IMARGUMENT(BE340)</f>
        <v>15.093590517471215</v>
      </c>
      <c r="BH340" s="58" t="str">
        <f t="shared" ref="BH340:BH403" si="362">IMPRODUCT(AO340,BB340)</f>
        <v>0.0371349992017985+0.092507849248096i</v>
      </c>
      <c r="BI340" s="37">
        <f t="shared" ref="BI340:BI403" si="363">20*LOG(IMABS(BH340))</f>
        <v>-20.027573699709396</v>
      </c>
      <c r="BJ340" s="60">
        <f t="shared" ref="BJ340:BJ403" si="364">(180/PI())*IMARGUMENT(BH340)</f>
        <v>68.12822111090351</v>
      </c>
      <c r="BK340">
        <f t="shared" ref="BK340:BK403" si="365">IF($B$19=0,BF340,BI340)</f>
        <v>-25.100129722812383</v>
      </c>
      <c r="BL340" s="60">
        <f t="shared" ref="BL340:BL403" si="366">IF($B$19=0,BG340,BJ340)</f>
        <v>15.093590517471215</v>
      </c>
      <c r="BN340">
        <f t="shared" si="313"/>
        <v>0</v>
      </c>
      <c r="BO340">
        <f t="shared" si="314"/>
        <v>0</v>
      </c>
    </row>
    <row r="341" spans="13:67" ht="14.25" x14ac:dyDescent="0.2">
      <c r="M341" s="66">
        <v>23</v>
      </c>
      <c r="N341" s="36">
        <f t="shared" si="316"/>
        <v>16982.436524617482</v>
      </c>
      <c r="O341" s="91" t="str">
        <f t="shared" si="317"/>
        <v>99.7340425531915</v>
      </c>
      <c r="P341" s="67" t="str">
        <f t="shared" si="318"/>
        <v>1+3098.95066094503i</v>
      </c>
      <c r="Q341" s="67">
        <f t="shared" si="329"/>
        <v>3098.9508222899631</v>
      </c>
      <c r="R341" s="67">
        <f t="shared" si="330"/>
        <v>1.5704736369315526</v>
      </c>
      <c r="S341" s="67" t="str">
        <f t="shared" si="319"/>
        <v>1+5.82602724257666i</v>
      </c>
      <c r="T341" s="67">
        <f t="shared" si="331"/>
        <v>5.9112260514419006</v>
      </c>
      <c r="U341" s="67">
        <f t="shared" si="332"/>
        <v>1.4008092188273127</v>
      </c>
      <c r="V341" t="str">
        <f t="shared" si="320"/>
        <v>1-0.601809407474951i</v>
      </c>
      <c r="W341" s="67">
        <f t="shared" si="333"/>
        <v>1.1671223427410478</v>
      </c>
      <c r="X341" s="67">
        <f t="shared" si="334"/>
        <v>-0.5417488849543346</v>
      </c>
      <c r="Y341" t="str">
        <f t="shared" si="321"/>
        <v>0.931738899334281+0.930238218501016i</v>
      </c>
      <c r="Z341" s="67">
        <f t="shared" si="335"/>
        <v>1.3166170740547918</v>
      </c>
      <c r="AA341" s="67">
        <f t="shared" si="336"/>
        <v>0.78459220262921081</v>
      </c>
      <c r="AB341" s="92" t="str">
        <f t="shared" si="337"/>
        <v>0.0126010446026004-0.168169573502191i</v>
      </c>
      <c r="AC341" s="37">
        <f t="shared" si="338"/>
        <v>-15.460735876341566</v>
      </c>
      <c r="AD341" s="60">
        <f t="shared" si="339"/>
        <v>-85.714801604244556</v>
      </c>
      <c r="AE341" t="str">
        <f t="shared" si="340"/>
        <v>118.329284003155</v>
      </c>
      <c r="AF341" t="str">
        <f t="shared" si="322"/>
        <v>1+2479.16052875602i</v>
      </c>
      <c r="AG341">
        <f t="shared" si="341"/>
        <v>2479.1607304371837</v>
      </c>
      <c r="AH341">
        <f t="shared" si="342"/>
        <v>1.5703929644735919</v>
      </c>
      <c r="AI341" t="str">
        <f t="shared" si="323"/>
        <v>1+5.82602724257666i</v>
      </c>
      <c r="AJ341">
        <f t="shared" si="343"/>
        <v>5.9112260514419006</v>
      </c>
      <c r="AK341">
        <f t="shared" si="344"/>
        <v>1.4008092188273127</v>
      </c>
      <c r="AL341" t="str">
        <f t="shared" si="324"/>
        <v>1-0.40577671021745i</v>
      </c>
      <c r="AM341">
        <f t="shared" si="345"/>
        <v>1.079191706118471</v>
      </c>
      <c r="AN341">
        <f t="shared" si="346"/>
        <v>-0.38547635866161711</v>
      </c>
      <c r="AO341" s="58" t="str">
        <f t="shared" si="347"/>
        <v>0.258770990522064-0.160461077614505i</v>
      </c>
      <c r="AP341">
        <f t="shared" si="348"/>
        <v>-10.328725618358723</v>
      </c>
      <c r="AQ341" s="60">
        <f t="shared" si="349"/>
        <v>-31.802601352933653</v>
      </c>
      <c r="AR341" t="str">
        <f t="shared" si="325"/>
        <v>-1.94444444444444</v>
      </c>
      <c r="AS341" t="str">
        <f t="shared" si="326"/>
        <v>1+5.97541255648886i</v>
      </c>
      <c r="AT341">
        <f t="shared" si="350"/>
        <v>6.0585109738486675</v>
      </c>
      <c r="AU341">
        <f t="shared" si="351"/>
        <v>1.4049804638076115</v>
      </c>
      <c r="AV341" t="str">
        <f t="shared" si="327"/>
        <v>1+5.97541255648886i</v>
      </c>
      <c r="AW341">
        <f t="shared" si="352"/>
        <v>6.0585109738486675</v>
      </c>
      <c r="AX341">
        <f t="shared" si="353"/>
        <v>1.4049804638076115</v>
      </c>
      <c r="AY341" t="str">
        <f t="shared" si="328"/>
        <v>1-0.000356069067090205i</v>
      </c>
      <c r="AZ341">
        <f t="shared" si="354"/>
        <v>1.0000000633925883</v>
      </c>
      <c r="BA341">
        <f t="shared" si="355"/>
        <v>-3.5606905204211252E-4</v>
      </c>
      <c r="BB341" s="58" t="str">
        <f t="shared" si="356"/>
        <v>-0.0528614079520865+0.31656107734992i</v>
      </c>
      <c r="BC341">
        <f t="shared" si="357"/>
        <v>-9.8714066418162787</v>
      </c>
      <c r="BD341" s="60">
        <f t="shared" si="358"/>
        <v>99.480147871593715</v>
      </c>
      <c r="BE341" s="58" t="str">
        <f t="shared" si="359"/>
        <v>0.0525698324059696+0.0128786806851613i</v>
      </c>
      <c r="BF341" s="37">
        <f t="shared" si="360"/>
        <v>-25.332142518157852</v>
      </c>
      <c r="BG341" s="60">
        <f t="shared" si="361"/>
        <v>13.765346267349178</v>
      </c>
      <c r="BH341" s="58" t="str">
        <f t="shared" si="362"/>
        <v>0.0371167327062245+0.0903990220307823i</v>
      </c>
      <c r="BI341" s="37">
        <f t="shared" si="363"/>
        <v>-20.200132260175</v>
      </c>
      <c r="BJ341" s="60">
        <f t="shared" si="364"/>
        <v>67.67754651866008</v>
      </c>
      <c r="BK341">
        <f t="shared" si="365"/>
        <v>-25.332142518157852</v>
      </c>
      <c r="BL341" s="60">
        <f t="shared" si="366"/>
        <v>13.765346267349178</v>
      </c>
      <c r="BN341">
        <f t="shared" ref="BN341:BN404" si="367">SUM((BK342&lt;0)*(BK341&gt;0))*N341</f>
        <v>0</v>
      </c>
      <c r="BO341">
        <f t="shared" ref="BO341:BO404" si="368">IF(BN341&gt;0,BL341,0)</f>
        <v>0</v>
      </c>
    </row>
    <row r="342" spans="13:67" ht="14.25" x14ac:dyDescent="0.2">
      <c r="M342" s="66">
        <v>24</v>
      </c>
      <c r="N342" s="36">
        <f t="shared" si="316"/>
        <v>17378.008287493791</v>
      </c>
      <c r="O342" s="91" t="str">
        <f t="shared" si="317"/>
        <v>99.7340425531915</v>
      </c>
      <c r="P342" s="67" t="str">
        <f t="shared" si="318"/>
        <v>1+3171.13449476884i</v>
      </c>
      <c r="Q342" s="67">
        <f t="shared" si="329"/>
        <v>3171.1346524411138</v>
      </c>
      <c r="R342" s="67">
        <f t="shared" si="330"/>
        <v>1.570480982249119</v>
      </c>
      <c r="S342" s="67" t="str">
        <f t="shared" si="319"/>
        <v>1+5.96173285016542i</v>
      </c>
      <c r="T342" s="67">
        <f t="shared" si="331"/>
        <v>6.045019319798862</v>
      </c>
      <c r="U342" s="67">
        <f t="shared" si="332"/>
        <v>1.4046069443828726</v>
      </c>
      <c r="V342" t="str">
        <f t="shared" si="320"/>
        <v>1-0.615827349357747i</v>
      </c>
      <c r="W342" s="67">
        <f t="shared" si="333"/>
        <v>1.1744119056859856</v>
      </c>
      <c r="X342" s="67">
        <f t="shared" si="334"/>
        <v>-0.55197604371241049</v>
      </c>
      <c r="Y342" t="str">
        <f t="shared" si="321"/>
        <v>0.92852185277155+0.951906250143818i</v>
      </c>
      <c r="Z342" s="67">
        <f t="shared" si="335"/>
        <v>1.3297662727476498</v>
      </c>
      <c r="AA342" s="67">
        <f t="shared" si="336"/>
        <v>0.79783319987279744</v>
      </c>
      <c r="AB342" s="92" t="str">
        <f t="shared" si="337"/>
        <v>0.00924924095217091-0.167653126447636i</v>
      </c>
      <c r="AC342" s="37">
        <f t="shared" si="338"/>
        <v>-15.498568714499051</v>
      </c>
      <c r="AD342" s="60">
        <f t="shared" si="339"/>
        <v>-86.842255105707665</v>
      </c>
      <c r="AE342" t="str">
        <f t="shared" si="340"/>
        <v>118.329284003155</v>
      </c>
      <c r="AF342" t="str">
        <f t="shared" si="322"/>
        <v>1+2536.90759581507i</v>
      </c>
      <c r="AG342">
        <f t="shared" si="341"/>
        <v>2536.9077929054101</v>
      </c>
      <c r="AH342">
        <f t="shared" si="342"/>
        <v>1.5704021461200242</v>
      </c>
      <c r="AI342" t="str">
        <f t="shared" si="323"/>
        <v>1+5.96173285016542i</v>
      </c>
      <c r="AJ342">
        <f t="shared" si="343"/>
        <v>6.045019319798862</v>
      </c>
      <c r="AK342">
        <f t="shared" si="344"/>
        <v>1.4046069443828726</v>
      </c>
      <c r="AL342" t="str">
        <f t="shared" si="324"/>
        <v>1-0.415228463996253i</v>
      </c>
      <c r="AM342">
        <f t="shared" si="345"/>
        <v>1.0827809923122438</v>
      </c>
      <c r="AN342">
        <f t="shared" si="346"/>
        <v>-0.39356504347769339</v>
      </c>
      <c r="AO342" s="58" t="str">
        <f t="shared" si="347"/>
        <v>0.258770125920244-0.162005281332805i</v>
      </c>
      <c r="AP342">
        <f t="shared" si="348"/>
        <v>-10.305482586712699</v>
      </c>
      <c r="AQ342" s="60">
        <f t="shared" si="349"/>
        <v>-32.048981278213468</v>
      </c>
      <c r="AR342" t="str">
        <f t="shared" si="325"/>
        <v>-1.94444444444444</v>
      </c>
      <c r="AS342" t="str">
        <f t="shared" si="326"/>
        <v>1+6.11459779504144i</v>
      </c>
      <c r="AT342">
        <f t="shared" si="350"/>
        <v>6.1958297422641975</v>
      </c>
      <c r="AU342">
        <f t="shared" si="351"/>
        <v>1.4086883705214241</v>
      </c>
      <c r="AV342" t="str">
        <f t="shared" si="327"/>
        <v>1+6.11459779504144i</v>
      </c>
      <c r="AW342">
        <f t="shared" si="352"/>
        <v>6.1958297422641975</v>
      </c>
      <c r="AX342">
        <f t="shared" si="353"/>
        <v>1.4086883705214241</v>
      </c>
      <c r="AY342" t="str">
        <f t="shared" si="328"/>
        <v>1-0.000347963945591561i</v>
      </c>
      <c r="AZ342">
        <f t="shared" si="354"/>
        <v>1.0000000605394519</v>
      </c>
      <c r="BA342">
        <f t="shared" si="355"/>
        <v>-3.4796393154786393E-4</v>
      </c>
      <c r="BB342" s="58" t="str">
        <f t="shared" si="356"/>
        <v>-0.0505442287227449+0.309734226061039i</v>
      </c>
      <c r="BC342">
        <f t="shared" si="357"/>
        <v>-10.066078191135793</v>
      </c>
      <c r="BD342" s="60">
        <f t="shared" si="358"/>
        <v>99.268164855260778</v>
      </c>
      <c r="BE342" s="58" t="str">
        <f t="shared" si="359"/>
        <v>0.0514604156167737+0.0113387044572253i</v>
      </c>
      <c r="BF342" s="37">
        <f t="shared" si="360"/>
        <v>-25.564646905634852</v>
      </c>
      <c r="BG342" s="60">
        <f t="shared" si="361"/>
        <v>12.425909749553128</v>
      </c>
      <c r="BH342" s="58" t="str">
        <f t="shared" si="362"/>
        <v>0.0370992440002909+0.0883383966736023i</v>
      </c>
      <c r="BI342" s="37">
        <f t="shared" si="363"/>
        <v>-20.371560777848494</v>
      </c>
      <c r="BJ342" s="60">
        <f t="shared" si="364"/>
        <v>67.219183577047332</v>
      </c>
      <c r="BK342">
        <f t="shared" si="365"/>
        <v>-25.564646905634852</v>
      </c>
      <c r="BL342" s="60">
        <f t="shared" si="366"/>
        <v>12.425909749553128</v>
      </c>
      <c r="BN342">
        <f t="shared" si="367"/>
        <v>0</v>
      </c>
      <c r="BO342">
        <f t="shared" si="368"/>
        <v>0</v>
      </c>
    </row>
    <row r="343" spans="13:67" ht="14.25" x14ac:dyDescent="0.2">
      <c r="M343" s="66">
        <v>25</v>
      </c>
      <c r="N343" s="36">
        <f t="shared" si="316"/>
        <v>17782.794100389234</v>
      </c>
      <c r="O343" s="91" t="str">
        <f t="shared" si="317"/>
        <v>99.7340425531915</v>
      </c>
      <c r="P343" s="67" t="str">
        <f t="shared" si="318"/>
        <v>1+3244.99970607671i</v>
      </c>
      <c r="Q343" s="67">
        <f t="shared" si="329"/>
        <v>3244.999860159925</v>
      </c>
      <c r="R343" s="67">
        <f t="shared" si="330"/>
        <v>1.5704881603668777</v>
      </c>
      <c r="S343" s="67" t="str">
        <f t="shared" si="319"/>
        <v>1+6.10059944742421i</v>
      </c>
      <c r="T343" s="67">
        <f t="shared" si="331"/>
        <v>6.1820153362728378</v>
      </c>
      <c r="U343" s="67">
        <f t="shared" si="332"/>
        <v>1.4083229043105798</v>
      </c>
      <c r="V343" t="str">
        <f t="shared" si="320"/>
        <v>1-0.630171811052611i</v>
      </c>
      <c r="W343" s="67">
        <f t="shared" si="333"/>
        <v>1.181996832248432</v>
      </c>
      <c r="X343" s="67">
        <f t="shared" si="334"/>
        <v>-0.56230972889518305</v>
      </c>
      <c r="Y343" t="str">
        <f t="shared" si="321"/>
        <v>0.925153191475305+0.974078995080414i</v>
      </c>
      <c r="Z343" s="67">
        <f t="shared" si="335"/>
        <v>1.3434054921555931</v>
      </c>
      <c r="AA343" s="67">
        <f t="shared" si="336"/>
        <v>0.81115330041339151</v>
      </c>
      <c r="AB343" s="92" t="str">
        <f t="shared" si="337"/>
        <v>0.00587796056962517-0.167070353111357i</v>
      </c>
      <c r="AC343" s="37">
        <f t="shared" si="338"/>
        <v>-15.536639766510209</v>
      </c>
      <c r="AD343" s="60">
        <f t="shared" si="339"/>
        <v>-87.985019652318385</v>
      </c>
      <c r="AE343" t="str">
        <f t="shared" si="340"/>
        <v>118.329284003155</v>
      </c>
      <c r="AF343" t="str">
        <f t="shared" si="322"/>
        <v>1+2595.99976486137i</v>
      </c>
      <c r="AG343">
        <f t="shared" si="341"/>
        <v>2595.9999574653866</v>
      </c>
      <c r="AH343">
        <f t="shared" si="342"/>
        <v>1.570411118766732</v>
      </c>
      <c r="AI343" t="str">
        <f t="shared" si="323"/>
        <v>1+6.10059944742421i</v>
      </c>
      <c r="AJ343">
        <f t="shared" si="343"/>
        <v>6.1820153362728378</v>
      </c>
      <c r="AK343">
        <f t="shared" si="344"/>
        <v>1.4083229043105798</v>
      </c>
      <c r="AL343" t="str">
        <f t="shared" si="324"/>
        <v>1-0.424900377402865i</v>
      </c>
      <c r="AM343">
        <f t="shared" si="345"/>
        <v>1.0865267280270179</v>
      </c>
      <c r="AN343">
        <f t="shared" si="346"/>
        <v>-0.40178626317814226</v>
      </c>
      <c r="AO343" s="58" t="str">
        <f t="shared" si="347"/>
        <v>0.258769300231904-0.163635382364974i</v>
      </c>
      <c r="AP343">
        <f t="shared" si="348"/>
        <v>-10.280839040262059</v>
      </c>
      <c r="AQ343" s="60">
        <f t="shared" si="349"/>
        <v>-32.307627743589016</v>
      </c>
      <c r="AR343" t="str">
        <f t="shared" si="325"/>
        <v>-1.94444444444444</v>
      </c>
      <c r="AS343" t="str">
        <f t="shared" si="326"/>
        <v>1+6.25702507428123i</v>
      </c>
      <c r="AT343">
        <f t="shared" si="350"/>
        <v>6.3364313915787029</v>
      </c>
      <c r="AU343">
        <f t="shared" si="351"/>
        <v>1.4123162255063397</v>
      </c>
      <c r="AV343" t="str">
        <f t="shared" si="327"/>
        <v>1+6.25702507428123i</v>
      </c>
      <c r="AW343">
        <f t="shared" si="352"/>
        <v>6.3364313915787029</v>
      </c>
      <c r="AX343">
        <f t="shared" si="353"/>
        <v>1.4123162255063397</v>
      </c>
      <c r="AY343" t="str">
        <f t="shared" si="328"/>
        <v>1-0.000340043319182718i</v>
      </c>
      <c r="AZ343">
        <f t="shared" si="354"/>
        <v>1.0000000578147277</v>
      </c>
      <c r="BA343">
        <f t="shared" si="355"/>
        <v>-3.4004330607637724E-4</v>
      </c>
      <c r="BB343" s="58" t="str">
        <f t="shared" si="356"/>
        <v>-0.0483260223382794+0.303038328853745i</v>
      </c>
      <c r="BC343">
        <f t="shared" si="357"/>
        <v>-10.260983450061502</v>
      </c>
      <c r="BD343" s="60">
        <f t="shared" si="358"/>
        <v>99.060757894350232</v>
      </c>
      <c r="BE343" s="58" t="str">
        <f t="shared" si="359"/>
        <v>0.0503446621540795+0.00985509296461108i</v>
      </c>
      <c r="BF343" s="37">
        <f t="shared" si="360"/>
        <v>-25.797623216571708</v>
      </c>
      <c r="BG343" s="60">
        <f t="shared" si="361"/>
        <v>11.07573824203185</v>
      </c>
      <c r="BH343" s="58" t="str">
        <f t="shared" si="362"/>
        <v>0.0370825018297574+0.0863248634444318i</v>
      </c>
      <c r="BI343" s="37">
        <f t="shared" si="363"/>
        <v>-20.541822490323565</v>
      </c>
      <c r="BJ343" s="60">
        <f t="shared" si="364"/>
        <v>66.753130150761208</v>
      </c>
      <c r="BK343">
        <f t="shared" si="365"/>
        <v>-25.797623216571708</v>
      </c>
      <c r="BL343" s="60">
        <f t="shared" si="366"/>
        <v>11.07573824203185</v>
      </c>
      <c r="BN343">
        <f t="shared" si="367"/>
        <v>0</v>
      </c>
      <c r="BO343">
        <f t="shared" si="368"/>
        <v>0</v>
      </c>
    </row>
    <row r="344" spans="13:67" ht="14.25" x14ac:dyDescent="0.2">
      <c r="M344" s="66">
        <v>26</v>
      </c>
      <c r="N344" s="36">
        <f t="shared" si="316"/>
        <v>18197.008586099837</v>
      </c>
      <c r="O344" s="91" t="str">
        <f t="shared" si="317"/>
        <v>99.7340425531915</v>
      </c>
      <c r="P344" s="67" t="str">
        <f t="shared" si="318"/>
        <v>1+3320.58545918141i</v>
      </c>
      <c r="Q344" s="67">
        <f t="shared" si="329"/>
        <v>3320.5856097572632</v>
      </c>
      <c r="R344" s="67">
        <f t="shared" si="330"/>
        <v>1.5704951750907583</v>
      </c>
      <c r="S344" s="67" t="str">
        <f t="shared" si="319"/>
        <v>1+6.24270066326105i</v>
      </c>
      <c r="T344" s="67">
        <f t="shared" si="331"/>
        <v>6.3222868940819152</v>
      </c>
      <c r="U344" s="67">
        <f t="shared" si="332"/>
        <v>1.4119586581636678</v>
      </c>
      <c r="V344" t="str">
        <f t="shared" si="320"/>
        <v>1-0.644850398183009i</v>
      </c>
      <c r="W344" s="67">
        <f t="shared" si="333"/>
        <v>1.189887404772731</v>
      </c>
      <c r="X344" s="67">
        <f t="shared" si="334"/>
        <v>-0.57274659133795258</v>
      </c>
      <c r="Y344" t="str">
        <f t="shared" si="321"/>
        <v>0.921625770063292+0.996768209593669i</v>
      </c>
      <c r="Z344" s="67">
        <f t="shared" si="335"/>
        <v>1.357549602666998</v>
      </c>
      <c r="AA344" s="67">
        <f t="shared" si="336"/>
        <v>0.82454760124503645</v>
      </c>
      <c r="AB344" s="92" t="str">
        <f t="shared" si="337"/>
        <v>0.00249075794604605-0.166419596628259i</v>
      </c>
      <c r="AC344" s="37">
        <f t="shared" si="338"/>
        <v>-15.574937975196159</v>
      </c>
      <c r="AD344" s="60">
        <f t="shared" si="339"/>
        <v>-89.142533291771912</v>
      </c>
      <c r="AE344" t="str">
        <f t="shared" si="340"/>
        <v>118.329284003155</v>
      </c>
      <c r="AF344" t="str">
        <f t="shared" si="322"/>
        <v>1+2656.46836734513i</v>
      </c>
      <c r="AG344">
        <f t="shared" si="341"/>
        <v>2656.4685555649439</v>
      </c>
      <c r="AH344">
        <f t="shared" si="342"/>
        <v>1.570419887171125</v>
      </c>
      <c r="AI344" t="str">
        <f t="shared" si="323"/>
        <v>1+6.24270066326105i</v>
      </c>
      <c r="AJ344">
        <f t="shared" si="343"/>
        <v>6.3222868940819152</v>
      </c>
      <c r="AK344">
        <f t="shared" si="344"/>
        <v>1.4119586581636678</v>
      </c>
      <c r="AL344" t="str">
        <f t="shared" si="324"/>
        <v>1-0.4347975786138i</v>
      </c>
      <c r="AM344">
        <f t="shared" si="345"/>
        <v>1.0904352041127541</v>
      </c>
      <c r="AN344">
        <f t="shared" si="346"/>
        <v>-0.41013993043553193</v>
      </c>
      <c r="AO344" s="58" t="str">
        <f t="shared" si="347"/>
        <v>0.25876851170565-0.165352245014206i</v>
      </c>
      <c r="AP344">
        <f t="shared" si="348"/>
        <v>-10.254767588600156</v>
      </c>
      <c r="AQ344" s="60">
        <f t="shared" si="349"/>
        <v>-32.578446662328517</v>
      </c>
      <c r="AR344" t="str">
        <f t="shared" si="325"/>
        <v>-1.94444444444444</v>
      </c>
      <c r="AS344" t="str">
        <f t="shared" si="326"/>
        <v>1+6.40276991103695i</v>
      </c>
      <c r="AT344">
        <f t="shared" si="350"/>
        <v>6.48039061582557</v>
      </c>
      <c r="AU344">
        <f t="shared" si="351"/>
        <v>1.4158655701255769</v>
      </c>
      <c r="AV344" t="str">
        <f t="shared" si="327"/>
        <v>1+6.40276991103695i</v>
      </c>
      <c r="AW344">
        <f t="shared" si="352"/>
        <v>6.48039061582557</v>
      </c>
      <c r="AX344">
        <f t="shared" si="353"/>
        <v>1.4158655701255769</v>
      </c>
      <c r="AY344" t="str">
        <f t="shared" si="328"/>
        <v>1-0.000332302988242709i</v>
      </c>
      <c r="AZ344">
        <f t="shared" si="354"/>
        <v>1.0000000552126365</v>
      </c>
      <c r="BA344">
        <f t="shared" si="355"/>
        <v>-3.3230297601116005E-4</v>
      </c>
      <c r="BB344" s="58" t="str">
        <f t="shared" si="356"/>
        <v>-0.0462027850520537+0.296471946636758i</v>
      </c>
      <c r="BC344">
        <f t="shared" si="357"/>
        <v>-10.456112424459532</v>
      </c>
      <c r="BD344" s="60">
        <f t="shared" si="358"/>
        <v>98.857838915875277</v>
      </c>
      <c r="BE344" s="58" t="str">
        <f t="shared" si="359"/>
        <v>0.0492236618168861+0.00842748870833018i</v>
      </c>
      <c r="BF344" s="37">
        <f t="shared" si="360"/>
        <v>-26.031050399655697</v>
      </c>
      <c r="BG344" s="60">
        <f t="shared" si="361"/>
        <v>9.7153056241033706</v>
      </c>
      <c r="BH344" s="58" t="str">
        <f t="shared" si="362"/>
        <v>0.0370664760355438+0.0843573386279367i</v>
      </c>
      <c r="BI344" s="37">
        <f t="shared" si="363"/>
        <v>-20.710880013059683</v>
      </c>
      <c r="BJ344" s="60">
        <f t="shared" si="364"/>
        <v>66.279392253546803</v>
      </c>
      <c r="BK344">
        <f t="shared" si="365"/>
        <v>-26.031050399655697</v>
      </c>
      <c r="BL344" s="60">
        <f t="shared" si="366"/>
        <v>9.7153056241033706</v>
      </c>
      <c r="BN344">
        <f t="shared" si="367"/>
        <v>0</v>
      </c>
      <c r="BO344">
        <f t="shared" si="368"/>
        <v>0</v>
      </c>
    </row>
    <row r="345" spans="13:67" ht="14.25" x14ac:dyDescent="0.2">
      <c r="M345" s="66">
        <v>27</v>
      </c>
      <c r="N345" s="36">
        <f t="shared" si="316"/>
        <v>18620.871366628675</v>
      </c>
      <c r="O345" s="91" t="str">
        <f t="shared" si="317"/>
        <v>99.7340425531915</v>
      </c>
      <c r="P345" s="67" t="str">
        <f t="shared" si="318"/>
        <v>1+3397.9318306497i</v>
      </c>
      <c r="Q345" s="67">
        <f t="shared" si="329"/>
        <v>3397.9319777980281</v>
      </c>
      <c r="R345" s="67">
        <f t="shared" si="330"/>
        <v>1.5705020301400581</v>
      </c>
      <c r="S345" s="67" t="str">
        <f t="shared" si="319"/>
        <v>1+6.38811184162144i</v>
      </c>
      <c r="T345" s="67">
        <f t="shared" si="331"/>
        <v>6.4659085131993699</v>
      </c>
      <c r="U345" s="67">
        <f t="shared" si="332"/>
        <v>1.4155157489918095</v>
      </c>
      <c r="V345" t="str">
        <f t="shared" si="320"/>
        <v>1-0.659870893530127i</v>
      </c>
      <c r="W345" s="67">
        <f t="shared" si="333"/>
        <v>1.1980941516125718</v>
      </c>
      <c r="X345" s="67">
        <f t="shared" si="334"/>
        <v>-0.58328306959268905</v>
      </c>
      <c r="Y345" t="str">
        <f t="shared" si="321"/>
        <v>0.917932106401768+1.01998592380543i</v>
      </c>
      <c r="Z345" s="67">
        <f t="shared" si="335"/>
        <v>1.372213772239735</v>
      </c>
      <c r="AA345" s="67">
        <f t="shared" si="336"/>
        <v>0.83801113903290081</v>
      </c>
      <c r="AB345" s="92" t="str">
        <f t="shared" si="337"/>
        <v>-0.000908731636417828-0.165699401994092i</v>
      </c>
      <c r="AC345" s="37">
        <f t="shared" si="338"/>
        <v>-15.613450559510495</v>
      </c>
      <c r="AD345" s="60">
        <f t="shared" si="339"/>
        <v>-90.31421939285525</v>
      </c>
      <c r="AE345" t="str">
        <f t="shared" si="340"/>
        <v>118.329284003155</v>
      </c>
      <c r="AF345" t="str">
        <f t="shared" si="322"/>
        <v>1+2718.34546451976i</v>
      </c>
      <c r="AG345">
        <f t="shared" si="341"/>
        <v>2718.345648455168</v>
      </c>
      <c r="AH345">
        <f t="shared" si="342"/>
        <v>1.5704284559823223</v>
      </c>
      <c r="AI345" t="str">
        <f t="shared" si="323"/>
        <v>1+6.38811184162144i</v>
      </c>
      <c r="AJ345">
        <f t="shared" si="343"/>
        <v>6.4659085131993699</v>
      </c>
      <c r="AK345">
        <f t="shared" si="344"/>
        <v>1.4155157489918095</v>
      </c>
      <c r="AL345" t="str">
        <f t="shared" si="324"/>
        <v>1-0.444925315256142i</v>
      </c>
      <c r="AM345">
        <f t="shared" si="345"/>
        <v>1.0945129218770226</v>
      </c>
      <c r="AN345">
        <f t="shared" si="346"/>
        <v>-0.41862580982139463</v>
      </c>
      <c r="AO345" s="58" t="str">
        <f t="shared" si="347"/>
        <v>0.258767758668915-0.167156779585714i</v>
      </c>
      <c r="AP345">
        <f t="shared" si="348"/>
        <v>-10.227239856797425</v>
      </c>
      <c r="AQ345" s="60">
        <f t="shared" si="349"/>
        <v>-32.861336401515274</v>
      </c>
      <c r="AR345" t="str">
        <f t="shared" si="325"/>
        <v>-1.94444444444444</v>
      </c>
      <c r="AS345" t="str">
        <f t="shared" si="326"/>
        <v>1+6.55190958115018i</v>
      </c>
      <c r="AT345">
        <f t="shared" si="350"/>
        <v>6.6277838799682911</v>
      </c>
      <c r="AU345">
        <f t="shared" si="351"/>
        <v>1.419337928392868</v>
      </c>
      <c r="AV345" t="str">
        <f t="shared" si="327"/>
        <v>1+6.55190958115018i</v>
      </c>
      <c r="AW345">
        <f t="shared" si="352"/>
        <v>6.6277838799682911</v>
      </c>
      <c r="AX345">
        <f t="shared" si="353"/>
        <v>1.419337928392868</v>
      </c>
      <c r="AY345" t="str">
        <f t="shared" si="328"/>
        <v>1-0.000324738848745616i</v>
      </c>
      <c r="AZ345">
        <f t="shared" si="354"/>
        <v>1.0000000527276585</v>
      </c>
      <c r="BA345">
        <f t="shared" si="355"/>
        <v>-3.2473883733047029E-4</v>
      </c>
      <c r="BB345" s="58" t="str">
        <f t="shared" si="356"/>
        <v>-0.0441706557922608+0.290033579541339i</v>
      </c>
      <c r="BC345">
        <f t="shared" si="357"/>
        <v>-10.651455525503749</v>
      </c>
      <c r="BD345" s="60">
        <f t="shared" si="358"/>
        <v>98.659320835424197</v>
      </c>
      <c r="BE345" s="58" t="str">
        <f t="shared" si="359"/>
        <v>0.0480985299605255+0.00705548856111177i</v>
      </c>
      <c r="BF345" s="37">
        <f t="shared" si="360"/>
        <v>-26.264906085014253</v>
      </c>
      <c r="BG345" s="60">
        <f t="shared" si="361"/>
        <v>8.3451014425689394</v>
      </c>
      <c r="BH345" s="58" t="str">
        <f t="shared" si="362"/>
        <v>0.0370511375295478+0.0824347638910582i</v>
      </c>
      <c r="BI345" s="37">
        <f t="shared" si="363"/>
        <v>-20.878695382301167</v>
      </c>
      <c r="BJ345" s="60">
        <f t="shared" si="364"/>
        <v>65.797984433908937</v>
      </c>
      <c r="BK345">
        <f t="shared" si="365"/>
        <v>-26.264906085014253</v>
      </c>
      <c r="BL345" s="60">
        <f t="shared" si="366"/>
        <v>8.3451014425689394</v>
      </c>
      <c r="BN345">
        <f t="shared" si="367"/>
        <v>0</v>
      </c>
      <c r="BO345">
        <f t="shared" si="368"/>
        <v>0</v>
      </c>
    </row>
    <row r="346" spans="13:67" ht="14.25" x14ac:dyDescent="0.2">
      <c r="M346" s="66">
        <v>28</v>
      </c>
      <c r="N346" s="36">
        <f t="shared" si="316"/>
        <v>19054.607179632505</v>
      </c>
      <c r="O346" s="91" t="str">
        <f t="shared" si="317"/>
        <v>99.7340425531915</v>
      </c>
      <c r="P346" s="67" t="str">
        <f t="shared" si="318"/>
        <v>1+3477.07983055158i</v>
      </c>
      <c r="Q346" s="67">
        <f t="shared" si="329"/>
        <v>3477.0799743504035</v>
      </c>
      <c r="R346" s="67">
        <f t="shared" si="330"/>
        <v>1.5705087291494118</v>
      </c>
      <c r="S346" s="67" t="str">
        <f t="shared" si="319"/>
        <v>1+6.53691008143698i</v>
      </c>
      <c r="T346" s="67">
        <f t="shared" si="331"/>
        <v>6.6129564804852912</v>
      </c>
      <c r="U346" s="67">
        <f t="shared" si="332"/>
        <v>1.4189957025676123</v>
      </c>
      <c r="V346" t="str">
        <f t="shared" si="320"/>
        <v>1-0.675241261159424i</v>
      </c>
      <c r="W346" s="67">
        <f t="shared" si="333"/>
        <v>1.206627846841009</v>
      </c>
      <c r="X346" s="67">
        <f t="shared" si="334"/>
        <v>-0.59391539220229972</v>
      </c>
      <c r="Y346" t="str">
        <f t="shared" si="321"/>
        <v>0.914064365734886+1.04374444805512i</v>
      </c>
      <c r="Z346" s="67">
        <f t="shared" si="335"/>
        <v>1.3874134702936274</v>
      </c>
      <c r="AA346" s="67">
        <f t="shared" si="336"/>
        <v>0.85153890545409983</v>
      </c>
      <c r="AB346" s="92" t="str">
        <f t="shared" si="337"/>
        <v>-0.0043168061077184-0.164908521918482i</v>
      </c>
      <c r="AC346" s="37">
        <f t="shared" si="338"/>
        <v>-15.652163103717022</v>
      </c>
      <c r="AD346" s="60">
        <f t="shared" si="339"/>
        <v>-91.499487699148858</v>
      </c>
      <c r="AE346" t="str">
        <f t="shared" si="340"/>
        <v>118.329284003155</v>
      </c>
      <c r="AF346" t="str">
        <f t="shared" si="322"/>
        <v>1+2781.66386444127i</v>
      </c>
      <c r="AG346">
        <f t="shared" si="341"/>
        <v>2781.664044189798</v>
      </c>
      <c r="AH346">
        <f t="shared" si="342"/>
        <v>1.570436829743616</v>
      </c>
      <c r="AI346" t="str">
        <f t="shared" si="323"/>
        <v>1+6.53691008143698i</v>
      </c>
      <c r="AJ346">
        <f t="shared" si="343"/>
        <v>6.6129564804852912</v>
      </c>
      <c r="AK346">
        <f t="shared" si="344"/>
        <v>1.4189957025676123</v>
      </c>
      <c r="AL346" t="str">
        <f t="shared" si="324"/>
        <v>1-0.455288957189919i</v>
      </c>
      <c r="AM346">
        <f t="shared" si="345"/>
        <v>1.0987665969345282</v>
      </c>
      <c r="AN346">
        <f t="shared" si="346"/>
        <v>-0.42724351105836633</v>
      </c>
      <c r="AO346" s="58" t="str">
        <f t="shared" si="347"/>
        <v>0.258767039524406-0.169049942869398i</v>
      </c>
      <c r="AP346">
        <f t="shared" si="348"/>
        <v>-10.198226547543443</v>
      </c>
      <c r="AQ346" s="60">
        <f t="shared" si="349"/>
        <v>-33.15618743988427</v>
      </c>
      <c r="AR346" t="str">
        <f t="shared" si="325"/>
        <v>-1.94444444444444</v>
      </c>
      <c r="AS346" t="str">
        <f t="shared" si="326"/>
        <v>1+6.70452316044816i</v>
      </c>
      <c r="AT346">
        <f t="shared" si="350"/>
        <v>6.7786894610231103</v>
      </c>
      <c r="AU346">
        <f t="shared" si="351"/>
        <v>1.422734806288974</v>
      </c>
      <c r="AV346" t="str">
        <f t="shared" si="327"/>
        <v>1+6.70452316044816i</v>
      </c>
      <c r="AW346">
        <f t="shared" si="352"/>
        <v>6.7786894610231103</v>
      </c>
      <c r="AX346">
        <f t="shared" si="353"/>
        <v>1.422734806288974</v>
      </c>
      <c r="AY346" t="str">
        <f t="shared" si="328"/>
        <v>1-0.000317346890084553i</v>
      </c>
      <c r="AZ346">
        <f t="shared" si="354"/>
        <v>1.000000050354523</v>
      </c>
      <c r="BA346">
        <f t="shared" si="355"/>
        <v>-3.173468794313192E-4</v>
      </c>
      <c r="BB346" s="58" t="str">
        <f t="shared" si="356"/>
        <v>-0.0422259127773663+0.283721673584303i</v>
      </c>
      <c r="BC346">
        <f t="shared" si="357"/>
        <v>-10.84700355514342</v>
      </c>
      <c r="BD346" s="60">
        <f t="shared" si="358"/>
        <v>98.465117596445992</v>
      </c>
      <c r="BE346" s="58" t="str">
        <f t="shared" si="359"/>
        <v>0.0469704029052067+0.00573864140935341i</v>
      </c>
      <c r="BF346" s="37">
        <f t="shared" si="360"/>
        <v>-26.499166658860446</v>
      </c>
      <c r="BG346" s="60">
        <f t="shared" si="361"/>
        <v>6.9656298972971378</v>
      </c>
      <c r="BH346" s="58" t="str">
        <f t="shared" si="362"/>
        <v>0.0370364582696215+0.0805561056649419i</v>
      </c>
      <c r="BI346" s="37">
        <f t="shared" si="363"/>
        <v>-21.045230102686862</v>
      </c>
      <c r="BJ346" s="60">
        <f t="shared" si="364"/>
        <v>65.308930156561743</v>
      </c>
      <c r="BK346">
        <f t="shared" si="365"/>
        <v>-26.499166658860446</v>
      </c>
      <c r="BL346" s="60">
        <f t="shared" si="366"/>
        <v>6.9656298972971378</v>
      </c>
      <c r="BN346">
        <f t="shared" si="367"/>
        <v>0</v>
      </c>
      <c r="BO346">
        <f t="shared" si="368"/>
        <v>0</v>
      </c>
    </row>
    <row r="347" spans="13:67" ht="14.25" x14ac:dyDescent="0.2">
      <c r="M347" s="66">
        <v>29</v>
      </c>
      <c r="N347" s="36">
        <f t="shared" si="316"/>
        <v>19498.445997580486</v>
      </c>
      <c r="O347" s="91" t="str">
        <f t="shared" si="317"/>
        <v>99.7340425531915</v>
      </c>
      <c r="P347" s="67" t="str">
        <f t="shared" si="318"/>
        <v>1+3558.07142420417i</v>
      </c>
      <c r="Q347" s="67">
        <f t="shared" si="329"/>
        <v>3558.0715647297329</v>
      </c>
      <c r="R347" s="67">
        <f t="shared" si="330"/>
        <v>1.5705152756707208</v>
      </c>
      <c r="S347" s="67" t="str">
        <f t="shared" si="319"/>
        <v>1+6.68917427750383i</v>
      </c>
      <c r="T347" s="67">
        <f t="shared" si="331"/>
        <v>6.7635088907178122</v>
      </c>
      <c r="U347" s="67">
        <f t="shared" si="332"/>
        <v>1.4224000266952219</v>
      </c>
      <c r="V347" t="str">
        <f t="shared" si="320"/>
        <v>1-0.690969650643253i</v>
      </c>
      <c r="W347" s="67">
        <f t="shared" si="333"/>
        <v>1.2154995097119781</v>
      </c>
      <c r="X347" s="67">
        <f t="shared" si="334"/>
        <v>-0.60463958092085102</v>
      </c>
      <c r="Y347" t="str">
        <f t="shared" si="321"/>
        <v>0.91001434406614+1.06805637942674i</v>
      </c>
      <c r="Z347" s="67">
        <f t="shared" si="335"/>
        <v>1.403164472198567</v>
      </c>
      <c r="AA347" s="67">
        <f t="shared" si="336"/>
        <v>0.86512586294035598</v>
      </c>
      <c r="AB347" s="92" t="str">
        <f t="shared" si="337"/>
        <v>-0.00772971115332187-0.164045921452751i</v>
      </c>
      <c r="AC347" s="37">
        <f t="shared" si="338"/>
        <v>-15.691059656545756</v>
      </c>
      <c r="AD347" s="60">
        <f t="shared" si="339"/>
        <v>-92.697735455244739</v>
      </c>
      <c r="AE347" t="str">
        <f t="shared" si="340"/>
        <v>118.329284003155</v>
      </c>
      <c r="AF347" t="str">
        <f t="shared" si="322"/>
        <v>1+2846.45713936333i</v>
      </c>
      <c r="AG347">
        <f t="shared" si="341"/>
        <v>2846.4573150202818</v>
      </c>
      <c r="AH347">
        <f t="shared" si="342"/>
        <v>1.5704450128948801</v>
      </c>
      <c r="AI347" t="str">
        <f t="shared" si="323"/>
        <v>1+6.68917427750383i</v>
      </c>
      <c r="AJ347">
        <f t="shared" si="343"/>
        <v>6.7635088907178122</v>
      </c>
      <c r="AK347">
        <f t="shared" si="344"/>
        <v>1.4224000266952219</v>
      </c>
      <c r="AL347" t="str">
        <f t="shared" si="324"/>
        <v>1-0.465893999355253i</v>
      </c>
      <c r="AM347">
        <f t="shared" si="345"/>
        <v>1.1032031629012093</v>
      </c>
      <c r="AN347">
        <f t="shared" si="346"/>
        <v>-0.43599248239329691</v>
      </c>
      <c r="AO347" s="58" t="str">
        <f t="shared" si="347"/>
        <v>0.258766352746724-0.171032738647153i</v>
      </c>
      <c r="AP347">
        <f t="shared" si="348"/>
        <v>-10.167697507736072</v>
      </c>
      <c r="AQ347" s="60">
        <f t="shared" si="349"/>
        <v>-33.462882027880696</v>
      </c>
      <c r="AR347" t="str">
        <f t="shared" si="325"/>
        <v>-1.94444444444444</v>
      </c>
      <c r="AS347" t="str">
        <f t="shared" si="326"/>
        <v>1+6.86069156667058i</v>
      </c>
      <c r="AT347">
        <f t="shared" si="350"/>
        <v>6.9331874901076205</v>
      </c>
      <c r="AU347">
        <f t="shared" si="351"/>
        <v>1.4260576911548786</v>
      </c>
      <c r="AV347" t="str">
        <f t="shared" si="327"/>
        <v>1+6.86069156667058i</v>
      </c>
      <c r="AW347">
        <f t="shared" si="352"/>
        <v>6.9331874901076205</v>
      </c>
      <c r="AX347">
        <f t="shared" si="353"/>
        <v>1.4260576911548786</v>
      </c>
      <c r="AY347" t="str">
        <f t="shared" si="328"/>
        <v>1-0.000310123192945199i</v>
      </c>
      <c r="AZ347">
        <f t="shared" si="354"/>
        <v>1.0000000480881963</v>
      </c>
      <c r="BA347">
        <f t="shared" si="355"/>
        <v>-3.1012318300302266E-4</v>
      </c>
      <c r="BB347" s="58" t="str">
        <f t="shared" si="356"/>
        <v>-0.0403649700490196+0.277534626923835i</v>
      </c>
      <c r="BC347">
        <f t="shared" si="357"/>
        <v>-11.042747691923292</v>
      </c>
      <c r="BD347" s="60">
        <f t="shared" si="358"/>
        <v>98.275144205139597</v>
      </c>
      <c r="BE347" s="58" t="str">
        <f t="shared" si="359"/>
        <v>0.0458404331679574+0.00447644620493792i</v>
      </c>
      <c r="BF347" s="37">
        <f t="shared" si="360"/>
        <v>-26.73380734846905</v>
      </c>
      <c r="BG347" s="60">
        <f t="shared" si="361"/>
        <v>5.5774087498948584</v>
      </c>
      <c r="BH347" s="58" t="str">
        <f t="shared" si="362"/>
        <v>0.0370224112338838+0.0787203545428977i</v>
      </c>
      <c r="BI347" s="37">
        <f t="shared" si="363"/>
        <v>-21.210445199659365</v>
      </c>
      <c r="BJ347" s="60">
        <f t="shared" si="364"/>
        <v>64.812262177258944</v>
      </c>
      <c r="BK347">
        <f t="shared" si="365"/>
        <v>-26.73380734846905</v>
      </c>
      <c r="BL347" s="60">
        <f t="shared" si="366"/>
        <v>5.5774087498948584</v>
      </c>
      <c r="BN347">
        <f t="shared" si="367"/>
        <v>0</v>
      </c>
      <c r="BO347">
        <f t="shared" si="368"/>
        <v>0</v>
      </c>
    </row>
    <row r="348" spans="13:67" ht="14.25" x14ac:dyDescent="0.2">
      <c r="M348" s="66">
        <v>30</v>
      </c>
      <c r="N348" s="36">
        <f t="shared" si="316"/>
        <v>19952.623149688792</v>
      </c>
      <c r="O348" s="91" t="str">
        <f t="shared" si="317"/>
        <v>99.7340425531915</v>
      </c>
      <c r="P348" s="67" t="str">
        <f t="shared" si="318"/>
        <v>1+3640.94955442253i</v>
      </c>
      <c r="Q348" s="67">
        <f t="shared" si="329"/>
        <v>3640.9496917493407</v>
      </c>
      <c r="R348" s="67">
        <f t="shared" si="330"/>
        <v>1.5705216731750351</v>
      </c>
      <c r="S348" s="67" t="str">
        <f t="shared" si="319"/>
        <v>1+6.84498516231436i</v>
      </c>
      <c r="T348" s="67">
        <f t="shared" si="331"/>
        <v>6.9176456885492303</v>
      </c>
      <c r="U348" s="67">
        <f t="shared" si="332"/>
        <v>1.425730210596118</v>
      </c>
      <c r="V348" t="str">
        <f t="shared" si="320"/>
        <v>1-0.707064401381923i</v>
      </c>
      <c r="W348" s="67">
        <f t="shared" si="333"/>
        <v>1.2247204038888129</v>
      </c>
      <c r="X348" s="67">
        <f t="shared" si="334"/>
        <v>-0.61545145490285713</v>
      </c>
      <c r="Y348" t="str">
        <f t="shared" si="321"/>
        <v>0.905773450756569+1.09293460842814i</v>
      </c>
      <c r="Z348" s="67">
        <f t="shared" si="335"/>
        <v>1.4194828644247293</v>
      </c>
      <c r="AA348" s="67">
        <f t="shared" si="336"/>
        <v>0.8787669607251104</v>
      </c>
      <c r="AB348" s="92" t="str">
        <f t="shared" si="337"/>
        <v>-0.0111436551708498-0.163110781336777i</v>
      </c>
      <c r="AC348" s="37">
        <f t="shared" si="338"/>
        <v>-15.730122839967095</v>
      </c>
      <c r="AD348" s="60">
        <f t="shared" si="339"/>
        <v>-93.908348601505509</v>
      </c>
      <c r="AE348" t="str">
        <f t="shared" si="340"/>
        <v>118.329284003155</v>
      </c>
      <c r="AF348" t="str">
        <f t="shared" si="322"/>
        <v>1+2912.75964353803i</v>
      </c>
      <c r="AG348">
        <f t="shared" si="341"/>
        <v>2912.7598151965417</v>
      </c>
      <c r="AH348">
        <f t="shared" si="342"/>
        <v>1.5704530097749256</v>
      </c>
      <c r="AI348" t="str">
        <f t="shared" si="323"/>
        <v>1+6.84498516231436i</v>
      </c>
      <c r="AJ348">
        <f t="shared" si="343"/>
        <v>6.9176456885492303</v>
      </c>
      <c r="AK348">
        <f t="shared" si="344"/>
        <v>1.425730210596118</v>
      </c>
      <c r="AL348" t="str">
        <f t="shared" si="324"/>
        <v>1-0.476746064685885i</v>
      </c>
      <c r="AM348">
        <f t="shared" si="345"/>
        <v>1.1078297749173733</v>
      </c>
      <c r="AN348">
        <f t="shared" si="346"/>
        <v>-0.44487200413511863</v>
      </c>
      <c r="AO348" s="58" t="str">
        <f t="shared" si="347"/>
        <v>0.258765696879122-0.173106218225101i</v>
      </c>
      <c r="AP348">
        <f t="shared" si="348"/>
        <v>-10.135621799596299</v>
      </c>
      <c r="AQ348" s="60">
        <f t="shared" si="349"/>
        <v>-33.781293852733832</v>
      </c>
      <c r="AR348" t="str">
        <f t="shared" si="325"/>
        <v>-1.94444444444444</v>
      </c>
      <c r="AS348" t="str">
        <f t="shared" si="326"/>
        <v>1+7.02049760237368i</v>
      </c>
      <c r="AT348">
        <f t="shared" si="350"/>
        <v>7.0913599954405484</v>
      </c>
      <c r="AU348">
        <f t="shared" si="351"/>
        <v>1.4293080511569527</v>
      </c>
      <c r="AV348" t="str">
        <f t="shared" si="327"/>
        <v>1+7.02049760237368i</v>
      </c>
      <c r="AW348">
        <f t="shared" si="352"/>
        <v>7.0913599954405484</v>
      </c>
      <c r="AX348">
        <f t="shared" si="353"/>
        <v>1.4293080511569527</v>
      </c>
      <c r="AY348" t="str">
        <f t="shared" si="328"/>
        <v>1-0.000303063927227709i</v>
      </c>
      <c r="AZ348">
        <f t="shared" si="354"/>
        <v>1.0000000459238709</v>
      </c>
      <c r="BA348">
        <f t="shared" si="355"/>
        <v>-3.0306391794913018E-4</v>
      </c>
      <c r="BB348" s="58" t="str">
        <f t="shared" si="356"/>
        <v>-0.038584373942918+0.271470795724955i</v>
      </c>
      <c r="BC348">
        <f t="shared" si="357"/>
        <v>-11.238679477165707</v>
      </c>
      <c r="BD348" s="60">
        <f t="shared" si="358"/>
        <v>98.089316761216651</v>
      </c>
      <c r="BE348" s="58" t="str">
        <f t="shared" si="359"/>
        <v>0.044709784559017+0.00326835044470463i</v>
      </c>
      <c r="BF348" s="37">
        <f t="shared" si="360"/>
        <v>-26.968802317132802</v>
      </c>
      <c r="BG348" s="60">
        <f t="shared" si="361"/>
        <v>4.180968159711143</v>
      </c>
      <c r="BH348" s="58" t="str">
        <f t="shared" si="362"/>
        <v>0.0370089703945221+0.0769265246939394i</v>
      </c>
      <c r="BI348" s="37">
        <f t="shared" si="363"/>
        <v>-21.374301276762008</v>
      </c>
      <c r="BJ348" s="60">
        <f t="shared" si="364"/>
        <v>64.308022908482812</v>
      </c>
      <c r="BK348">
        <f t="shared" si="365"/>
        <v>-26.968802317132802</v>
      </c>
      <c r="BL348" s="60">
        <f t="shared" si="366"/>
        <v>4.180968159711143</v>
      </c>
      <c r="BN348">
        <f t="shared" si="367"/>
        <v>0</v>
      </c>
      <c r="BO348">
        <f t="shared" si="368"/>
        <v>0</v>
      </c>
    </row>
    <row r="349" spans="13:67" ht="14.25" x14ac:dyDescent="0.2">
      <c r="M349" s="66">
        <v>31</v>
      </c>
      <c r="N349" s="36">
        <f t="shared" si="316"/>
        <v>20417.379446695286</v>
      </c>
      <c r="O349" s="91" t="str">
        <f t="shared" si="317"/>
        <v>99.7340425531915</v>
      </c>
      <c r="P349" s="67" t="str">
        <f t="shared" si="318"/>
        <v>1+3725.7581642883i</v>
      </c>
      <c r="Q349" s="67">
        <f t="shared" si="329"/>
        <v>3725.7582984891715</v>
      </c>
      <c r="R349" s="67">
        <f t="shared" si="330"/>
        <v>1.570527925054394</v>
      </c>
      <c r="S349" s="67" t="str">
        <f t="shared" si="319"/>
        <v>1+7.004425348862i</v>
      </c>
      <c r="T349" s="67">
        <f t="shared" si="331"/>
        <v>7.0754487114090896</v>
      </c>
      <c r="U349" s="67">
        <f t="shared" si="332"/>
        <v>1.4289877243672984</v>
      </c>
      <c r="V349" t="str">
        <f t="shared" si="320"/>
        <v>1-0.723534047025305i</v>
      </c>
      <c r="W349" s="67">
        <f t="shared" si="333"/>
        <v>1.2343020364581825</v>
      </c>
      <c r="X349" s="67">
        <f t="shared" si="334"/>
        <v>-0.62634663587734996</v>
      </c>
      <c r="Y349" t="str">
        <f t="shared" si="321"/>
        <v>0.90133269030288+1.11839232582562i</v>
      </c>
      <c r="Z349" s="67">
        <f t="shared" si="335"/>
        <v>1.4363850504214626</v>
      </c>
      <c r="AA349" s="67">
        <f t="shared" si="336"/>
        <v>0.89245715109340107</v>
      </c>
      <c r="AB349" s="92" t="str">
        <f t="shared" si="337"/>
        <v>-0.0145548245064607-0.162102500024131i</v>
      </c>
      <c r="AC349" s="37">
        <f t="shared" si="338"/>
        <v>-15.769333967107666</v>
      </c>
      <c r="AD349" s="60">
        <f t="shared" si="339"/>
        <v>-95.130703032715871</v>
      </c>
      <c r="AE349" t="str">
        <f t="shared" si="340"/>
        <v>118.329284003155</v>
      </c>
      <c r="AF349" t="str">
        <f t="shared" si="322"/>
        <v>1+2980.60653143064i</v>
      </c>
      <c r="AG349">
        <f t="shared" si="341"/>
        <v>2980.606699181727</v>
      </c>
      <c r="AH349">
        <f t="shared" si="342"/>
        <v>1.5704608246238001</v>
      </c>
      <c r="AI349" t="str">
        <f t="shared" si="323"/>
        <v>1+7.004425348862i</v>
      </c>
      <c r="AJ349">
        <f t="shared" si="343"/>
        <v>7.0754487114090896</v>
      </c>
      <c r="AK349">
        <f t="shared" si="344"/>
        <v>1.4289877243672984</v>
      </c>
      <c r="AL349" t="str">
        <f t="shared" si="324"/>
        <v>1-0.487850907090492i</v>
      </c>
      <c r="AM349">
        <f t="shared" si="345"/>
        <v>1.1126538129845311</v>
      </c>
      <c r="AN349">
        <f t="shared" si="346"/>
        <v>-0.45388118240365</v>
      </c>
      <c r="AO349" s="58" t="str">
        <f t="shared" si="347"/>
        <v>0.258765070530418-0.17527148099101i</v>
      </c>
      <c r="AP349">
        <f t="shared" si="348"/>
        <v>-10.101967776360185</v>
      </c>
      <c r="AQ349" s="60">
        <f t="shared" si="349"/>
        <v>-34.111287711465366</v>
      </c>
      <c r="AR349" t="str">
        <f t="shared" si="325"/>
        <v>-1.94444444444444</v>
      </c>
      <c r="AS349" t="str">
        <f t="shared" si="326"/>
        <v>1+7.1840259988328i</v>
      </c>
      <c r="AT349">
        <f t="shared" si="350"/>
        <v>7.2532909463157207</v>
      </c>
      <c r="AU349">
        <f t="shared" si="351"/>
        <v>1.4324873348195206</v>
      </c>
      <c r="AV349" t="str">
        <f t="shared" si="327"/>
        <v>1+7.1840259988328i</v>
      </c>
      <c r="AW349">
        <f t="shared" si="352"/>
        <v>7.2532909463157207</v>
      </c>
      <c r="AX349">
        <f t="shared" si="353"/>
        <v>1.4324873348195206</v>
      </c>
      <c r="AY349" t="str">
        <f t="shared" si="328"/>
        <v>1-0.000296165350015961i</v>
      </c>
      <c r="AZ349">
        <f t="shared" si="354"/>
        <v>1.0000000438569563</v>
      </c>
      <c r="BA349">
        <f t="shared" si="355"/>
        <v>-2.9616534135668742E-4</v>
      </c>
      <c r="BB349" s="58" t="str">
        <f t="shared" si="356"/>
        <v>-0.036880799516202+0.265528499651611i</v>
      </c>
      <c r="BC349">
        <f t="shared" si="357"/>
        <v>-11.434790801517401</v>
      </c>
      <c r="BD349" s="60">
        <f t="shared" si="358"/>
        <v>97.907552484800021</v>
      </c>
      <c r="BE349" s="58" t="str">
        <f t="shared" si="359"/>
        <v>0.043579627185799+0.0021137490905721i</v>
      </c>
      <c r="BF349" s="37">
        <f t="shared" si="360"/>
        <v>-27.204124768625071</v>
      </c>
      <c r="BG349" s="60">
        <f t="shared" si="361"/>
        <v>2.7768494520841682</v>
      </c>
      <c r="BH349" s="58" t="str">
        <f t="shared" si="362"/>
        <v>0.0369961106912305+0.0751736532915224i</v>
      </c>
      <c r="BI349" s="37">
        <f t="shared" si="363"/>
        <v>-21.536758577877592</v>
      </c>
      <c r="BJ349" s="60">
        <f t="shared" si="364"/>
        <v>63.79626477333467</v>
      </c>
      <c r="BK349">
        <f t="shared" si="365"/>
        <v>-27.204124768625071</v>
      </c>
      <c r="BL349" s="60">
        <f t="shared" si="366"/>
        <v>2.7768494520841682</v>
      </c>
      <c r="BN349">
        <f t="shared" si="367"/>
        <v>0</v>
      </c>
      <c r="BO349">
        <f t="shared" si="368"/>
        <v>0</v>
      </c>
    </row>
    <row r="350" spans="13:67" ht="14.25" x14ac:dyDescent="0.2">
      <c r="M350" s="66">
        <v>32</v>
      </c>
      <c r="N350" s="36">
        <f t="shared" si="316"/>
        <v>20892.961308540423</v>
      </c>
      <c r="O350" s="91" t="str">
        <f t="shared" si="317"/>
        <v>99.7340425531915</v>
      </c>
      <c r="P350" s="67" t="str">
        <f t="shared" si="318"/>
        <v>1+3812.54222044904i</v>
      </c>
      <c r="Q350" s="67">
        <f t="shared" si="329"/>
        <v>3812.5423515951261</v>
      </c>
      <c r="R350" s="67">
        <f t="shared" si="330"/>
        <v>1.5705340346236247</v>
      </c>
      <c r="S350" s="67" t="str">
        <f t="shared" si="319"/>
        <v>1+7.1675793744442i</v>
      </c>
      <c r="T350" s="67">
        <f t="shared" si="331"/>
        <v>7.2370017333808834</v>
      </c>
      <c r="U350" s="67">
        <f t="shared" si="332"/>
        <v>1.4321740185073526</v>
      </c>
      <c r="V350" t="str">
        <f t="shared" si="320"/>
        <v>1-0.740387319997533i</v>
      </c>
      <c r="W350" s="67">
        <f t="shared" si="333"/>
        <v>1.2442561567511448</v>
      </c>
      <c r="X350" s="67">
        <f t="shared" si="334"/>
        <v>-0.63732055431493773</v>
      </c>
      <c r="Y350" t="str">
        <f t="shared" si="321"/>
        <v>0.896682643256765+1.14444302963794i</v>
      </c>
      <c r="Z350" s="67">
        <f t="shared" si="335"/>
        <v>1.4538877572924278</v>
      </c>
      <c r="AA350" s="67">
        <f t="shared" si="336"/>
        <v>0.90619140573072066</v>
      </c>
      <c r="AB350" s="92" t="str">
        <f t="shared" si="337"/>
        <v>-0.0179593988332179-0.161020694360539i</v>
      </c>
      <c r="AC350" s="37">
        <f t="shared" si="338"/>
        <v>-15.808673168715469</v>
      </c>
      <c r="AD350" s="60">
        <f t="shared" si="339"/>
        <v>-96.364165915405962</v>
      </c>
      <c r="AE350" t="str">
        <f t="shared" si="340"/>
        <v>118.329284003155</v>
      </c>
      <c r="AF350" t="str">
        <f t="shared" si="322"/>
        <v>1+3050.03377635924i</v>
      </c>
      <c r="AG350">
        <f t="shared" si="341"/>
        <v>3050.0339402918462</v>
      </c>
      <c r="AH350">
        <f t="shared" si="342"/>
        <v>1.5704684615850359</v>
      </c>
      <c r="AI350" t="str">
        <f t="shared" si="323"/>
        <v>1+7.1675793744442i</v>
      </c>
      <c r="AJ350">
        <f t="shared" si="343"/>
        <v>7.2370017333808834</v>
      </c>
      <c r="AK350">
        <f t="shared" si="344"/>
        <v>1.4321740185073526</v>
      </c>
      <c r="AL350" t="str">
        <f t="shared" si="324"/>
        <v>1-0.499214414503513i</v>
      </c>
      <c r="AM350">
        <f t="shared" si="345"/>
        <v>1.1176828851011744</v>
      </c>
      <c r="AN350">
        <f t="shared" si="346"/>
        <v>-0.46301894313809755</v>
      </c>
      <c r="AO350" s="58" t="str">
        <f t="shared" si="347"/>
        <v>0.258764472372042-0.177529674997212i</v>
      </c>
      <c r="AP350">
        <f t="shared" si="348"/>
        <v>-10.066703162569929</v>
      </c>
      <c r="AQ350" s="60">
        <f t="shared" si="349"/>
        <v>-34.452719194884374</v>
      </c>
      <c r="AR350" t="str">
        <f t="shared" si="325"/>
        <v>-1.94444444444444</v>
      </c>
      <c r="AS350" t="str">
        <f t="shared" si="326"/>
        <v>1+7.35136346096839i</v>
      </c>
      <c r="AT350">
        <f t="shared" si="350"/>
        <v>7.4190662980769453</v>
      </c>
      <c r="AU350">
        <f t="shared" si="351"/>
        <v>1.4355969706205305</v>
      </c>
      <c r="AV350" t="str">
        <f t="shared" si="327"/>
        <v>1+7.35136346096839i</v>
      </c>
      <c r="AW350">
        <f t="shared" si="352"/>
        <v>7.4190662980769453</v>
      </c>
      <c r="AX350">
        <f t="shared" si="353"/>
        <v>1.4355969706205305</v>
      </c>
      <c r="AY350" t="str">
        <f t="shared" si="328"/>
        <v>1-0.000289423803593001i</v>
      </c>
      <c r="AZ350">
        <f t="shared" si="354"/>
        <v>1.0000000418830681</v>
      </c>
      <c r="BA350">
        <f t="shared" si="355"/>
        <v>-2.8942379551169663E-4</v>
      </c>
      <c r="BB350" s="58" t="str">
        <f t="shared" si="356"/>
        <v>-0.0352510469480929+0.259706027002078i</v>
      </c>
      <c r="BC350">
        <f t="shared" si="357"/>
        <v>-11.631073891867311</v>
      </c>
      <c r="BD350" s="60">
        <f t="shared" si="358"/>
        <v>97.729769739703684</v>
      </c>
      <c r="BE350" s="58" t="str">
        <f t="shared" si="359"/>
        <v>0.0424511324089208+0.0010119839381971i</v>
      </c>
      <c r="BF350" s="37">
        <f t="shared" si="360"/>
        <v>-27.439747060582775</v>
      </c>
      <c r="BG350" s="60">
        <f t="shared" si="361"/>
        <v>1.3656038242977075</v>
      </c>
      <c r="BH350" s="58" t="str">
        <f t="shared" si="362"/>
        <v>0.0369838080044107+0.0734607999570384i</v>
      </c>
      <c r="BI350" s="37">
        <f t="shared" si="363"/>
        <v>-21.697777054437243</v>
      </c>
      <c r="BJ350" s="60">
        <f t="shared" si="364"/>
        <v>63.277050544819332</v>
      </c>
      <c r="BK350">
        <f t="shared" si="365"/>
        <v>-27.439747060582775</v>
      </c>
      <c r="BL350" s="60">
        <f t="shared" si="366"/>
        <v>1.3656038242977075</v>
      </c>
      <c r="BN350">
        <f t="shared" si="367"/>
        <v>0</v>
      </c>
      <c r="BO350">
        <f t="shared" si="368"/>
        <v>0</v>
      </c>
    </row>
    <row r="351" spans="13:67" ht="14.25" x14ac:dyDescent="0.2">
      <c r="M351" s="66">
        <v>33</v>
      </c>
      <c r="N351" s="36">
        <f t="shared" si="316"/>
        <v>21379.620895022348</v>
      </c>
      <c r="O351" s="91" t="str">
        <f t="shared" si="317"/>
        <v>99.7340425531915</v>
      </c>
      <c r="P351" s="67" t="str">
        <f t="shared" si="318"/>
        <v>1+3901.34773696i</v>
      </c>
      <c r="Q351" s="67">
        <f t="shared" si="329"/>
        <v>3901.347865120837</v>
      </c>
      <c r="R351" s="67">
        <f t="shared" si="330"/>
        <v>1.5705400051220997</v>
      </c>
      <c r="S351" s="67" t="str">
        <f t="shared" si="319"/>
        <v>1+7.33453374548481i</v>
      </c>
      <c r="T351" s="67">
        <f t="shared" si="331"/>
        <v>7.4023905100754748</v>
      </c>
      <c r="U351" s="67">
        <f t="shared" si="332"/>
        <v>1.4352905235060254</v>
      </c>
      <c r="V351" t="str">
        <f t="shared" si="320"/>
        <v>1-0.757633156127002i</v>
      </c>
      <c r="W351" s="67">
        <f t="shared" si="333"/>
        <v>1.2545947549957963</v>
      </c>
      <c r="X351" s="67">
        <f t="shared" si="334"/>
        <v>-0.64836845658749553</v>
      </c>
      <c r="Y351" t="str">
        <f t="shared" si="321"/>
        <v>0.891813446245+1.17110053229306i</v>
      </c>
      <c r="Z351" s="67">
        <f t="shared" si="335"/>
        <v>1.4720080433341631</v>
      </c>
      <c r="AA351" s="67">
        <f t="shared" si="336"/>
        <v>0.91996473206518259</v>
      </c>
      <c r="AB351" s="92" t="str">
        <f t="shared" si="337"/>
        <v>-0.0213535665313305-0.159865198907024i</v>
      </c>
      <c r="AC351" s="37">
        <f t="shared" si="338"/>
        <v>-15.848119527470409</v>
      </c>
      <c r="AD351" s="60">
        <f t="shared" si="339"/>
        <v>-97.608097058026502</v>
      </c>
      <c r="AE351" t="str">
        <f t="shared" si="340"/>
        <v>118.329284003155</v>
      </c>
      <c r="AF351" t="str">
        <f t="shared" si="322"/>
        <v>1+3121.078189568i</v>
      </c>
      <c r="AG351">
        <f t="shared" si="341"/>
        <v>3121.0783497690454</v>
      </c>
      <c r="AH351">
        <f t="shared" si="342"/>
        <v>1.5704759247078475</v>
      </c>
      <c r="AI351" t="str">
        <f t="shared" si="323"/>
        <v>1+7.33453374548481i</v>
      </c>
      <c r="AJ351">
        <f t="shared" si="343"/>
        <v>7.4023905100754748</v>
      </c>
      <c r="AK351">
        <f t="shared" si="344"/>
        <v>1.4352905235060254</v>
      </c>
      <c r="AL351" t="str">
        <f t="shared" si="324"/>
        <v>1-0.510842612006983i</v>
      </c>
      <c r="AM351">
        <f t="shared" si="345"/>
        <v>1.1229248301832662</v>
      </c>
      <c r="AN351">
        <f t="shared" si="346"/>
        <v>-0.47228402641590744</v>
      </c>
      <c r="AO351" s="58" t="str">
        <f t="shared" si="347"/>
        <v>0.258763901135224-0.179881997569322i</v>
      </c>
      <c r="AP351">
        <f t="shared" si="348"/>
        <v>-10.029795138951991</v>
      </c>
      <c r="AQ351" s="60">
        <f t="shared" si="349"/>
        <v>-34.805434385723736</v>
      </c>
      <c r="AR351" t="str">
        <f t="shared" si="325"/>
        <v>-1.94444444444444</v>
      </c>
      <c r="AS351" t="str">
        <f t="shared" si="326"/>
        <v>1+7.52259871331773i</v>
      </c>
      <c r="AT351">
        <f t="shared" si="350"/>
        <v>7.5887740381177222</v>
      </c>
      <c r="AU351">
        <f t="shared" si="351"/>
        <v>1.4386383666461673</v>
      </c>
      <c r="AV351" t="str">
        <f t="shared" si="327"/>
        <v>1+7.52259871331773i</v>
      </c>
      <c r="AW351">
        <f t="shared" si="352"/>
        <v>7.5887740381177222</v>
      </c>
      <c r="AX351">
        <f t="shared" si="353"/>
        <v>1.4386383666461673</v>
      </c>
      <c r="AY351" t="str">
        <f t="shared" si="328"/>
        <v>1-0.000282835713501686i</v>
      </c>
      <c r="AZ351">
        <f t="shared" si="354"/>
        <v>1.0000000399980196</v>
      </c>
      <c r="BA351">
        <f t="shared" si="355"/>
        <v>-2.8283570595977393E-4</v>
      </c>
      <c r="BB351" s="58" t="str">
        <f t="shared" si="356"/>
        <v>-0.0336920379288324+0.254001639504296i</v>
      </c>
      <c r="BC351">
        <f t="shared" si="357"/>
        <v>-11.827521298635027</v>
      </c>
      <c r="BD351" s="60">
        <f t="shared" si="358"/>
        <v>97.555888053333206</v>
      </c>
      <c r="BE351" s="58" t="str">
        <f t="shared" si="359"/>
        <v>0.0413254677955539-0.000037656563146222i</v>
      </c>
      <c r="BF351" s="37">
        <f t="shared" si="360"/>
        <v>-27.675640826105443</v>
      </c>
      <c r="BG351" s="60">
        <f t="shared" si="361"/>
        <v>-5.2209004693293204E-2</v>
      </c>
      <c r="BH351" s="58" t="str">
        <f t="shared" si="362"/>
        <v>0.036972039128255+0.0717870462176942i</v>
      </c>
      <c r="BI351" s="37">
        <f t="shared" si="363"/>
        <v>-21.857316437587016</v>
      </c>
      <c r="BJ351" s="60">
        <f t="shared" si="364"/>
        <v>62.750453667609456</v>
      </c>
      <c r="BK351">
        <f t="shared" si="365"/>
        <v>-27.675640826105443</v>
      </c>
      <c r="BL351" s="60">
        <f t="shared" si="366"/>
        <v>-5.2209004693293204E-2</v>
      </c>
      <c r="BN351">
        <f t="shared" si="367"/>
        <v>0</v>
      </c>
      <c r="BO351">
        <f t="shared" si="368"/>
        <v>0</v>
      </c>
    </row>
    <row r="352" spans="13:67" ht="14.25" x14ac:dyDescent="0.2">
      <c r="M352" s="66">
        <v>34</v>
      </c>
      <c r="N352" s="36">
        <f t="shared" si="316"/>
        <v>21877.61623949555</v>
      </c>
      <c r="O352" s="91" t="str">
        <f t="shared" si="317"/>
        <v>99.7340425531915</v>
      </c>
      <c r="P352" s="67" t="str">
        <f t="shared" si="318"/>
        <v>1+3992.22179968155i</v>
      </c>
      <c r="Q352" s="67">
        <f t="shared" si="329"/>
        <v>3992.2219249250902</v>
      </c>
      <c r="R352" s="67">
        <f t="shared" si="330"/>
        <v>1.570545839715455</v>
      </c>
      <c r="S352" s="67" t="str">
        <f t="shared" si="319"/>
        <v>1+7.50537698340132i</v>
      </c>
      <c r="T352" s="67">
        <f t="shared" si="331"/>
        <v>7.5717028245283311</v>
      </c>
      <c r="U352" s="67">
        <f t="shared" si="332"/>
        <v>1.4383386494931556</v>
      </c>
      <c r="V352" t="str">
        <f t="shared" si="320"/>
        <v>1-0.775280699384312i</v>
      </c>
      <c r="W352" s="67">
        <f t="shared" si="333"/>
        <v>1.2653300608291214</v>
      </c>
      <c r="X352" s="67">
        <f t="shared" si="334"/>
        <v>-0.65948541311166453</v>
      </c>
      <c r="Y352" t="str">
        <f t="shared" si="321"/>
        <v>0.886714771047896+1.19837896795175i</v>
      </c>
      <c r="Z352" s="67">
        <f t="shared" si="335"/>
        <v>1.4907633065056385</v>
      </c>
      <c r="AA352" s="67">
        <f t="shared" si="336"/>
        <v>0.9337721894975417</v>
      </c>
      <c r="AB352" s="92" t="str">
        <f t="shared" si="337"/>
        <v>-0.0247335399301176-0.15863606391551i</v>
      </c>
      <c r="AC352" s="37">
        <f t="shared" si="338"/>
        <v>-15.887651219334556</v>
      </c>
      <c r="AD352" s="60">
        <f t="shared" si="339"/>
        <v>-98.861850327660221</v>
      </c>
      <c r="AE352" t="str">
        <f t="shared" si="340"/>
        <v>118.329284003155</v>
      </c>
      <c r="AF352" t="str">
        <f t="shared" si="322"/>
        <v>1+3193.77743974524i</v>
      </c>
      <c r="AG352">
        <f t="shared" si="341"/>
        <v>3193.7775962996639</v>
      </c>
      <c r="AH352">
        <f t="shared" si="342"/>
        <v>1.5704832179492783</v>
      </c>
      <c r="AI352" t="str">
        <f t="shared" si="323"/>
        <v>1+7.50537698340132i</v>
      </c>
      <c r="AJ352">
        <f t="shared" si="343"/>
        <v>7.5717028245283311</v>
      </c>
      <c r="AK352">
        <f t="shared" si="344"/>
        <v>1.4383386494931556</v>
      </c>
      <c r="AL352" t="str">
        <f t="shared" si="324"/>
        <v>1-0.522741665025142i</v>
      </c>
      <c r="AM352">
        <f t="shared" si="345"/>
        <v>1.1283877207561492</v>
      </c>
      <c r="AN352">
        <f t="shared" si="346"/>
        <v>-0.48167498113459251</v>
      </c>
      <c r="AO352" s="58" t="str">
        <f t="shared" si="347"/>
        <v>0.258763355608291-0.182329695941084i</v>
      </c>
      <c r="AP352">
        <f t="shared" si="348"/>
        <v>-9.9912104318340536</v>
      </c>
      <c r="AQ352" s="60">
        <f t="shared" si="349"/>
        <v>-35.169269574169206</v>
      </c>
      <c r="AR352" t="str">
        <f t="shared" si="325"/>
        <v>-1.94444444444444</v>
      </c>
      <c r="AS352" t="str">
        <f t="shared" si="326"/>
        <v>1+7.69782254707825i</v>
      </c>
      <c r="AT352">
        <f t="shared" si="350"/>
        <v>7.7625042329332272</v>
      </c>
      <c r="AU352">
        <f t="shared" si="351"/>
        <v>1.4416129103004898</v>
      </c>
      <c r="AV352" t="str">
        <f t="shared" si="327"/>
        <v>1+7.69782254707825i</v>
      </c>
      <c r="AW352">
        <f t="shared" si="352"/>
        <v>7.7625042329332272</v>
      </c>
      <c r="AX352">
        <f t="shared" si="353"/>
        <v>1.4416129103004898</v>
      </c>
      <c r="AY352" t="str">
        <f t="shared" si="328"/>
        <v>1-0.000276397586649441i</v>
      </c>
      <c r="AZ352">
        <f t="shared" si="354"/>
        <v>1.0000000381978122</v>
      </c>
      <c r="BA352">
        <f t="shared" si="355"/>
        <v>-2.7639757961091911E-4</v>
      </c>
      <c r="BB352" s="58" t="str">
        <f t="shared" si="356"/>
        <v>-0.0322008120503663+0.248413576787357i</v>
      </c>
      <c r="BC352">
        <f t="shared" si="357"/>
        <v>-12.024125883432697</v>
      </c>
      <c r="BD352" s="60">
        <f t="shared" si="358"/>
        <v>97.385828133430877</v>
      </c>
      <c r="BE352" s="58" t="str">
        <f t="shared" si="359"/>
        <v>0.0402037921153496-0.0010359370421002i</v>
      </c>
      <c r="BF352" s="37">
        <f t="shared" si="360"/>
        <v>-27.911777102767243</v>
      </c>
      <c r="BG352" s="60">
        <f t="shared" si="361"/>
        <v>-1.4760221942293441</v>
      </c>
      <c r="BH352" s="58" t="str">
        <f t="shared" si="362"/>
        <v>0.0369607817438113+0.0701514949783536i</v>
      </c>
      <c r="BI352" s="37">
        <f t="shared" si="363"/>
        <v>-22.015336315266754</v>
      </c>
      <c r="BJ352" s="60">
        <f t="shared" si="364"/>
        <v>62.216558559261635</v>
      </c>
      <c r="BK352">
        <f t="shared" si="365"/>
        <v>-27.911777102767243</v>
      </c>
      <c r="BL352" s="60">
        <f t="shared" si="366"/>
        <v>-1.4760221942293441</v>
      </c>
      <c r="BN352">
        <f t="shared" si="367"/>
        <v>0</v>
      </c>
      <c r="BO352">
        <f t="shared" si="368"/>
        <v>0</v>
      </c>
    </row>
    <row r="353" spans="13:67" ht="14.25" x14ac:dyDescent="0.2">
      <c r="M353" s="66">
        <v>35</v>
      </c>
      <c r="N353" s="36">
        <f t="shared" si="316"/>
        <v>22387.211385683382</v>
      </c>
      <c r="O353" s="91" t="str">
        <f t="shared" si="317"/>
        <v>99.7340425531915</v>
      </c>
      <c r="P353" s="67" t="str">
        <f t="shared" si="318"/>
        <v>1+4085.21259124458i</v>
      </c>
      <c r="Q353" s="67">
        <f t="shared" si="329"/>
        <v>4085.2127136372292</v>
      </c>
      <c r="R353" s="67">
        <f t="shared" si="330"/>
        <v>1.5705515414972673</v>
      </c>
      <c r="S353" s="67" t="str">
        <f t="shared" si="319"/>
        <v>1+7.6801996715398i</v>
      </c>
      <c r="T353" s="67">
        <f t="shared" si="331"/>
        <v>7.7450285341449874</v>
      </c>
      <c r="U353" s="67">
        <f t="shared" si="332"/>
        <v>1.4413197859429954</v>
      </c>
      <c r="V353" t="str">
        <f t="shared" si="320"/>
        <v>1-0.793339306730485i</v>
      </c>
      <c r="W353" s="67">
        <f t="shared" si="333"/>
        <v>1.2764745416981909</v>
      </c>
      <c r="X353" s="67">
        <f t="shared" si="334"/>
        <v>-0.67066632745804333</v>
      </c>
      <c r="Y353" t="str">
        <f t="shared" si="321"/>
        <v>0.88137580269177+1.22629280000166i</v>
      </c>
      <c r="Z353" s="67">
        <f t="shared" si="335"/>
        <v>1.5101712938956537</v>
      </c>
      <c r="AA353" s="67">
        <f t="shared" si="336"/>
        <v>0.94760890541435605</v>
      </c>
      <c r="AB353" s="92" t="str">
        <f t="shared" si="337"/>
        <v>-0.0280955702735346-0.157333551981034i</v>
      </c>
      <c r="AC353" s="37">
        <f t="shared" si="338"/>
        <v>-15.927245661039933</v>
      </c>
      <c r="AD353" s="60">
        <f t="shared" si="339"/>
        <v>-100.12477510646507</v>
      </c>
      <c r="AE353" t="str">
        <f t="shared" si="340"/>
        <v>118.329284003155</v>
      </c>
      <c r="AF353" t="str">
        <f t="shared" si="322"/>
        <v>1+3268.17007299566i</v>
      </c>
      <c r="AG353">
        <f t="shared" si="341"/>
        <v>3268.1702259864705</v>
      </c>
      <c r="AH353">
        <f t="shared" si="342"/>
        <v>1.5704903451762977</v>
      </c>
      <c r="AI353" t="str">
        <f t="shared" si="323"/>
        <v>1+7.6801996715398i</v>
      </c>
      <c r="AJ353">
        <f t="shared" si="343"/>
        <v>7.7450285341449874</v>
      </c>
      <c r="AK353">
        <f t="shared" si="344"/>
        <v>1.4413197859429954</v>
      </c>
      <c r="AL353" t="str">
        <f t="shared" si="324"/>
        <v>1-0.534917882593399i</v>
      </c>
      <c r="AM353">
        <f t="shared" si="345"/>
        <v>1.1340798654055213</v>
      </c>
      <c r="AN353">
        <f t="shared" si="346"/>
        <v>-0.4911901601103838</v>
      </c>
      <c r="AO353" s="58" t="str">
        <f t="shared" si="347"/>
        <v>0.258762834634111-0.184874067915672i</v>
      </c>
      <c r="AP353">
        <f t="shared" si="348"/>
        <v>-9.9509154070108057</v>
      </c>
      <c r="AQ353" s="60">
        <f t="shared" si="349"/>
        <v>-35.54405099409292</v>
      </c>
      <c r="AR353" t="str">
        <f t="shared" si="325"/>
        <v>-1.94444444444444</v>
      </c>
      <c r="AS353" t="str">
        <f t="shared" si="326"/>
        <v>1+7.87712786824593i</v>
      </c>
      <c r="AT353">
        <f t="shared" si="350"/>
        <v>7.9403490762495235</v>
      </c>
      <c r="AU353">
        <f t="shared" si="351"/>
        <v>1.444521968066323</v>
      </c>
      <c r="AV353" t="str">
        <f t="shared" si="327"/>
        <v>1+7.87712786824593i</v>
      </c>
      <c r="AW353">
        <f t="shared" si="352"/>
        <v>7.9403490762495235</v>
      </c>
      <c r="AX353">
        <f t="shared" si="353"/>
        <v>1.444521968066323</v>
      </c>
      <c r="AY353" t="str">
        <f t="shared" si="328"/>
        <v>1-0.000270106009456194i</v>
      </c>
      <c r="AZ353">
        <f t="shared" si="354"/>
        <v>1.0000000364786275</v>
      </c>
      <c r="BA353">
        <f t="shared" si="355"/>
        <v>-2.7010600288746316E-4</v>
      </c>
      <c r="BB353" s="58" t="str">
        <f t="shared" si="356"/>
        <v>-0.0307745232107861+0.242940060545163i</v>
      </c>
      <c r="BC353">
        <f t="shared" si="357"/>
        <v>-12.220880807097034</v>
      </c>
      <c r="BD353" s="60">
        <f t="shared" si="358"/>
        <v>97.219511881881601</v>
      </c>
      <c r="BE353" s="58" t="str">
        <f t="shared" si="359"/>
        <v>0.0390872504235611-0.00198367449602763i</v>
      </c>
      <c r="BF353" s="37">
        <f t="shared" si="360"/>
        <v>-28.148126468136965</v>
      </c>
      <c r="BG353" s="60">
        <f t="shared" si="361"/>
        <v>-2.9052632245834782</v>
      </c>
      <c r="BH353" s="58" t="str">
        <f t="shared" si="362"/>
        <v>0.0369500143921277+0.0685532700069922i</v>
      </c>
      <c r="BI353" s="37">
        <f t="shared" si="363"/>
        <v>-22.171796214107843</v>
      </c>
      <c r="BJ353" s="60">
        <f t="shared" si="364"/>
        <v>61.675460887788667</v>
      </c>
      <c r="BK353">
        <f t="shared" si="365"/>
        <v>-28.148126468136965</v>
      </c>
      <c r="BL353" s="60">
        <f t="shared" si="366"/>
        <v>-2.9052632245834782</v>
      </c>
      <c r="BN353">
        <f t="shared" si="367"/>
        <v>0</v>
      </c>
      <c r="BO353">
        <f t="shared" si="368"/>
        <v>0</v>
      </c>
    </row>
    <row r="354" spans="13:67" ht="14.25" x14ac:dyDescent="0.2">
      <c r="M354" s="66">
        <v>36</v>
      </c>
      <c r="N354" s="36">
        <f t="shared" si="316"/>
        <v>22908.676527677751</v>
      </c>
      <c r="O354" s="91" t="str">
        <f t="shared" si="317"/>
        <v>99.7340425531915</v>
      </c>
      <c r="P354" s="67" t="str">
        <f t="shared" si="318"/>
        <v>1+4180.3694165977i</v>
      </c>
      <c r="Q354" s="67">
        <f t="shared" si="329"/>
        <v>4180.3695362043536</v>
      </c>
      <c r="R354" s="67">
        <f t="shared" si="330"/>
        <v>1.5705571134906955</v>
      </c>
      <c r="S354" s="67" t="str">
        <f t="shared" si="319"/>
        <v>1+7.85909450320368i</v>
      </c>
      <c r="T354" s="67">
        <f t="shared" si="331"/>
        <v>7.9224596187223515</v>
      </c>
      <c r="U354" s="67">
        <f t="shared" si="332"/>
        <v>1.4442353014301739</v>
      </c>
      <c r="V354" t="str">
        <f t="shared" si="320"/>
        <v>1-0.811818553078182i</v>
      </c>
      <c r="W354" s="67">
        <f t="shared" si="333"/>
        <v>1.288040901183636</v>
      </c>
      <c r="X354" s="67">
        <f t="shared" si="334"/>
        <v>-0.68190594639893443</v>
      </c>
      <c r="Y354" t="str">
        <f t="shared" si="321"/>
        <v>0.875785216508928+1.25485682872605i</v>
      </c>
      <c r="Z354" s="67">
        <f t="shared" si="335"/>
        <v>1.5302501122548526</v>
      </c>
      <c r="AA354" s="67">
        <f t="shared" si="336"/>
        <v>0.9614700908821332</v>
      </c>
      <c r="AB354" s="92" t="str">
        <f t="shared" si="337"/>
        <v>-0.0314359622753136-0.155958133410581i</v>
      </c>
      <c r="AC354" s="37">
        <f t="shared" si="338"/>
        <v>-15.966879662728031</v>
      </c>
      <c r="AD354" s="60">
        <f t="shared" si="339"/>
        <v>-101.39621778065172</v>
      </c>
      <c r="AE354" t="str">
        <f t="shared" si="340"/>
        <v>118.329284003155</v>
      </c>
      <c r="AF354" t="str">
        <f t="shared" si="322"/>
        <v>1+3344.29553327816i</v>
      </c>
      <c r="AG354">
        <f t="shared" si="341"/>
        <v>3344.2956827864746</v>
      </c>
      <c r="AH354">
        <f t="shared" si="342"/>
        <v>1.5704973101678534</v>
      </c>
      <c r="AI354" t="str">
        <f t="shared" si="323"/>
        <v>1+7.85909450320368i</v>
      </c>
      <c r="AJ354">
        <f t="shared" si="343"/>
        <v>7.9224596187223515</v>
      </c>
      <c r="AK354">
        <f t="shared" si="344"/>
        <v>1.4442353014301739</v>
      </c>
      <c r="AL354" t="str">
        <f t="shared" si="324"/>
        <v>1-0.547377720703488i</v>
      </c>
      <c r="AM354">
        <f t="shared" si="345"/>
        <v>1.1400098109764432</v>
      </c>
      <c r="AN354">
        <f t="shared" si="346"/>
        <v>-0.50082771564870532</v>
      </c>
      <c r="AO354" s="58" t="str">
        <f t="shared" si="347"/>
        <v>0.258762337107627-0.187516462553816i</v>
      </c>
      <c r="AP354">
        <f t="shared" si="348"/>
        <v>-9.9088761679267972</v>
      </c>
      <c r="AQ354" s="60">
        <f t="shared" si="349"/>
        <v>-35.929594583361862</v>
      </c>
      <c r="AR354" t="str">
        <f t="shared" si="325"/>
        <v>-1.94444444444444</v>
      </c>
      <c r="AS354" t="str">
        <f t="shared" si="326"/>
        <v>1+8.06060974687554i</v>
      </c>
      <c r="AT354">
        <f t="shared" si="350"/>
        <v>8.1224029382581708</v>
      </c>
      <c r="AU354">
        <f t="shared" si="351"/>
        <v>1.4473668853138613</v>
      </c>
      <c r="AV354" t="str">
        <f t="shared" si="327"/>
        <v>1+8.06060974687554i</v>
      </c>
      <c r="AW354">
        <f t="shared" si="352"/>
        <v>8.1224029382581708</v>
      </c>
      <c r="AX354">
        <f t="shared" si="353"/>
        <v>1.4473668853138613</v>
      </c>
      <c r="AY354" t="str">
        <f t="shared" si="328"/>
        <v>1-0.000263957646044433i</v>
      </c>
      <c r="AZ354">
        <f t="shared" si="354"/>
        <v>1.0000000348368188</v>
      </c>
      <c r="BA354">
        <f t="shared" si="355"/>
        <v>-2.639576399141367E-4</v>
      </c>
      <c r="BB354" s="58" t="str">
        <f t="shared" si="356"/>
        <v>-0.0294104360431557+0.23757929840774i</v>
      </c>
      <c r="BC354">
        <f t="shared" si="357"/>
        <v>-12.417779518092086</v>
      </c>
      <c r="BD354" s="60">
        <f t="shared" si="358"/>
        <v>97.056862405782994</v>
      </c>
      <c r="BE354" s="58" t="str">
        <f t="shared" si="359"/>
        <v>0.0379769692746197-0.00288173715405935i</v>
      </c>
      <c r="BF354" s="37">
        <f t="shared" si="360"/>
        <v>-28.384659180820119</v>
      </c>
      <c r="BG354" s="60">
        <f t="shared" si="361"/>
        <v>-4.3393553748687239</v>
      </c>
      <c r="BH354" s="58" t="str">
        <f t="shared" si="362"/>
        <v>0.0369397164475555+0.0669915154333549i</v>
      </c>
      <c r="BI354" s="37">
        <f t="shared" si="363"/>
        <v>-22.326655686018885</v>
      </c>
      <c r="BJ354" s="60">
        <f t="shared" si="364"/>
        <v>61.127267822421125</v>
      </c>
      <c r="BK354">
        <f t="shared" si="365"/>
        <v>-28.384659180820119</v>
      </c>
      <c r="BL354" s="60">
        <f t="shared" si="366"/>
        <v>-4.3393553748687239</v>
      </c>
      <c r="BN354">
        <f t="shared" si="367"/>
        <v>0</v>
      </c>
      <c r="BO354">
        <f t="shared" si="368"/>
        <v>0</v>
      </c>
    </row>
    <row r="355" spans="13:67" ht="14.25" x14ac:dyDescent="0.2">
      <c r="M355" s="66">
        <v>37</v>
      </c>
      <c r="N355" s="36">
        <f t="shared" si="316"/>
        <v>23442.288153199243</v>
      </c>
      <c r="O355" s="91" t="str">
        <f t="shared" si="317"/>
        <v>99.7340425531915</v>
      </c>
      <c r="P355" s="67" t="str">
        <f t="shared" si="318"/>
        <v>1+4277.74272914922i</v>
      </c>
      <c r="Q355" s="67">
        <f t="shared" si="329"/>
        <v>4277.742846033294</v>
      </c>
      <c r="R355" s="67">
        <f t="shared" si="330"/>
        <v>1.5705625586500829</v>
      </c>
      <c r="S355" s="67" t="str">
        <f t="shared" si="319"/>
        <v>1+8.04215633080053i</v>
      </c>
      <c r="T355" s="67">
        <f t="shared" si="331"/>
        <v>8.1040902295714261</v>
      </c>
      <c r="U355" s="67">
        <f t="shared" si="332"/>
        <v>1.4470865434336933</v>
      </c>
      <c r="V355" t="str">
        <f t="shared" si="320"/>
        <v>1-0.830728236368406i</v>
      </c>
      <c r="W355" s="67">
        <f t="shared" si="333"/>
        <v>1.3000420772804864</v>
      </c>
      <c r="X355" s="67">
        <f t="shared" si="334"/>
        <v>-0.69319887085799969</v>
      </c>
      <c r="Y355" t="str">
        <f t="shared" si="321"/>
        <v>0.869931154116537+1.28408619915102i</v>
      </c>
      <c r="Z355" s="67">
        <f t="shared" si="335"/>
        <v>1.5510182396582712</v>
      </c>
      <c r="AA355" s="67">
        <f t="shared" si="336"/>
        <v>0.97535105592354254</v>
      </c>
      <c r="AB355" s="92" t="str">
        <f t="shared" si="337"/>
        <v>-0.0347510881359055-0.154510480363685i</v>
      </c>
      <c r="AC355" s="37">
        <f t="shared" si="338"/>
        <v>-16.006529584684102</v>
      </c>
      <c r="AD355" s="60">
        <f t="shared" si="339"/>
        <v>-102.67552325443711</v>
      </c>
      <c r="AE355" t="str">
        <f t="shared" si="340"/>
        <v>118.329284003155</v>
      </c>
      <c r="AF355" t="str">
        <f t="shared" si="322"/>
        <v>1+3422.19418331937i</v>
      </c>
      <c r="AG355">
        <f t="shared" si="341"/>
        <v>3422.1943294244597</v>
      </c>
      <c r="AH355">
        <f t="shared" si="342"/>
        <v>1.5705041166168734</v>
      </c>
      <c r="AI355" t="str">
        <f t="shared" si="323"/>
        <v>1+8.04215633080053i</v>
      </c>
      <c r="AJ355">
        <f t="shared" si="343"/>
        <v>8.1040902295714261</v>
      </c>
      <c r="AK355">
        <f t="shared" si="344"/>
        <v>1.4470865434336933</v>
      </c>
      <c r="AL355" t="str">
        <f t="shared" si="324"/>
        <v>1-0.560127785726492i</v>
      </c>
      <c r="AM355">
        <f t="shared" si="345"/>
        <v>1.146186344510727</v>
      </c>
      <c r="AN355">
        <f t="shared" si="346"/>
        <v>-0.5105855956417914</v>
      </c>
      <c r="AO355" s="58" t="str">
        <f t="shared" si="347"/>
        <v>0.258761861973519-0.190258280889084i</v>
      </c>
      <c r="AP355">
        <f t="shared" si="348"/>
        <v>-9.8650586579971868</v>
      </c>
      <c r="AQ355" s="60">
        <f t="shared" si="349"/>
        <v>-36.325705771591132</v>
      </c>
      <c r="AR355" t="str">
        <f t="shared" si="325"/>
        <v>-1.94444444444444</v>
      </c>
      <c r="AS355" t="str">
        <f t="shared" si="326"/>
        <v>1+8.24836546748769i</v>
      </c>
      <c r="AT355">
        <f t="shared" si="350"/>
        <v>8.3087624159825033</v>
      </c>
      <c r="AU355">
        <f t="shared" si="351"/>
        <v>1.4501489861535852</v>
      </c>
      <c r="AV355" t="str">
        <f t="shared" si="327"/>
        <v>1+8.24836546748769i</v>
      </c>
      <c r="AW355">
        <f t="shared" si="352"/>
        <v>8.3087624159825033</v>
      </c>
      <c r="AX355">
        <f t="shared" si="353"/>
        <v>1.4501489861535852</v>
      </c>
      <c r="AY355" t="str">
        <f t="shared" si="328"/>
        <v>1-0.000257949236470499i</v>
      </c>
      <c r="AZ355">
        <f t="shared" si="354"/>
        <v>1.0000000332689039</v>
      </c>
      <c r="BA355">
        <f t="shared" si="355"/>
        <v>-2.5794923074937359E-4</v>
      </c>
      <c r="BB355" s="58" t="str">
        <f t="shared" si="356"/>
        <v>-0.0281059223781257+0.232329487535425i</v>
      </c>
      <c r="BC355">
        <f t="shared" si="357"/>
        <v>-12.614815741276999</v>
      </c>
      <c r="BD355" s="60">
        <f t="shared" si="358"/>
        <v>96.897804025973727</v>
      </c>
      <c r="BE355" s="58" t="str">
        <f t="shared" si="359"/>
        <v>0.0368740521074504-0.00373104293020467i</v>
      </c>
      <c r="BF355" s="37">
        <f t="shared" si="360"/>
        <v>-28.621345325961116</v>
      </c>
      <c r="BG355" s="60">
        <f t="shared" si="361"/>
        <v>-5.777719228463388</v>
      </c>
      <c r="BH355" s="58" t="str">
        <f t="shared" si="362"/>
        <v>0.0369298680912848+0.0654653952604843i</v>
      </c>
      <c r="BI355" s="37">
        <f t="shared" si="363"/>
        <v>-22.479874399274181</v>
      </c>
      <c r="BJ355" s="60">
        <f t="shared" si="364"/>
        <v>60.572098254382631</v>
      </c>
      <c r="BK355">
        <f t="shared" si="365"/>
        <v>-28.621345325961116</v>
      </c>
      <c r="BL355" s="60">
        <f t="shared" si="366"/>
        <v>-5.777719228463388</v>
      </c>
      <c r="BN355">
        <f t="shared" si="367"/>
        <v>0</v>
      </c>
      <c r="BO355">
        <f t="shared" si="368"/>
        <v>0</v>
      </c>
    </row>
    <row r="356" spans="13:67" ht="14.25" x14ac:dyDescent="0.2">
      <c r="M356" s="66">
        <v>38</v>
      </c>
      <c r="N356" s="36">
        <f t="shared" si="316"/>
        <v>23988.329190194923</v>
      </c>
      <c r="O356" s="91" t="str">
        <f t="shared" si="317"/>
        <v>99.7340425531915</v>
      </c>
      <c r="P356" s="67" t="str">
        <f t="shared" si="318"/>
        <v>1+4377.38415751833i</v>
      </c>
      <c r="Q356" s="67">
        <f t="shared" si="329"/>
        <v>4377.3842717417956</v>
      </c>
      <c r="R356" s="67">
        <f t="shared" si="330"/>
        <v>1.5705678798625236</v>
      </c>
      <c r="S356" s="67" t="str">
        <f t="shared" si="319"/>
        <v>1+8.22948221613446i</v>
      </c>
      <c r="T356" s="67">
        <f t="shared" si="331"/>
        <v>8.2900167397703939</v>
      </c>
      <c r="U356" s="67">
        <f t="shared" si="332"/>
        <v>1.4498748381855944</v>
      </c>
      <c r="V356" t="str">
        <f t="shared" si="320"/>
        <v>1-0.850078382765537i</v>
      </c>
      <c r="W356" s="67">
        <f t="shared" si="333"/>
        <v>1.3124912406737315</v>
      </c>
      <c r="X356" s="67">
        <f t="shared" si="334"/>
        <v>-0.70453956771612081</v>
      </c>
      <c r="Y356" t="str">
        <f t="shared" si="321"/>
        <v>0.863801198263394+1.31399640907566i</v>
      </c>
      <c r="Z356" s="67">
        <f t="shared" si="335"/>
        <v>1.5724945383641256</v>
      </c>
      <c r="AA356" s="67">
        <f t="shared" si="336"/>
        <v>0.98924722428158307</v>
      </c>
      <c r="AB356" s="92" t="str">
        <f t="shared" si="337"/>
        <v>-0.0380374009015213-0.152991459834051i</v>
      </c>
      <c r="AC356" s="37">
        <f t="shared" si="338"/>
        <v>-16.046171497051049</v>
      </c>
      <c r="AD356" s="60">
        <f t="shared" si="339"/>
        <v>-103.96203648115602</v>
      </c>
      <c r="AE356" t="str">
        <f t="shared" si="340"/>
        <v>118.329284003155</v>
      </c>
      <c r="AF356" t="str">
        <f t="shared" si="322"/>
        <v>1+3501.90732601466i</v>
      </c>
      <c r="AG356">
        <f t="shared" si="341"/>
        <v>3501.9074687939924</v>
      </c>
      <c r="AH356">
        <f t="shared" si="342"/>
        <v>1.5705107681322243</v>
      </c>
      <c r="AI356" t="str">
        <f t="shared" si="323"/>
        <v>1+8.22948221613446i</v>
      </c>
      <c r="AJ356">
        <f t="shared" si="343"/>
        <v>8.2900167397703939</v>
      </c>
      <c r="AK356">
        <f t="shared" si="344"/>
        <v>1.4498748381855944</v>
      </c>
      <c r="AL356" t="str">
        <f t="shared" si="324"/>
        <v>1-0.573174837915653i</v>
      </c>
      <c r="AM356">
        <f t="shared" si="345"/>
        <v>1.1526184949147897</v>
      </c>
      <c r="AN356">
        <f t="shared" si="346"/>
        <v>-0.52046154024885882</v>
      </c>
      <c r="AO356" s="58" t="str">
        <f t="shared" si="347"/>
        <v>0.258761408223965-0.193100976670744i</v>
      </c>
      <c r="AP356">
        <f t="shared" si="348"/>
        <v>-9.8194287668390015</v>
      </c>
      <c r="AQ356" s="60">
        <f t="shared" si="349"/>
        <v>-36.732179298715721</v>
      </c>
      <c r="AR356" t="str">
        <f t="shared" si="325"/>
        <v>-1.94444444444444</v>
      </c>
      <c r="AS356" t="str">
        <f t="shared" si="326"/>
        <v>1+8.4404945806507i</v>
      </c>
      <c r="AT356">
        <f t="shared" si="350"/>
        <v>8.4995263848048506</v>
      </c>
      <c r="AU356">
        <f t="shared" si="351"/>
        <v>1.4528695733303121</v>
      </c>
      <c r="AV356" t="str">
        <f t="shared" si="327"/>
        <v>1+8.4404945806507i</v>
      </c>
      <c r="AW356">
        <f t="shared" si="352"/>
        <v>8.4995263848048506</v>
      </c>
      <c r="AX356">
        <f t="shared" si="353"/>
        <v>1.4528695733303121</v>
      </c>
      <c r="AY356" t="str">
        <f t="shared" si="328"/>
        <v>1-0.000252077594996104i</v>
      </c>
      <c r="AZ356">
        <f t="shared" si="354"/>
        <v>1.0000000317715565</v>
      </c>
      <c r="BA356">
        <f t="shared" si="355"/>
        <v>-2.5207758965683911E-4</v>
      </c>
      <c r="BB356" s="58" t="str">
        <f t="shared" si="356"/>
        <v>-0.0268584577485616+0.227188817950529i</v>
      </c>
      <c r="BC356">
        <f t="shared" si="357"/>
        <v>-12.811983467037704</v>
      </c>
      <c r="BD356" s="60">
        <f t="shared" si="358"/>
        <v>96.742262283203274</v>
      </c>
      <c r="BE356" s="58" t="str">
        <f t="shared" si="359"/>
        <v>0.0357795748412025-0.00453255748888339i</v>
      </c>
      <c r="BF356" s="37">
        <f t="shared" si="360"/>
        <v>-28.858154964088754</v>
      </c>
      <c r="BG356" s="60">
        <f t="shared" si="361"/>
        <v>-7.2197741979527308</v>
      </c>
      <c r="BH356" s="58" t="str">
        <f t="shared" si="362"/>
        <v>0.0369204502851773+0.0639740928887341i</v>
      </c>
      <c r="BI356" s="37">
        <f t="shared" si="363"/>
        <v>-22.631412233876706</v>
      </c>
      <c r="BJ356" s="60">
        <f t="shared" si="364"/>
        <v>60.01008298448761</v>
      </c>
      <c r="BK356">
        <f t="shared" si="365"/>
        <v>-28.858154964088754</v>
      </c>
      <c r="BL356" s="60">
        <f t="shared" si="366"/>
        <v>-7.2197741979527308</v>
      </c>
      <c r="BN356">
        <f t="shared" si="367"/>
        <v>0</v>
      </c>
      <c r="BO356">
        <f t="shared" si="368"/>
        <v>0</v>
      </c>
    </row>
    <row r="357" spans="13:67" ht="14.25" x14ac:dyDescent="0.2">
      <c r="M357" s="66">
        <v>39</v>
      </c>
      <c r="N357" s="36">
        <f t="shared" si="316"/>
        <v>24547.089156850321</v>
      </c>
      <c r="O357" s="91" t="str">
        <f t="shared" si="317"/>
        <v>99.7340425531915</v>
      </c>
      <c r="P357" s="67" t="str">
        <f t="shared" si="318"/>
        <v>1+4479.34653290929i</v>
      </c>
      <c r="Q357" s="67">
        <f t="shared" si="329"/>
        <v>4479.3466445327131</v>
      </c>
      <c r="R357" s="67">
        <f t="shared" si="330"/>
        <v>1.5705730799493935</v>
      </c>
      <c r="S357" s="67" t="str">
        <f t="shared" si="319"/>
        <v>1+8.42117148186946i</v>
      </c>
      <c r="T357" s="67">
        <f t="shared" si="331"/>
        <v>8.4803377955746235</v>
      </c>
      <c r="U357" s="67">
        <f t="shared" si="332"/>
        <v>1.4526014905610436</v>
      </c>
      <c r="V357" t="str">
        <f t="shared" si="320"/>
        <v>1-0.869879251973329i</v>
      </c>
      <c r="W357" s="67">
        <f t="shared" si="333"/>
        <v>1.3254017930475568</v>
      </c>
      <c r="X357" s="67">
        <f t="shared" si="334"/>
        <v>-0.71592238241855932</v>
      </c>
      <c r="Y357" t="str">
        <f t="shared" si="321"/>
        <v>0.857382346491276+1.3446033172892i</v>
      </c>
      <c r="Z357" s="67">
        <f t="shared" si="335"/>
        <v>1.5946982689336586</v>
      </c>
      <c r="AA357" s="67">
        <f t="shared" si="336"/>
        <v>1.0031541475829682</v>
      </c>
      <c r="AB357" s="92" t="str">
        <f t="shared" si="337"/>
        <v>-0.0412914470552564-0.151402125554263i</v>
      </c>
      <c r="AC357" s="37">
        <f t="shared" si="338"/>
        <v>-16.085781341366918</v>
      </c>
      <c r="AD357" s="60">
        <f t="shared" si="339"/>
        <v>-105.25510400348489</v>
      </c>
      <c r="AE357" t="str">
        <f t="shared" si="340"/>
        <v>118.329284003155</v>
      </c>
      <c r="AF357" t="str">
        <f t="shared" si="322"/>
        <v>1+3583.47722632743i</v>
      </c>
      <c r="AG357">
        <f t="shared" si="341"/>
        <v>3583.4773658567083</v>
      </c>
      <c r="AH357">
        <f t="shared" si="342"/>
        <v>1.5705172682406257</v>
      </c>
      <c r="AI357" t="str">
        <f t="shared" si="323"/>
        <v>1+8.42117148186946i</v>
      </c>
      <c r="AJ357">
        <f t="shared" si="343"/>
        <v>8.4803377955746235</v>
      </c>
      <c r="AK357">
        <f t="shared" si="344"/>
        <v>1.4526014905610436</v>
      </c>
      <c r="AL357" t="str">
        <f t="shared" si="324"/>
        <v>1-0.586525794990743i</v>
      </c>
      <c r="AM357">
        <f t="shared" si="345"/>
        <v>1.1593155343518533</v>
      </c>
      <c r="AN357">
        <f t="shared" si="346"/>
        <v>-0.53045307921343599</v>
      </c>
      <c r="AO357" s="58" t="str">
        <f t="shared" si="347"/>
        <v>0.258760974896502-0.196046057134561i</v>
      </c>
      <c r="AP357">
        <f t="shared" si="348"/>
        <v>-9.7719524401356992</v>
      </c>
      <c r="AQ357" s="60">
        <f t="shared" si="349"/>
        <v>-37.14879906769162</v>
      </c>
      <c r="AR357" t="str">
        <f t="shared" si="325"/>
        <v>-1.94444444444444</v>
      </c>
      <c r="AS357" t="str">
        <f t="shared" si="326"/>
        <v>1+8.63709895576352i</v>
      </c>
      <c r="AT357">
        <f t="shared" si="350"/>
        <v>8.6947960511820668</v>
      </c>
      <c r="AU357">
        <f t="shared" si="351"/>
        <v>1.4555299281553262</v>
      </c>
      <c r="AV357" t="str">
        <f t="shared" si="327"/>
        <v>1+8.63709895576352i</v>
      </c>
      <c r="AW357">
        <f t="shared" si="352"/>
        <v>8.6947960511820668</v>
      </c>
      <c r="AX357">
        <f t="shared" si="353"/>
        <v>1.4555299281553262</v>
      </c>
      <c r="AY357" t="str">
        <f t="shared" si="328"/>
        <v>1-0.000246339608399218i</v>
      </c>
      <c r="AZ357">
        <f t="shared" si="354"/>
        <v>1.0000000303416008</v>
      </c>
      <c r="BA357">
        <f t="shared" si="355"/>
        <v>-2.4633960341632606E-4</v>
      </c>
      <c r="BB357" s="58" t="str">
        <f t="shared" si="356"/>
        <v>-0.0256656179433744+0.222155475620743i</v>
      </c>
      <c r="BC357">
        <f t="shared" si="357"/>
        <v>-13.009276940775585</v>
      </c>
      <c r="BD357" s="60">
        <f t="shared" si="358"/>
        <v>96.590163942117201</v>
      </c>
      <c r="BE357" s="58" t="str">
        <f t="shared" si="359"/>
        <v>0.034694581716948-0.0052872919493387i</v>
      </c>
      <c r="BF357" s="37">
        <f t="shared" si="360"/>
        <v>-29.095058282142507</v>
      </c>
      <c r="BG357" s="60">
        <f t="shared" si="361"/>
        <v>-8.6649400613677159</v>
      </c>
      <c r="BH357" s="58" t="str">
        <f t="shared" si="362"/>
        <v>0.036911444745951+0.0625168106519401i</v>
      </c>
      <c r="BI357" s="37">
        <f t="shared" si="363"/>
        <v>-22.781229380911292</v>
      </c>
      <c r="BJ357" s="60">
        <f t="shared" si="364"/>
        <v>59.441364874425602</v>
      </c>
      <c r="BK357">
        <f t="shared" si="365"/>
        <v>-29.095058282142507</v>
      </c>
      <c r="BL357" s="60">
        <f t="shared" si="366"/>
        <v>-8.6649400613677159</v>
      </c>
      <c r="BN357">
        <f t="shared" si="367"/>
        <v>0</v>
      </c>
      <c r="BO357">
        <f t="shared" si="368"/>
        <v>0</v>
      </c>
    </row>
    <row r="358" spans="13:67" ht="14.25" x14ac:dyDescent="0.2">
      <c r="M358" s="66">
        <v>40</v>
      </c>
      <c r="N358" s="36">
        <f t="shared" si="316"/>
        <v>25118.86431509586</v>
      </c>
      <c r="O358" s="91" t="str">
        <f t="shared" si="317"/>
        <v>99.7340425531915</v>
      </c>
      <c r="P358" s="67" t="str">
        <f t="shared" si="318"/>
        <v>1+4583.68391712318i</v>
      </c>
      <c r="Q358" s="67">
        <f t="shared" si="329"/>
        <v>4583.684026205744</v>
      </c>
      <c r="R358" s="67">
        <f t="shared" si="330"/>
        <v>1.5705781616678469</v>
      </c>
      <c r="S358" s="67" t="str">
        <f t="shared" si="319"/>
        <v>1+8.61732576419159i</v>
      </c>
      <c r="T358" s="67">
        <f t="shared" si="331"/>
        <v>8.6751543690127004</v>
      </c>
      <c r="U358" s="67">
        <f t="shared" si="332"/>
        <v>1.4552677840068058</v>
      </c>
      <c r="V358" t="str">
        <f t="shared" si="320"/>
        <v>1-0.890141342674735i</v>
      </c>
      <c r="W358" s="67">
        <f t="shared" si="333"/>
        <v>1.3387873654687588</v>
      </c>
      <c r="X358" s="67">
        <f t="shared" si="334"/>
        <v>-0.72734155231994568</v>
      </c>
      <c r="Y358" t="str">
        <f t="shared" si="321"/>
        <v>0.850660983554983+1.3759231519795i</v>
      </c>
      <c r="Z358" s="67">
        <f t="shared" si="335"/>
        <v>1.6176491056764857</v>
      </c>
      <c r="AA358" s="67">
        <f t="shared" si="336"/>
        <v>1.0170675188185931</v>
      </c>
      <c r="AB358" s="92" t="str">
        <f t="shared" si="337"/>
        <v>-0.0445098782415464-0.149743708917i</v>
      </c>
      <c r="AC358" s="37">
        <f t="shared" si="338"/>
        <v>-16.125335092742421</v>
      </c>
      <c r="AD358" s="60">
        <f t="shared" si="339"/>
        <v>-106.55407549461175</v>
      </c>
      <c r="AE358" t="str">
        <f t="shared" si="340"/>
        <v>118.329284003155</v>
      </c>
      <c r="AF358" t="str">
        <f t="shared" si="322"/>
        <v>1+3666.94713369855i</v>
      </c>
      <c r="AG358">
        <f t="shared" si="341"/>
        <v>3666.9472700517535</v>
      </c>
      <c r="AH358">
        <f t="shared" si="342"/>
        <v>1.5705236203885182</v>
      </c>
      <c r="AI358" t="str">
        <f t="shared" si="323"/>
        <v>1+8.61732576419159i</v>
      </c>
      <c r="AJ358">
        <f t="shared" si="343"/>
        <v>8.6751543690127004</v>
      </c>
      <c r="AK358">
        <f t="shared" si="344"/>
        <v>1.4552677840068058</v>
      </c>
      <c r="AL358" t="str">
        <f t="shared" si="324"/>
        <v>1-0.600187735805928i</v>
      </c>
      <c r="AM358">
        <f t="shared" si="345"/>
        <v>1.166286979354501</v>
      </c>
      <c r="AN358">
        <f t="shared" si="346"/>
        <v>-0.54055752987122885</v>
      </c>
      <c r="AO358" s="58" t="str">
        <f t="shared" si="347"/>
        <v>0.258760561071985-0.199095083801961i</v>
      </c>
      <c r="AP358">
        <f t="shared" si="348"/>
        <v>-9.7225957928054036</v>
      </c>
      <c r="AQ358" s="60">
        <f t="shared" si="349"/>
        <v>-37.575338034560843</v>
      </c>
      <c r="AR358" t="str">
        <f t="shared" si="325"/>
        <v>-1.94444444444444</v>
      </c>
      <c r="AS358" t="str">
        <f t="shared" si="326"/>
        <v>1+8.83828283506827i</v>
      </c>
      <c r="AT358">
        <f t="shared" si="350"/>
        <v>8.894675006579071</v>
      </c>
      <c r="AU358">
        <f t="shared" si="351"/>
        <v>1.4581313104737388</v>
      </c>
      <c r="AV358" t="str">
        <f t="shared" si="327"/>
        <v>1+8.83828283506827i</v>
      </c>
      <c r="AW358">
        <f t="shared" si="352"/>
        <v>8.894675006579071</v>
      </c>
      <c r="AX358">
        <f t="shared" si="353"/>
        <v>1.4581313104737388</v>
      </c>
      <c r="AY358" t="str">
        <f t="shared" si="328"/>
        <v>1-0.000240732234323394i</v>
      </c>
      <c r="AZ358">
        <f t="shared" si="354"/>
        <v>1.000000028976004</v>
      </c>
      <c r="BA358">
        <f t="shared" si="355"/>
        <v>-2.4073222967308866E-4</v>
      </c>
      <c r="BB358" s="58" t="str">
        <f t="shared" si="356"/>
        <v>-0.0245250756167571+0.217227645307965i</v>
      </c>
      <c r="BC358">
        <f t="shared" si="357"/>
        <v>-13.206690652748751</v>
      </c>
      <c r="BD358" s="60">
        <f t="shared" si="358"/>
        <v>96.441436993221814</v>
      </c>
      <c r="BE358" s="58" t="str">
        <f t="shared" si="359"/>
        <v>0.0336200814172878-0.00599630025903226i</v>
      </c>
      <c r="BF358" s="37">
        <f t="shared" si="360"/>
        <v>-29.332025745491176</v>
      </c>
      <c r="BG358" s="60">
        <f t="shared" si="361"/>
        <v>-10.112638501389936</v>
      </c>
      <c r="BH358" s="58" t="str">
        <f t="shared" si="362"/>
        <v>0.036902833919767+0.0610927693654029i</v>
      </c>
      <c r="BI358" s="37">
        <f t="shared" si="363"/>
        <v>-22.929286445554151</v>
      </c>
      <c r="BJ358" s="60">
        <f t="shared" si="364"/>
        <v>58.866098958661027</v>
      </c>
      <c r="BK358">
        <f t="shared" si="365"/>
        <v>-29.332025745491176</v>
      </c>
      <c r="BL358" s="60">
        <f t="shared" si="366"/>
        <v>-10.112638501389936</v>
      </c>
      <c r="BN358">
        <f t="shared" si="367"/>
        <v>0</v>
      </c>
      <c r="BO358">
        <f t="shared" si="368"/>
        <v>0</v>
      </c>
    </row>
    <row r="359" spans="13:67" ht="14.25" x14ac:dyDescent="0.2">
      <c r="M359" s="66">
        <v>41</v>
      </c>
      <c r="N359" s="36">
        <f t="shared" si="316"/>
        <v>25703.95782768865</v>
      </c>
      <c r="O359" s="91" t="str">
        <f t="shared" si="317"/>
        <v>99.7340425531915</v>
      </c>
      <c r="P359" s="67" t="str">
        <f t="shared" si="318"/>
        <v>1+4690.45163122214i</v>
      </c>
      <c r="Q359" s="67">
        <f t="shared" si="329"/>
        <v>4690.4517378216815</v>
      </c>
      <c r="R359" s="67">
        <f t="shared" si="330"/>
        <v>1.5705831277122768</v>
      </c>
      <c r="S359" s="67" t="str">
        <f t="shared" si="319"/>
        <v>1+8.81804906669762i</v>
      </c>
      <c r="T359" s="67">
        <f t="shared" si="331"/>
        <v>8.8745698116971727</v>
      </c>
      <c r="U359" s="67">
        <f t="shared" si="332"/>
        <v>1.4578749805052178</v>
      </c>
      <c r="V359" t="str">
        <f t="shared" si="320"/>
        <v>1-0.910875398098436i</v>
      </c>
      <c r="W359" s="67">
        <f t="shared" si="333"/>
        <v>1.3526618168858704</v>
      </c>
      <c r="X359" s="67">
        <f t="shared" si="334"/>
        <v>-0.73879122069543046</v>
      </c>
      <c r="Y359" t="str">
        <f t="shared" si="321"/>
        <v>0.843622852542581+1.40797251933746i</v>
      </c>
      <c r="Z359" s="67">
        <f t="shared" si="335"/>
        <v>1.6413671534856409</v>
      </c>
      <c r="AA359" s="67">
        <f t="shared" si="336"/>
        <v>1.0309831850662745</v>
      </c>
      <c r="AB359" s="92" t="str">
        <f t="shared" si="337"/>
        <v>-0.0476894620376351-0.148017609015826i</v>
      </c>
      <c r="AC359" s="37">
        <f t="shared" si="338"/>
        <v>-16.164808921486816</v>
      </c>
      <c r="AD359" s="60">
        <f t="shared" si="339"/>
        <v>-107.85830529212268</v>
      </c>
      <c r="AE359" t="str">
        <f t="shared" si="340"/>
        <v>118.329284003155</v>
      </c>
      <c r="AF359" t="str">
        <f t="shared" si="322"/>
        <v>1+3752.36130497771i</v>
      </c>
      <c r="AG359">
        <f t="shared" si="341"/>
        <v>3752.3614382271362</v>
      </c>
      <c r="AH359">
        <f t="shared" si="342"/>
        <v>1.5705298279438933</v>
      </c>
      <c r="AI359" t="str">
        <f t="shared" si="323"/>
        <v>1+8.81804906669762i</v>
      </c>
      <c r="AJ359">
        <f t="shared" si="343"/>
        <v>8.8745698116971727</v>
      </c>
      <c r="AK359">
        <f t="shared" si="344"/>
        <v>1.4578749805052178</v>
      </c>
      <c r="AL359" t="str">
        <f t="shared" si="324"/>
        <v>1-0.614167904103058i</v>
      </c>
      <c r="AM359">
        <f t="shared" si="345"/>
        <v>1.1735425916558559</v>
      </c>
      <c r="AN359">
        <f t="shared" si="346"/>
        <v>-0.55077199589986758</v>
      </c>
      <c r="AO359" s="58" t="str">
        <f t="shared" si="347"/>
        <v>0.258760165872636-0.202249673307966i</v>
      </c>
      <c r="AP359">
        <f t="shared" si="348"/>
        <v>-9.6713252250914969</v>
      </c>
      <c r="AQ359" s="60">
        <f t="shared" si="349"/>
        <v>-38.011558138985407</v>
      </c>
      <c r="AR359" t="str">
        <f t="shared" si="325"/>
        <v>-1.94444444444444</v>
      </c>
      <c r="AS359" t="str">
        <f t="shared" si="326"/>
        <v>1+9.04415288892061i</v>
      </c>
      <c r="AT359">
        <f t="shared" si="350"/>
        <v>9.099269282649626</v>
      </c>
      <c r="AU359">
        <f t="shared" si="351"/>
        <v>1.4606749586643608</v>
      </c>
      <c r="AV359" t="str">
        <f t="shared" si="327"/>
        <v>1+9.04415288892061i</v>
      </c>
      <c r="AW359">
        <f t="shared" si="352"/>
        <v>9.099269282649626</v>
      </c>
      <c r="AX359">
        <f t="shared" si="353"/>
        <v>1.4606749586643608</v>
      </c>
      <c r="AY359" t="str">
        <f t="shared" si="328"/>
        <v>1-0.000235252499664677i</v>
      </c>
      <c r="AZ359">
        <f t="shared" si="354"/>
        <v>1.000000027671869</v>
      </c>
      <c r="BA359">
        <f t="shared" si="355"/>
        <v>-2.3525249532475951E-4</v>
      </c>
      <c r="BB359" s="58" t="str">
        <f t="shared" si="356"/>
        <v>-0.02343459695815+0.212403513195757i</v>
      </c>
      <c r="BC359">
        <f t="shared" si="357"/>
        <v>-13.40421932825951</v>
      </c>
      <c r="BD359" s="60">
        <f t="shared" si="358"/>
        <v>96.296010652984123</v>
      </c>
      <c r="BE359" s="58" t="str">
        <f t="shared" si="359"/>
        <v>0.0325570434918004-0.00666067626921447i</v>
      </c>
      <c r="BF359" s="37">
        <f t="shared" si="360"/>
        <v>-29.569028249746321</v>
      </c>
      <c r="BG359" s="60">
        <f t="shared" si="361"/>
        <v>-11.562294639138548</v>
      </c>
      <c r="BH359" s="58" t="str">
        <f t="shared" si="362"/>
        <v>0.0368946009572568+0.0597012078853544i</v>
      </c>
      <c r="BI359" s="37">
        <f t="shared" si="363"/>
        <v>-23.075544553351008</v>
      </c>
      <c r="BJ359" s="60">
        <f t="shared" si="364"/>
        <v>58.284452513998737</v>
      </c>
      <c r="BK359">
        <f t="shared" si="365"/>
        <v>-29.569028249746321</v>
      </c>
      <c r="BL359" s="60">
        <f t="shared" si="366"/>
        <v>-11.562294639138548</v>
      </c>
      <c r="BN359">
        <f t="shared" si="367"/>
        <v>0</v>
      </c>
      <c r="BO359">
        <f t="shared" si="368"/>
        <v>0</v>
      </c>
    </row>
    <row r="360" spans="13:67" ht="14.25" x14ac:dyDescent="0.2">
      <c r="M360" s="66">
        <v>42</v>
      </c>
      <c r="N360" s="36">
        <f t="shared" si="316"/>
        <v>26302.679918953829</v>
      </c>
      <c r="O360" s="91" t="str">
        <f t="shared" si="317"/>
        <v>99.7340425531915</v>
      </c>
      <c r="P360" s="67" t="str">
        <f t="shared" si="318"/>
        <v>1+4799.70628486144i</v>
      </c>
      <c r="Q360" s="67">
        <f t="shared" si="329"/>
        <v>4799.7063890344798</v>
      </c>
      <c r="R360" s="67">
        <f t="shared" si="330"/>
        <v>1.570587980715745</v>
      </c>
      <c r="S360" s="67" t="str">
        <f t="shared" si="319"/>
        <v>1+9.02344781553951i</v>
      </c>
      <c r="T360" s="67">
        <f t="shared" si="331"/>
        <v>9.0786899098804312</v>
      </c>
      <c r="U360" s="67">
        <f t="shared" si="332"/>
        <v>1.4604243205709508</v>
      </c>
      <c r="V360" t="str">
        <f t="shared" si="320"/>
        <v>1-0.93209241171507i</v>
      </c>
      <c r="W360" s="67">
        <f t="shared" si="333"/>
        <v>1.3670392327862488</v>
      </c>
      <c r="X360" s="67">
        <f t="shared" si="334"/>
        <v>-0.75026545133884648</v>
      </c>
      <c r="Y360" t="str">
        <f t="shared" si="321"/>
        <v>0.836253024634571+1.4407684123619i</v>
      </c>
      <c r="Z360" s="67">
        <f t="shared" si="335"/>
        <v>1.6658729661262583</v>
      </c>
      <c r="AA360" s="67">
        <f t="shared" si="336"/>
        <v>1.0448971593888645</v>
      </c>
      <c r="AB360" s="92" t="str">
        <f t="shared" si="337"/>
        <v>-0.0508270916991479-0.146225381916474i</v>
      </c>
      <c r="AC360" s="37">
        <f t="shared" si="338"/>
        <v>-16.204179352998487</v>
      </c>
      <c r="AD360" s="60">
        <f t="shared" si="339"/>
        <v>-109.16715391639443</v>
      </c>
      <c r="AE360" t="str">
        <f t="shared" si="340"/>
        <v>118.329284003155</v>
      </c>
      <c r="AF360" t="str">
        <f t="shared" si="322"/>
        <v>1+3839.76502788915i</v>
      </c>
      <c r="AG360">
        <f t="shared" si="341"/>
        <v>3839.7651581054492</v>
      </c>
      <c r="AH360">
        <f t="shared" si="342"/>
        <v>1.5705358941980767</v>
      </c>
      <c r="AI360" t="str">
        <f t="shared" si="323"/>
        <v>1+9.02344781553951i</v>
      </c>
      <c r="AJ360">
        <f t="shared" si="343"/>
        <v>9.0786899098804312</v>
      </c>
      <c r="AK360">
        <f t="shared" si="344"/>
        <v>1.4604243205709508</v>
      </c>
      <c r="AL360" t="str">
        <f t="shared" si="324"/>
        <v>1-0.628473712352416i</v>
      </c>
      <c r="AM360">
        <f t="shared" si="345"/>
        <v>1.1810923787401337</v>
      </c>
      <c r="AN360">
        <f t="shared" si="346"/>
        <v>-0.56109336685920241</v>
      </c>
      <c r="AO360" s="58" t="str">
        <f t="shared" si="347"/>
        <v>0.258759788460186-0.205511498258367i</v>
      </c>
      <c r="AP360">
        <f t="shared" si="348"/>
        <v>-9.6181075411411268</v>
      </c>
      <c r="AQ360" s="60">
        <f t="shared" si="349"/>
        <v>-38.457210278196243</v>
      </c>
      <c r="AR360" t="str">
        <f t="shared" si="325"/>
        <v>-1.94444444444444</v>
      </c>
      <c r="AS360" t="str">
        <f t="shared" si="326"/>
        <v>1+9.25481827234819i</v>
      </c>
      <c r="AT360">
        <f t="shared" si="350"/>
        <v>9.3086874076955635</v>
      </c>
      <c r="AU360">
        <f t="shared" si="351"/>
        <v>1.4631620896695525</v>
      </c>
      <c r="AV360" t="str">
        <f t="shared" si="327"/>
        <v>1+9.25481827234819i</v>
      </c>
      <c r="AW360">
        <f t="shared" si="352"/>
        <v>9.3086874076955635</v>
      </c>
      <c r="AX360">
        <f t="shared" si="353"/>
        <v>1.4631620896695525</v>
      </c>
      <c r="AY360" t="str">
        <f t="shared" si="328"/>
        <v>1-0.000229897498995217i</v>
      </c>
      <c r="AZ360">
        <f t="shared" si="354"/>
        <v>1.0000000264264297</v>
      </c>
      <c r="BA360">
        <f t="shared" si="355"/>
        <v>-2.2989749494497036E-4</v>
      </c>
      <c r="BB360" s="58" t="str">
        <f t="shared" si="356"/>
        <v>-0.0223920384274384+0.207681269308093i</v>
      </c>
      <c r="BC360">
        <f t="shared" si="357"/>
        <v>-13.601857918182391</v>
      </c>
      <c r="BD360" s="60">
        <f t="shared" si="358"/>
        <v>96.153815362211546</v>
      </c>
      <c r="BE360" s="58" t="str">
        <f t="shared" si="359"/>
        <v>0.0315063951119562-0.00728155054837733i</v>
      </c>
      <c r="BF360" s="37">
        <f t="shared" si="360"/>
        <v>-29.806037271180891</v>
      </c>
      <c r="BG360" s="60">
        <f t="shared" si="361"/>
        <v>-13.013338554182891</v>
      </c>
      <c r="BH360" s="58" t="str">
        <f t="shared" si="362"/>
        <v>0.0368867296890293+0.0583413826795869i</v>
      </c>
      <c r="BI360" s="37">
        <f t="shared" si="363"/>
        <v>-23.219965459323511</v>
      </c>
      <c r="BJ360" s="60">
        <f t="shared" si="364"/>
        <v>57.696605084015317</v>
      </c>
      <c r="BK360">
        <f t="shared" si="365"/>
        <v>-29.806037271180891</v>
      </c>
      <c r="BL360" s="60">
        <f t="shared" si="366"/>
        <v>-13.013338554182891</v>
      </c>
      <c r="BN360">
        <f t="shared" si="367"/>
        <v>0</v>
      </c>
      <c r="BO360">
        <f t="shared" si="368"/>
        <v>0</v>
      </c>
    </row>
    <row r="361" spans="13:67" ht="14.25" x14ac:dyDescent="0.2">
      <c r="M361" s="66">
        <v>43</v>
      </c>
      <c r="N361" s="36">
        <f t="shared" si="316"/>
        <v>26915.348039269167</v>
      </c>
      <c r="O361" s="91" t="str">
        <f t="shared" si="317"/>
        <v>99.7340425531915</v>
      </c>
      <c r="P361" s="67" t="str">
        <f t="shared" si="318"/>
        <v>1+4911.50580630462i</v>
      </c>
      <c r="Q361" s="67">
        <f t="shared" si="329"/>
        <v>4911.5059081063928</v>
      </c>
      <c r="R361" s="67">
        <f t="shared" si="330"/>
        <v>1.5705927232513768</v>
      </c>
      <c r="S361" s="67" t="str">
        <f t="shared" si="319"/>
        <v>1+9.23363091585268i</v>
      </c>
      <c r="T361" s="67">
        <f t="shared" si="331"/>
        <v>9.2876229407847095</v>
      </c>
      <c r="U361" s="67">
        <f t="shared" si="332"/>
        <v>1.4629170232779769</v>
      </c>
      <c r="V361" t="str">
        <f t="shared" si="320"/>
        <v>1-0.9538036330661i</v>
      </c>
      <c r="W361" s="67">
        <f t="shared" si="333"/>
        <v>1.3819339240535675</v>
      </c>
      <c r="X361" s="67">
        <f t="shared" si="334"/>
        <v>-0.76175824366192968</v>
      </c>
      <c r="Y361" t="str">
        <f t="shared" si="321"/>
        <v>0.828535867437872+1.47432821986941i</v>
      </c>
      <c r="Z361" s="67">
        <f t="shared" si="335"/>
        <v>1.691187566041783</v>
      </c>
      <c r="AA361" s="67">
        <f t="shared" si="336"/>
        <v>1.0588056318492418</v>
      </c>
      <c r="AB361" s="92" t="str">
        <f t="shared" si="337"/>
        <v>-0.053919794820928-0.144368729275545i</v>
      </c>
      <c r="AC361" s="37">
        <f t="shared" si="338"/>
        <v>-16.243423424760213</v>
      </c>
      <c r="AD361" s="60">
        <f t="shared" si="339"/>
        <v>-110.47998956536348</v>
      </c>
      <c r="AE361" t="str">
        <f t="shared" si="340"/>
        <v>118.329284003155</v>
      </c>
      <c r="AF361" t="str">
        <f t="shared" si="322"/>
        <v>1+3929.20464504369i</v>
      </c>
      <c r="AG361">
        <f t="shared" si="341"/>
        <v>3929.2047722959051</v>
      </c>
      <c r="AH361">
        <f t="shared" si="342"/>
        <v>1.570541822367475</v>
      </c>
      <c r="AI361" t="str">
        <f t="shared" si="323"/>
        <v>1+9.23363091585268i</v>
      </c>
      <c r="AJ361">
        <f t="shared" si="343"/>
        <v>9.2876229407847095</v>
      </c>
      <c r="AK361">
        <f t="shared" si="344"/>
        <v>1.4629170232779769</v>
      </c>
      <c r="AL361" t="str">
        <f t="shared" si="324"/>
        <v>1-0.643112745682899i</v>
      </c>
      <c r="AM361">
        <f t="shared" si="345"/>
        <v>1.1889465941158994</v>
      </c>
      <c r="AN361">
        <f t="shared" si="346"/>
        <v>-0.57151831856726498</v>
      </c>
      <c r="AO361" s="58" t="str">
        <f t="shared" si="347"/>
        <v>0.25875942803409-0.20888228811656i</v>
      </c>
      <c r="AP361">
        <f t="shared" si="348"/>
        <v>-9.5629100695870015</v>
      </c>
      <c r="AQ361" s="60">
        <f t="shared" si="349"/>
        <v>-38.91203432708928</v>
      </c>
      <c r="AR361" t="str">
        <f t="shared" si="325"/>
        <v>-1.94444444444444</v>
      </c>
      <c r="AS361" t="str">
        <f t="shared" si="326"/>
        <v>1+9.47039068292579i</v>
      </c>
      <c r="AT361">
        <f t="shared" si="350"/>
        <v>9.5230404644340148</v>
      </c>
      <c r="AU361">
        <f t="shared" si="351"/>
        <v>1.4655938990526243</v>
      </c>
      <c r="AV361" t="str">
        <f t="shared" si="327"/>
        <v>1+9.47039068292579i</v>
      </c>
      <c r="AW361">
        <f t="shared" si="352"/>
        <v>9.5230404644340148</v>
      </c>
      <c r="AX361">
        <f t="shared" si="353"/>
        <v>1.4655938990526243</v>
      </c>
      <c r="AY361" t="str">
        <f t="shared" si="328"/>
        <v>1-0.000224664393022777i</v>
      </c>
      <c r="AZ361">
        <f t="shared" si="354"/>
        <v>1.0000000252370445</v>
      </c>
      <c r="BA361">
        <f t="shared" si="355"/>
        <v>-2.2466438924286688E-4</v>
      </c>
      <c r="BB361" s="58" t="str">
        <f t="shared" si="356"/>
        <v>-0.0213953435591652+0.203059109731592i</v>
      </c>
      <c r="BC361">
        <f t="shared" si="357"/>
        <v>-13.799601589824473</v>
      </c>
      <c r="BD361" s="60">
        <f t="shared" si="358"/>
        <v>96.014782782851711</v>
      </c>
      <c r="BE361" s="58" t="str">
        <f t="shared" si="359"/>
        <v>0.0304690181746068-0.00786008697119735i</v>
      </c>
      <c r="BF361" s="37">
        <f t="shared" si="360"/>
        <v>-30.043025014584693</v>
      </c>
      <c r="BG361" s="60">
        <f t="shared" si="361"/>
        <v>-14.465206782511801</v>
      </c>
      <c r="BH361" s="58" t="str">
        <f t="shared" si="362"/>
        <v>0.0368792046016841+0.0570125674089366i</v>
      </c>
      <c r="BI361" s="37">
        <f t="shared" si="363"/>
        <v>-23.362511659411474</v>
      </c>
      <c r="BJ361" s="60">
        <f t="shared" si="364"/>
        <v>57.102748455762459</v>
      </c>
      <c r="BK361">
        <f t="shared" si="365"/>
        <v>-30.043025014584693</v>
      </c>
      <c r="BL361" s="60">
        <f t="shared" si="366"/>
        <v>-14.465206782511801</v>
      </c>
      <c r="BN361">
        <f t="shared" si="367"/>
        <v>0</v>
      </c>
      <c r="BO361">
        <f t="shared" si="368"/>
        <v>0</v>
      </c>
    </row>
    <row r="362" spans="13:67" ht="14.25" x14ac:dyDescent="0.2">
      <c r="M362" s="66">
        <v>44</v>
      </c>
      <c r="N362" s="36">
        <f t="shared" si="316"/>
        <v>27542.287033381719</v>
      </c>
      <c r="O362" s="91" t="str">
        <f t="shared" si="317"/>
        <v>99.7340425531915</v>
      </c>
      <c r="P362" s="67" t="str">
        <f t="shared" si="318"/>
        <v>1+5025.90947313776i</v>
      </c>
      <c r="Q362" s="67">
        <f t="shared" si="329"/>
        <v>5025.9095726222413</v>
      </c>
      <c r="R362" s="67">
        <f t="shared" si="330"/>
        <v>1.5705973578337269</v>
      </c>
      <c r="S362" s="67" t="str">
        <f t="shared" si="319"/>
        <v>1+9.44870980949899i</v>
      </c>
      <c r="T362" s="67">
        <f t="shared" si="331"/>
        <v>9.5014797302379392</v>
      </c>
      <c r="U362" s="67">
        <f t="shared" si="332"/>
        <v>1.4653542863143352</v>
      </c>
      <c r="V362" t="str">
        <f t="shared" si="320"/>
        <v>1-0.976020573728466i</v>
      </c>
      <c r="W362" s="67">
        <f t="shared" si="333"/>
        <v>1.3973604260681078</v>
      </c>
      <c r="X362" s="67">
        <f t="shared" si="334"/>
        <v>-0.77326354820289667</v>
      </c>
      <c r="Y362" t="str">
        <f t="shared" si="321"/>
        <v>0.820455011827411+1.50866973571412i</v>
      </c>
      <c r="Z362" s="67">
        <f t="shared" si="335"/>
        <v>1.7173324657422715</v>
      </c>
      <c r="AA362" s="67">
        <f t="shared" si="336"/>
        <v>1.0727049795926713</v>
      </c>
      <c r="AB362" s="92" t="str">
        <f t="shared" si="337"/>
        <v>-0.0569647408688031-0.142449486427566i</v>
      </c>
      <c r="AC362" s="37">
        <f t="shared" si="338"/>
        <v>-16.282518839320328</v>
      </c>
      <c r="AD362" s="60">
        <f t="shared" si="339"/>
        <v>-111.79618957771862</v>
      </c>
      <c r="AE362" t="str">
        <f t="shared" si="340"/>
        <v>118.329284003155</v>
      </c>
      <c r="AF362" t="str">
        <f t="shared" si="322"/>
        <v>1+4020.72757851021i</v>
      </c>
      <c r="AG362">
        <f t="shared" si="341"/>
        <v>4020.7277028658104</v>
      </c>
      <c r="AH362">
        <f t="shared" si="342"/>
        <v>1.5705476155952804</v>
      </c>
      <c r="AI362" t="str">
        <f t="shared" si="323"/>
        <v>1+9.44870980949899i</v>
      </c>
      <c r="AJ362">
        <f t="shared" si="343"/>
        <v>9.5014797302379392</v>
      </c>
      <c r="AK362">
        <f t="shared" si="344"/>
        <v>1.4653542863143352</v>
      </c>
      <c r="AL362" t="str">
        <f t="shared" si="324"/>
        <v>1-0.658092765903747i</v>
      </c>
      <c r="AM362">
        <f t="shared" si="345"/>
        <v>1.1971157373181776</v>
      </c>
      <c r="AN362">
        <f t="shared" si="346"/>
        <v>-0.58204331435287116</v>
      </c>
      <c r="AO362" s="58" t="str">
        <f t="shared" si="347"/>
        <v>0.258759083829842-0.212363830120539i</v>
      </c>
      <c r="AP362">
        <f t="shared" si="348"/>
        <v>-9.5057007855962787</v>
      </c>
      <c r="AQ362" s="60">
        <f t="shared" si="349"/>
        <v>-39.375759206953809</v>
      </c>
      <c r="AR362" t="str">
        <f t="shared" si="325"/>
        <v>-1.94444444444444</v>
      </c>
      <c r="AS362" t="str">
        <f t="shared" si="326"/>
        <v>1+9.69098441999893i</v>
      </c>
      <c r="AT362">
        <f t="shared" si="350"/>
        <v>9.7424421491052247</v>
      </c>
      <c r="AU362">
        <f t="shared" si="351"/>
        <v>1.4679715610805408</v>
      </c>
      <c r="AV362" t="str">
        <f t="shared" si="327"/>
        <v>1+9.69098441999893i</v>
      </c>
      <c r="AW362">
        <f t="shared" si="352"/>
        <v>9.7424421491052247</v>
      </c>
      <c r="AX362">
        <f t="shared" si="353"/>
        <v>1.4679715610805408</v>
      </c>
      <c r="AY362" t="str">
        <f t="shared" si="328"/>
        <v>1-0.000219550407085302i</v>
      </c>
      <c r="AZ362">
        <f t="shared" si="354"/>
        <v>1.0000000241011904</v>
      </c>
      <c r="BA362">
        <f t="shared" si="355"/>
        <v>-2.1955040355768461E-4</v>
      </c>
      <c r="BB362" s="58" t="str">
        <f t="shared" si="356"/>
        <v>-0.020442539838852+0.198535238652855i</v>
      </c>
      <c r="BC362">
        <f t="shared" si="357"/>
        <v>-13.997445718111718</v>
      </c>
      <c r="BD362" s="60">
        <f t="shared" si="358"/>
        <v>95.878845793339821</v>
      </c>
      <c r="BE362" s="58" t="str">
        <f t="shared" si="359"/>
        <v>0.0294457467684938-0.00839747912186634i</v>
      </c>
      <c r="BF362" s="37">
        <f t="shared" si="360"/>
        <v>-30.279964557432052</v>
      </c>
      <c r="BG362" s="60">
        <f t="shared" si="361"/>
        <v>-15.917343784378815</v>
      </c>
      <c r="BH362" s="58" t="str">
        <f t="shared" si="362"/>
        <v>0.0368720108143592+0.0557140525193221i</v>
      </c>
      <c r="BI362" s="37">
        <f t="shared" si="363"/>
        <v>-23.503146503707999</v>
      </c>
      <c r="BJ362" s="60">
        <f t="shared" si="364"/>
        <v>56.503086586385997</v>
      </c>
      <c r="BK362">
        <f t="shared" si="365"/>
        <v>-30.279964557432052</v>
      </c>
      <c r="BL362" s="60">
        <f t="shared" si="366"/>
        <v>-15.917343784378815</v>
      </c>
      <c r="BN362">
        <f t="shared" si="367"/>
        <v>0</v>
      </c>
      <c r="BO362">
        <f t="shared" si="368"/>
        <v>0</v>
      </c>
    </row>
    <row r="363" spans="13:67" ht="14.25" x14ac:dyDescent="0.2">
      <c r="M363" s="66">
        <v>45</v>
      </c>
      <c r="N363" s="36">
        <f t="shared" si="316"/>
        <v>28183.829312644593</v>
      </c>
      <c r="O363" s="91" t="str">
        <f t="shared" si="317"/>
        <v>99.7340425531915</v>
      </c>
      <c r="P363" s="67" t="str">
        <f t="shared" si="318"/>
        <v>1+5142.97794369932i</v>
      </c>
      <c r="Q363" s="67">
        <f t="shared" si="329"/>
        <v>5142.9780409192581</v>
      </c>
      <c r="R363" s="67">
        <f t="shared" si="330"/>
        <v>1.570601886920111</v>
      </c>
      <c r="S363" s="67" t="str">
        <f t="shared" si="319"/>
        <v>1+9.66879853415473i</v>
      </c>
      <c r="T363" s="67">
        <f t="shared" si="331"/>
        <v>9.7203737116467224</v>
      </c>
      <c r="U363" s="67">
        <f t="shared" si="332"/>
        <v>1.4677372860624147</v>
      </c>
      <c r="V363" t="str">
        <f t="shared" si="320"/>
        <v>1-0.998755013418181i</v>
      </c>
      <c r="W363" s="67">
        <f t="shared" si="333"/>
        <v>1.4133334980916397</v>
      </c>
      <c r="X363" s="67">
        <f t="shared" si="334"/>
        <v>-0.78477528244783179</v>
      </c>
      <c r="Y363" t="str">
        <f t="shared" si="321"/>
        <v>0.811993317225021+1.54381116822232i</v>
      </c>
      <c r="Z363" s="67">
        <f t="shared" si="335"/>
        <v>1.744329690840025</v>
      </c>
      <c r="AA363" s="67">
        <f t="shared" si="336"/>
        <v>1.0865917759560078</v>
      </c>
      <c r="AB363" s="92" t="str">
        <f t="shared" si="337"/>
        <v>-0.0599592475525211-0.140469610063444i</v>
      </c>
      <c r="AC363" s="37">
        <f t="shared" si="338"/>
        <v>-16.321444112199206</v>
      </c>
      <c r="AD363" s="60">
        <f t="shared" si="339"/>
        <v>-113.11514185679566</v>
      </c>
      <c r="AE363" t="str">
        <f t="shared" si="340"/>
        <v>118.329284003155</v>
      </c>
      <c r="AF363" t="str">
        <f t="shared" si="322"/>
        <v>1+4114.38235495946i</v>
      </c>
      <c r="AG363">
        <f t="shared" si="341"/>
        <v>4114.3824764843821</v>
      </c>
      <c r="AH363">
        <f t="shared" si="342"/>
        <v>1.5705532769531376</v>
      </c>
      <c r="AI363" t="str">
        <f t="shared" si="323"/>
        <v>1+9.66879853415473i</v>
      </c>
      <c r="AJ363">
        <f t="shared" si="343"/>
        <v>9.7203737116467224</v>
      </c>
      <c r="AK363">
        <f t="shared" si="344"/>
        <v>1.4677372860624147</v>
      </c>
      <c r="AL363" t="str">
        <f t="shared" si="324"/>
        <v>1-0.673421715619963i</v>
      </c>
      <c r="AM363">
        <f t="shared" si="345"/>
        <v>1.2056105536484552</v>
      </c>
      <c r="AN363">
        <f t="shared" si="346"/>
        <v>-0.5926646072208358</v>
      </c>
      <c r="AO363" s="58" t="str">
        <f t="shared" si="347"/>
        <v>0.258758755117333-0.215957970230506i</v>
      </c>
      <c r="AP363">
        <f t="shared" si="348"/>
        <v>-9.4464484338055534</v>
      </c>
      <c r="AQ363" s="60">
        <f t="shared" si="349"/>
        <v>-39.848103005026388</v>
      </c>
      <c r="AR363" t="str">
        <f t="shared" si="325"/>
        <v>-1.94444444444444</v>
      </c>
      <c r="AS363" t="str">
        <f t="shared" si="326"/>
        <v>1+9.91671644528687i</v>
      </c>
      <c r="AT363">
        <f t="shared" si="350"/>
        <v>9.967008831952695</v>
      </c>
      <c r="AU363">
        <f t="shared" si="351"/>
        <v>1.4702962288297943</v>
      </c>
      <c r="AV363" t="str">
        <f t="shared" si="327"/>
        <v>1+9.91671644528687i</v>
      </c>
      <c r="AW363">
        <f t="shared" si="352"/>
        <v>9.967008831952695</v>
      </c>
      <c r="AX363">
        <f t="shared" si="353"/>
        <v>1.4702962288297943</v>
      </c>
      <c r="AY363" t="str">
        <f t="shared" si="328"/>
        <v>1-0.000214552829679757i</v>
      </c>
      <c r="AZ363">
        <f t="shared" si="354"/>
        <v>1.0000000230164581</v>
      </c>
      <c r="BA363">
        <f t="shared" si="355"/>
        <v>-2.1455282638759289E-4</v>
      </c>
      <c r="BB363" s="58" t="str">
        <f t="shared" si="356"/>
        <v>-0.0195317356539306+0.19410787022204i</v>
      </c>
      <c r="BC363">
        <f t="shared" si="357"/>
        <v>-14.195385877093489</v>
      </c>
      <c r="BD363" s="60">
        <f t="shared" si="358"/>
        <v>95.745938482617063</v>
      </c>
      <c r="BE363" s="58" t="str">
        <f t="shared" si="359"/>
        <v>0.02843736501354-0.00889494655136604i</v>
      </c>
      <c r="BF363" s="37">
        <f t="shared" si="360"/>
        <v>-30.516829989292688</v>
      </c>
      <c r="BG363" s="60">
        <f t="shared" si="361"/>
        <v>-17.369203374178586</v>
      </c>
      <c r="BH363" s="58" t="str">
        <f t="shared" si="362"/>
        <v>0.0368651340558263+0.0544451448440336i</v>
      </c>
      <c r="BI363" s="37">
        <f t="shared" si="363"/>
        <v>-23.641834310899039</v>
      </c>
      <c r="BJ363" s="60">
        <f t="shared" si="364"/>
        <v>55.897835477590718</v>
      </c>
      <c r="BK363">
        <f t="shared" si="365"/>
        <v>-30.516829989292688</v>
      </c>
      <c r="BL363" s="60">
        <f t="shared" si="366"/>
        <v>-17.369203374178586</v>
      </c>
      <c r="BN363">
        <f t="shared" si="367"/>
        <v>0</v>
      </c>
      <c r="BO363">
        <f t="shared" si="368"/>
        <v>0</v>
      </c>
    </row>
    <row r="364" spans="13:67" ht="14.25" x14ac:dyDescent="0.2">
      <c r="M364" s="66">
        <v>46</v>
      </c>
      <c r="N364" s="36">
        <f t="shared" si="316"/>
        <v>28840.315031266062</v>
      </c>
      <c r="O364" s="91" t="str">
        <f t="shared" si="317"/>
        <v>99.7340425531915</v>
      </c>
      <c r="P364" s="67" t="str">
        <f t="shared" si="318"/>
        <v>1+5262.77328924197i</v>
      </c>
      <c r="Q364" s="67">
        <f t="shared" si="329"/>
        <v>5262.7733842489115</v>
      </c>
      <c r="R364" s="67">
        <f t="shared" si="330"/>
        <v>1.5706063129119103</v>
      </c>
      <c r="S364" s="67" t="str">
        <f t="shared" si="319"/>
        <v>1+9.89401378377491i</v>
      </c>
      <c r="T364" s="67">
        <f t="shared" si="331"/>
        <v>9.9444209863384145</v>
      </c>
      <c r="U364" s="67">
        <f t="shared" si="332"/>
        <v>1.4700671777026135</v>
      </c>
      <c r="V364" t="str">
        <f t="shared" si="320"/>
        <v>1-1.02201900623609i</v>
      </c>
      <c r="W364" s="67">
        <f t="shared" si="333"/>
        <v>1.4298681229777122</v>
      </c>
      <c r="X364" s="67">
        <f t="shared" si="334"/>
        <v>-0.796287346864616</v>
      </c>
      <c r="Y364" t="str">
        <f t="shared" si="321"/>
        <v>0.803132835241972+1.57977114984666i</v>
      </c>
      <c r="Z364" s="67">
        <f t="shared" si="335"/>
        <v>1.7722018047986654</v>
      </c>
      <c r="AA364" s="67">
        <f t="shared" si="336"/>
        <v>1.100462798572303</v>
      </c>
      <c r="AB364" s="92" t="str">
        <f t="shared" si="337"/>
        <v>-0.0629007860245262-0.138431165623663i</v>
      </c>
      <c r="AC364" s="37">
        <f t="shared" si="338"/>
        <v>-16.360178713727272</v>
      </c>
      <c r="AD364" s="60">
        <f t="shared" si="339"/>
        <v>-114.43624624774823</v>
      </c>
      <c r="AE364" t="str">
        <f t="shared" si="340"/>
        <v>118.329284003155</v>
      </c>
      <c r="AF364" t="str">
        <f t="shared" si="322"/>
        <v>1+4210.21863139358i</v>
      </c>
      <c r="AG364">
        <f t="shared" si="341"/>
        <v>4210.2187501522567</v>
      </c>
      <c r="AH364">
        <f t="shared" si="342"/>
        <v>1.5705588094427718</v>
      </c>
      <c r="AI364" t="str">
        <f t="shared" si="323"/>
        <v>1+9.89401378377491i</v>
      </c>
      <c r="AJ364">
        <f t="shared" si="343"/>
        <v>9.9444209863384145</v>
      </c>
      <c r="AK364">
        <f t="shared" si="344"/>
        <v>1.4700671777026135</v>
      </c>
      <c r="AL364" t="str">
        <f t="shared" si="324"/>
        <v>1-0.689107722443587i</v>
      </c>
      <c r="AM364">
        <f t="shared" si="345"/>
        <v>1.2144420336645911</v>
      </c>
      <c r="AN364">
        <f t="shared" si="346"/>
        <v>-0.60337824296003928</v>
      </c>
      <c r="AO364" s="58" t="str">
        <f t="shared" si="347"/>
        <v>0.258758441199323-0.219666614107637i</v>
      </c>
      <c r="AP364">
        <f t="shared" si="348"/>
        <v>-9.3851226515134876</v>
      </c>
      <c r="AQ364" s="60">
        <f t="shared" si="349"/>
        <v>-40.328773146723265</v>
      </c>
      <c r="AR364" t="str">
        <f t="shared" si="325"/>
        <v>-1.94444444444444</v>
      </c>
      <c r="AS364" t="str">
        <f t="shared" si="326"/>
        <v>1+10.1477064448973i</v>
      </c>
      <c r="AT364">
        <f t="shared" si="350"/>
        <v>10.196859619108729</v>
      </c>
      <c r="AU364">
        <f t="shared" si="351"/>
        <v>1.4725690343134488</v>
      </c>
      <c r="AV364" t="str">
        <f t="shared" si="327"/>
        <v>1+10.1477064448973i</v>
      </c>
      <c r="AW364">
        <f t="shared" si="352"/>
        <v>10.196859619108729</v>
      </c>
      <c r="AX364">
        <f t="shared" si="353"/>
        <v>1.4725690343134488</v>
      </c>
      <c r="AY364" t="str">
        <f t="shared" si="328"/>
        <v>1-0.000209669011024452i</v>
      </c>
      <c r="AZ364">
        <f t="shared" si="354"/>
        <v>1.0000000219805467</v>
      </c>
      <c r="BA364">
        <f t="shared" si="355"/>
        <v>-2.096690079520257E-4</v>
      </c>
      <c r="BB364" s="58" t="str">
        <f t="shared" si="356"/>
        <v>-0.0186611173212304+0.189775230253293i</v>
      </c>
      <c r="BC364">
        <f t="shared" si="357"/>
        <v>-14.393417831757461</v>
      </c>
      <c r="BD364" s="60">
        <f t="shared" si="358"/>
        <v>95.615996142933739</v>
      </c>
      <c r="BE364" s="58" t="str">
        <f t="shared" si="359"/>
        <v>0.0274446052780637-0.00935373092829972i</v>
      </c>
      <c r="BF364" s="37">
        <f t="shared" si="360"/>
        <v>-30.753596545484726</v>
      </c>
      <c r="BG364" s="60">
        <f t="shared" si="361"/>
        <v>-18.820250104814484</v>
      </c>
      <c r="BH364" s="58" t="str">
        <f t="shared" si="362"/>
        <v>0.0368585606421588+0.0532051672160048i</v>
      </c>
      <c r="BI364" s="37">
        <f t="shared" si="363"/>
        <v>-23.778540483270941</v>
      </c>
      <c r="BJ364" s="60">
        <f t="shared" si="364"/>
        <v>55.287222996210502</v>
      </c>
      <c r="BK364">
        <f t="shared" si="365"/>
        <v>-30.753596545484726</v>
      </c>
      <c r="BL364" s="60">
        <f t="shared" si="366"/>
        <v>-18.820250104814484</v>
      </c>
      <c r="BN364">
        <f t="shared" si="367"/>
        <v>0</v>
      </c>
      <c r="BO364">
        <f t="shared" si="368"/>
        <v>0</v>
      </c>
    </row>
    <row r="365" spans="13:67" ht="14.25" x14ac:dyDescent="0.2">
      <c r="M365" s="66">
        <v>47</v>
      </c>
      <c r="N365" s="36">
        <f t="shared" si="316"/>
        <v>29512.092266663854</v>
      </c>
      <c r="O365" s="91" t="str">
        <f t="shared" si="317"/>
        <v>99.7340425531915</v>
      </c>
      <c r="P365" s="67" t="str">
        <f t="shared" si="318"/>
        <v>1+5385.35902684367i</v>
      </c>
      <c r="Q365" s="67">
        <f t="shared" si="329"/>
        <v>5385.3591196879897</v>
      </c>
      <c r="R365" s="67">
        <f t="shared" si="330"/>
        <v>1.5706106381558436</v>
      </c>
      <c r="S365" s="67" t="str">
        <f t="shared" si="319"/>
        <v>1+10.1244749704661i</v>
      </c>
      <c r="T365" s="67">
        <f t="shared" si="331"/>
        <v>10.173740385305422</v>
      </c>
      <c r="U365" s="67">
        <f t="shared" si="332"/>
        <v>1.4723450953383626</v>
      </c>
      <c r="V365" t="str">
        <f t="shared" si="320"/>
        <v>1-1.04582488705914i</v>
      </c>
      <c r="W365" s="67">
        <f t="shared" si="333"/>
        <v>1.4469795072468243</v>
      </c>
      <c r="X365" s="67">
        <f t="shared" si="334"/>
        <v>-0.80779364104662454</v>
      </c>
      <c r="Y365" t="str">
        <f t="shared" si="321"/>
        <v>0.793854771608027+1.6165687470454i</v>
      </c>
      <c r="Z365" s="67">
        <f t="shared" si="335"/>
        <v>1.80097193546395</v>
      </c>
      <c r="AA365" s="67">
        <f t="shared" si="336"/>
        <v>1.1143150364486341</v>
      </c>
      <c r="AB365" s="92" t="str">
        <f t="shared" si="337"/>
        <v>-0.0657869849032964-0.136336314527942i</v>
      </c>
      <c r="AC365" s="37">
        <f t="shared" si="338"/>
        <v>-16.39870320390785</v>
      </c>
      <c r="AD365" s="60">
        <f t="shared" si="339"/>
        <v>-115.7589158609543</v>
      </c>
      <c r="AE365" t="str">
        <f t="shared" si="340"/>
        <v>118.329284003155</v>
      </c>
      <c r="AF365" t="str">
        <f t="shared" si="322"/>
        <v>1+4308.28722147494i</v>
      </c>
      <c r="AG365">
        <f t="shared" si="341"/>
        <v>4308.2873375303388</v>
      </c>
      <c r="AH365">
        <f t="shared" si="342"/>
        <v>1.570564215997581</v>
      </c>
      <c r="AI365" t="str">
        <f t="shared" si="323"/>
        <v>1+10.1244749704661i</v>
      </c>
      <c r="AJ365">
        <f t="shared" si="343"/>
        <v>10.173740385305422</v>
      </c>
      <c r="AK365">
        <f t="shared" si="344"/>
        <v>1.4723450953383626</v>
      </c>
      <c r="AL365" t="str">
        <f t="shared" si="324"/>
        <v>1-0.705159103303077i</v>
      </c>
      <c r="AM365">
        <f t="shared" si="345"/>
        <v>1.2236214124357254</v>
      </c>
      <c r="AN365">
        <f t="shared" si="346"/>
        <v>-0.61418006421817195</v>
      </c>
      <c r="AO365" s="58" t="str">
        <f t="shared" si="347"/>
        <v>0.258758141409948-0.223491728124488i</v>
      </c>
      <c r="AP365">
        <f t="shared" si="348"/>
        <v>-9.3216940914673412</v>
      </c>
      <c r="AQ365" s="60">
        <f t="shared" si="349"/>
        <v>-40.81746662203453</v>
      </c>
      <c r="AR365" t="str">
        <f t="shared" si="325"/>
        <v>-1.94444444444444</v>
      </c>
      <c r="AS365" t="str">
        <f t="shared" si="326"/>
        <v>1+10.3840768927857i</v>
      </c>
      <c r="AT365">
        <f t="shared" si="350"/>
        <v>10.432116415918964</v>
      </c>
      <c r="AU365">
        <f t="shared" si="351"/>
        <v>1.47479108862748</v>
      </c>
      <c r="AV365" t="str">
        <f t="shared" si="327"/>
        <v>1+10.3840768927857i</v>
      </c>
      <c r="AW365">
        <f t="shared" si="352"/>
        <v>10.432116415918964</v>
      </c>
      <c r="AX365">
        <f t="shared" si="353"/>
        <v>1.47479108862748</v>
      </c>
      <c r="AY365" t="str">
        <f t="shared" si="328"/>
        <v>1-0.000204896361654088i</v>
      </c>
      <c r="AZ365">
        <f t="shared" si="354"/>
        <v>1.0000000209912594</v>
      </c>
      <c r="BA365">
        <f t="shared" si="355"/>
        <v>-2.0489635878673295E-4</v>
      </c>
      <c r="BB365" s="58" t="str">
        <f t="shared" si="356"/>
        <v>-0.0178289461924801+0.185535557772157i</v>
      </c>
      <c r="BC365">
        <f t="shared" si="357"/>
        <v>-14.591537530146791</v>
      </c>
      <c r="BD365" s="60">
        <f t="shared" si="358"/>
        <v>95.488955261545186</v>
      </c>
      <c r="BE365" s="58" t="str">
        <f t="shared" si="359"/>
        <v>0.0264681467745483-0.00977509212238185i</v>
      </c>
      <c r="BF365" s="37">
        <f t="shared" si="360"/>
        <v>-30.990240734054648</v>
      </c>
      <c r="BG365" s="60">
        <f t="shared" si="361"/>
        <v>-20.269960599409156</v>
      </c>
      <c r="BH365" s="58" t="str">
        <f t="shared" si="362"/>
        <v>0.036852277454976+0.0519934580897773i</v>
      </c>
      <c r="BI365" s="37">
        <f t="shared" si="363"/>
        <v>-23.913231621614131</v>
      </c>
      <c r="BJ365" s="60">
        <f t="shared" si="364"/>
        <v>54.671488639510699</v>
      </c>
      <c r="BK365">
        <f t="shared" si="365"/>
        <v>-30.990240734054648</v>
      </c>
      <c r="BL365" s="60">
        <f t="shared" si="366"/>
        <v>-20.269960599409156</v>
      </c>
      <c r="BN365">
        <f t="shared" si="367"/>
        <v>0</v>
      </c>
      <c r="BO365">
        <f t="shared" si="368"/>
        <v>0</v>
      </c>
    </row>
    <row r="366" spans="13:67" ht="14.25" x14ac:dyDescent="0.2">
      <c r="M366" s="66">
        <v>48</v>
      </c>
      <c r="N366" s="36">
        <f t="shared" si="316"/>
        <v>30199.517204020212</v>
      </c>
      <c r="O366" s="91" t="str">
        <f t="shared" si="317"/>
        <v>99.7340425531915</v>
      </c>
      <c r="P366" s="67" t="str">
        <f t="shared" si="318"/>
        <v>1+5510.80015308503i</v>
      </c>
      <c r="Q366" s="67">
        <f t="shared" si="329"/>
        <v>5510.8002438159538</v>
      </c>
      <c r="R366" s="67">
        <f t="shared" si="330"/>
        <v>1.5706148649452114</v>
      </c>
      <c r="S366" s="67" t="str">
        <f t="shared" si="319"/>
        <v>1+10.3603042877999i</v>
      </c>
      <c r="T366" s="67">
        <f t="shared" si="331"/>
        <v>10.408453532384387</v>
      </c>
      <c r="U366" s="67">
        <f t="shared" si="332"/>
        <v>1.4745721521406203</v>
      </c>
      <c r="V366" t="str">
        <f t="shared" si="320"/>
        <v>1-1.07018527808042i</v>
      </c>
      <c r="W366" s="67">
        <f t="shared" si="333"/>
        <v>1.4646830815640857</v>
      </c>
      <c r="X366" s="67">
        <f t="shared" si="334"/>
        <v>-0.81928807986202068</v>
      </c>
      <c r="Y366" t="str">
        <f t="shared" si="321"/>
        <v>0.784139446306292+1.65422347039164i</v>
      </c>
      <c r="Z366" s="67">
        <f t="shared" si="335"/>
        <v>1.8306638034461979</v>
      </c>
      <c r="AA366" s="67">
        <f t="shared" si="336"/>
        <v>1.1281456960036635</v>
      </c>
      <c r="AB366" s="92" t="str">
        <f t="shared" si="337"/>
        <v>-0.0686156331332853-0.134187301359897i</v>
      </c>
      <c r="AC366" s="37">
        <f t="shared" si="338"/>
        <v>-16.436999359491374</v>
      </c>
      <c r="AD366" s="60">
        <f t="shared" si="339"/>
        <v>-117.08257833501959</v>
      </c>
      <c r="AE366" t="str">
        <f t="shared" si="340"/>
        <v>118.329284003155</v>
      </c>
      <c r="AF366" t="str">
        <f t="shared" si="322"/>
        <v>1+4408.64012246802i</v>
      </c>
      <c r="AG366">
        <f t="shared" si="341"/>
        <v>4408.6402358816758</v>
      </c>
      <c r="AH366">
        <f t="shared" si="342"/>
        <v>1.5705694994841906</v>
      </c>
      <c r="AI366" t="str">
        <f t="shared" si="323"/>
        <v>1+10.3603042877999i</v>
      </c>
      <c r="AJ366">
        <f t="shared" si="343"/>
        <v>10.408453532384387</v>
      </c>
      <c r="AK366">
        <f t="shared" si="344"/>
        <v>1.4745721521406203</v>
      </c>
      <c r="AL366" t="str">
        <f t="shared" si="324"/>
        <v>1-0.721584368853019i</v>
      </c>
      <c r="AM366">
        <f t="shared" si="345"/>
        <v>1.2331601685803064</v>
      </c>
      <c r="AN366">
        <f t="shared" si="346"/>
        <v>-0.62506571555983481</v>
      </c>
      <c r="AO366" s="58" t="str">
        <f t="shared" si="347"/>
        <v>0.258757855113317-0.227435340407588i</v>
      </c>
      <c r="AP366">
        <f t="shared" si="348"/>
        <v>-9.2561345435419096</v>
      </c>
      <c r="AQ366" s="60">
        <f t="shared" si="349"/>
        <v>-41.313870267141489</v>
      </c>
      <c r="AR366" t="str">
        <f t="shared" si="325"/>
        <v>-1.94444444444444</v>
      </c>
      <c r="AS366" t="str">
        <f t="shared" si="326"/>
        <v>1+10.6259531156921i</v>
      </c>
      <c r="AT366">
        <f t="shared" si="350"/>
        <v>10.672903991739393</v>
      </c>
      <c r="AU366">
        <f t="shared" si="351"/>
        <v>1.4769634821146436</v>
      </c>
      <c r="AV366" t="str">
        <f t="shared" si="327"/>
        <v>1+10.6259531156921i</v>
      </c>
      <c r="AW366">
        <f t="shared" si="352"/>
        <v>10.672903991739393</v>
      </c>
      <c r="AX366">
        <f t="shared" si="353"/>
        <v>1.4769634821146436</v>
      </c>
      <c r="AY366" t="str">
        <f t="shared" si="328"/>
        <v>1-0.000200232351046798i</v>
      </c>
      <c r="AZ366">
        <f t="shared" si="354"/>
        <v>1.0000000200464971</v>
      </c>
      <c r="BA366">
        <f t="shared" si="355"/>
        <v>-2.0023234837082655E-4</v>
      </c>
      <c r="BB366" s="58" t="str">
        <f t="shared" si="356"/>
        <v>-0.0170335558388363+0.181387106419589i</v>
      </c>
      <c r="BC366">
        <f t="shared" si="357"/>
        <v>-14.789741095771385</v>
      </c>
      <c r="BD366" s="60">
        <f t="shared" si="358"/>
        <v>95.364753511401432</v>
      </c>
      <c r="BE366" s="58" t="str">
        <f t="shared" si="359"/>
        <v>0.025508614530318-0.0101603042586181i</v>
      </c>
      <c r="BF366" s="37">
        <f t="shared" si="360"/>
        <v>-31.226740455262771</v>
      </c>
      <c r="BG366" s="60">
        <f t="shared" si="361"/>
        <v>-21.717824823618116</v>
      </c>
      <c r="BH366" s="58" t="str">
        <f t="shared" si="362"/>
        <v>0.0368462719202764+0.0508093711729012i</v>
      </c>
      <c r="BI366" s="37">
        <f t="shared" si="363"/>
        <v>-24.045875639313298</v>
      </c>
      <c r="BJ366" s="60">
        <f t="shared" si="364"/>
        <v>54.050883244259964</v>
      </c>
      <c r="BK366">
        <f t="shared" si="365"/>
        <v>-31.226740455262771</v>
      </c>
      <c r="BL366" s="60">
        <f t="shared" si="366"/>
        <v>-21.717824823618116</v>
      </c>
      <c r="BN366">
        <f t="shared" si="367"/>
        <v>0</v>
      </c>
      <c r="BO366">
        <f t="shared" si="368"/>
        <v>0</v>
      </c>
    </row>
    <row r="367" spans="13:67" ht="14.25" x14ac:dyDescent="0.2">
      <c r="M367" s="66">
        <v>49</v>
      </c>
      <c r="N367" s="36">
        <f t="shared" si="316"/>
        <v>30902.954325135954</v>
      </c>
      <c r="O367" s="91" t="str">
        <f t="shared" si="317"/>
        <v>99.7340425531915</v>
      </c>
      <c r="P367" s="67" t="str">
        <f t="shared" si="318"/>
        <v>1+5639.16317851161i</v>
      </c>
      <c r="Q367" s="67">
        <f t="shared" si="329"/>
        <v>5639.1632671772468</v>
      </c>
      <c r="R367" s="67">
        <f t="shared" si="330"/>
        <v>1.5706189955211132</v>
      </c>
      <c r="S367" s="67" t="str">
        <f t="shared" si="319"/>
        <v>1+10.6016267756018i</v>
      </c>
      <c r="T367" s="67">
        <f t="shared" si="331"/>
        <v>10.648684908905748</v>
      </c>
      <c r="U367" s="67">
        <f t="shared" si="332"/>
        <v>1.4767494405100774</v>
      </c>
      <c r="V367" t="str">
        <f t="shared" si="320"/>
        <v>1-1.09511309550173i</v>
      </c>
      <c r="W367" s="67">
        <f t="shared" si="333"/>
        <v>1.4829945016551416</v>
      </c>
      <c r="X367" s="67">
        <f t="shared" si="334"/>
        <v>-0.83076460950461106</v>
      </c>
      <c r="Y367" t="str">
        <f t="shared" si="321"/>
        <v>0.773966251829245+1.69275528491811i</v>
      </c>
      <c r="Z367" s="67">
        <f t="shared" si="335"/>
        <v>1.8613017524272635</v>
      </c>
      <c r="AA367" s="67">
        <f t="shared" si="336"/>
        <v>1.1419522060602214</v>
      </c>
      <c r="AB367" s="92" t="str">
        <f t="shared" si="337"/>
        <v>-0.0713846817061548-0.131986441120504i</v>
      </c>
      <c r="AC367" s="37">
        <f t="shared" si="338"/>
        <v>-16.475050292549195</v>
      </c>
      <c r="AD367" s="60">
        <f t="shared" si="339"/>
        <v>-118.40667703325596</v>
      </c>
      <c r="AE367" t="str">
        <f t="shared" si="340"/>
        <v>118.329284003155</v>
      </c>
      <c r="AF367" t="str">
        <f t="shared" si="322"/>
        <v>1+4511.33054280929i</v>
      </c>
      <c r="AG367">
        <f t="shared" si="341"/>
        <v>4511.3306536413356</v>
      </c>
      <c r="AH367">
        <f t="shared" si="342"/>
        <v>1.5705746627039743</v>
      </c>
      <c r="AI367" t="str">
        <f t="shared" si="323"/>
        <v>1+10.6016267756018i</v>
      </c>
      <c r="AJ367">
        <f t="shared" si="343"/>
        <v>10.648684908905748</v>
      </c>
      <c r="AK367">
        <f t="shared" si="344"/>
        <v>1.4767494405100774</v>
      </c>
      <c r="AL367" t="str">
        <f t="shared" si="324"/>
        <v>1-0.738392227986625i</v>
      </c>
      <c r="AM367">
        <f t="shared" si="345"/>
        <v>1.2430700231085343</v>
      </c>
      <c r="AN367">
        <f t="shared" si="346"/>
        <v>-0.63603064951708288</v>
      </c>
      <c r="AO367" s="58" t="str">
        <f t="shared" si="347"/>
        <v>0.258757581702155-0.231499541912783i</v>
      </c>
      <c r="AP367">
        <f t="shared" si="348"/>
        <v>-9.1884170545832227</v>
      </c>
      <c r="AQ367" s="60">
        <f t="shared" si="349"/>
        <v>-41.817661101880581</v>
      </c>
      <c r="AR367" t="str">
        <f t="shared" si="325"/>
        <v>-1.94444444444444</v>
      </c>
      <c r="AS367" t="str">
        <f t="shared" si="326"/>
        <v>1+10.8734633595916i</v>
      </c>
      <c r="AT367">
        <f t="shared" si="350"/>
        <v>10.919350046242727</v>
      </c>
      <c r="AU367">
        <f t="shared" si="351"/>
        <v>1.4790872845442409</v>
      </c>
      <c r="AV367" t="str">
        <f t="shared" si="327"/>
        <v>1+10.8734633595916i</v>
      </c>
      <c r="AW367">
        <f t="shared" si="352"/>
        <v>10.919350046242727</v>
      </c>
      <c r="AX367">
        <f t="shared" si="353"/>
        <v>1.4790872845442409</v>
      </c>
      <c r="AY367" t="str">
        <f t="shared" si="328"/>
        <v>1-0.000195674506282421i</v>
      </c>
      <c r="AZ367">
        <f t="shared" si="354"/>
        <v>1.000000019144256</v>
      </c>
      <c r="BA367">
        <f t="shared" si="355"/>
        <v>-1.9567450378505914E-4</v>
      </c>
      <c r="BB367" s="58" t="str">
        <f t="shared" si="356"/>
        <v>-0.0162733493150522+0.177328145721715i</v>
      </c>
      <c r="BC367">
        <f t="shared" si="357"/>
        <v>-14.988024820305883</v>
      </c>
      <c r="BD367" s="60">
        <f t="shared" si="358"/>
        <v>95.243329740924338</v>
      </c>
      <c r="BE367" s="58" t="str">
        <f t="shared" si="359"/>
        <v>0.0245665787254554-0.0105106517786827i</v>
      </c>
      <c r="BF367" s="37">
        <f t="shared" si="360"/>
        <v>-31.463075112855069</v>
      </c>
      <c r="BG367" s="60">
        <f t="shared" si="361"/>
        <v>-23.163347292331526</v>
      </c>
      <c r="BH367" s="58" t="str">
        <f t="shared" si="362"/>
        <v>0.0368405319878629+0.0496522750664996i</v>
      </c>
      <c r="BI367" s="37">
        <f t="shared" si="363"/>
        <v>-24.176441874889107</v>
      </c>
      <c r="BJ367" s="60">
        <f t="shared" si="364"/>
        <v>53.425668639043785</v>
      </c>
      <c r="BK367">
        <f t="shared" si="365"/>
        <v>-31.463075112855069</v>
      </c>
      <c r="BL367" s="60">
        <f t="shared" si="366"/>
        <v>-23.163347292331526</v>
      </c>
      <c r="BN367">
        <f t="shared" si="367"/>
        <v>0</v>
      </c>
      <c r="BO367">
        <f t="shared" si="368"/>
        <v>0</v>
      </c>
    </row>
    <row r="368" spans="13:67" ht="14.25" x14ac:dyDescent="0.2">
      <c r="M368" s="66">
        <v>50</v>
      </c>
      <c r="N368" s="36">
        <f t="shared" si="316"/>
        <v>31622.77660168384</v>
      </c>
      <c r="O368" s="91" t="str">
        <f t="shared" si="317"/>
        <v>99.7340425531915</v>
      </c>
      <c r="P368" s="67" t="str">
        <f t="shared" si="318"/>
        <v>1+5770.51616289859i</v>
      </c>
      <c r="Q368" s="67">
        <f t="shared" si="329"/>
        <v>5770.5162495459508</v>
      </c>
      <c r="R368" s="67">
        <f t="shared" si="330"/>
        <v>1.5706230320736343</v>
      </c>
      <c r="S368" s="67" t="str">
        <f t="shared" si="319"/>
        <v>1+10.8485703862493i</v>
      </c>
      <c r="T368" s="67">
        <f t="shared" si="331"/>
        <v>10.894561919848146</v>
      </c>
      <c r="U368" s="67">
        <f t="shared" si="332"/>
        <v>1.4788780322554111</v>
      </c>
      <c r="V368" t="str">
        <f t="shared" si="320"/>
        <v>1-1.1206215563818i</v>
      </c>
      <c r="W368" s="67">
        <f t="shared" si="333"/>
        <v>1.50192964969321</v>
      </c>
      <c r="X368" s="67">
        <f t="shared" si="334"/>
        <v>-0.84221722334306293</v>
      </c>
      <c r="Y368" t="str">
        <f t="shared" si="321"/>
        <v>0.763313609467456+1.73218462070291i</v>
      </c>
      <c r="Z368" s="67">
        <f t="shared" si="335"/>
        <v>1.892910781468033</v>
      </c>
      <c r="AA368" s="67">
        <f t="shared" si="336"/>
        <v>1.1557322217962107</v>
      </c>
      <c r="AB368" s="92" t="str">
        <f t="shared" si="337"/>
        <v>-0.0740922442793785-0.129736106658065i</v>
      </c>
      <c r="AC368" s="37">
        <f t="shared" si="338"/>
        <v>-16.512840559949371</v>
      </c>
      <c r="AD368" s="60">
        <f t="shared" si="339"/>
        <v>-119.7306721679975</v>
      </c>
      <c r="AE368" t="str">
        <f t="shared" si="340"/>
        <v>118.329284003155</v>
      </c>
      <c r="AF368" t="str">
        <f t="shared" si="322"/>
        <v>1+4616.41293031887i</v>
      </c>
      <c r="AG368">
        <f t="shared" si="341"/>
        <v>4616.4130386280704</v>
      </c>
      <c r="AH368">
        <f t="shared" si="342"/>
        <v>1.5705797083945383</v>
      </c>
      <c r="AI368" t="str">
        <f t="shared" si="323"/>
        <v>1+10.8485703862493i</v>
      </c>
      <c r="AJ368">
        <f t="shared" si="343"/>
        <v>10.894561919848146</v>
      </c>
      <c r="AK368">
        <f t="shared" si="344"/>
        <v>1.4788780322554111</v>
      </c>
      <c r="AL368" t="str">
        <f t="shared" si="324"/>
        <v>1-0.755591592453285i</v>
      </c>
      <c r="AM368">
        <f t="shared" si="345"/>
        <v>1.2533629380933884</v>
      </c>
      <c r="AN368">
        <f t="shared" si="346"/>
        <v>-0.64707013363309773</v>
      </c>
      <c r="AO368" s="58" t="str">
        <f t="shared" si="347"/>
        <v>0.258757320596521-0.235686487533907i</v>
      </c>
      <c r="AP368">
        <f t="shared" si="348"/>
        <v>-9.1185160456668584</v>
      </c>
      <c r="AQ368" s="60">
        <f t="shared" si="349"/>
        <v>-42.32850672319028</v>
      </c>
      <c r="AR368" t="str">
        <f t="shared" si="325"/>
        <v>-1.94444444444444</v>
      </c>
      <c r="AS368" t="str">
        <f t="shared" si="326"/>
        <v>1+11.1267388576916i</v>
      </c>
      <c r="AT368">
        <f t="shared" si="350"/>
        <v>11.17158527726769</v>
      </c>
      <c r="AU368">
        <f t="shared" si="351"/>
        <v>1.481163545306222</v>
      </c>
      <c r="AV368" t="str">
        <f t="shared" si="327"/>
        <v>1+11.1267388576916i</v>
      </c>
      <c r="AW368">
        <f t="shared" si="352"/>
        <v>11.17158527726769</v>
      </c>
      <c r="AX368">
        <f t="shared" si="353"/>
        <v>1.481163545306222</v>
      </c>
      <c r="AY368" t="str">
        <f t="shared" si="328"/>
        <v>1-0.000191220410731334i</v>
      </c>
      <c r="AZ368">
        <f t="shared" si="354"/>
        <v>1.0000000182826225</v>
      </c>
      <c r="BA368">
        <f t="shared" si="355"/>
        <v>-1.912204084006603E-4</v>
      </c>
      <c r="BB368" s="58" t="str">
        <f t="shared" si="356"/>
        <v>-0.0155467965035551+0.173356962234041i</v>
      </c>
      <c r="BC368">
        <f t="shared" si="357"/>
        <v>-15.186385156564786</v>
      </c>
      <c r="BD368" s="60">
        <f t="shared" si="358"/>
        <v>95.124623962961266</v>
      </c>
      <c r="BE368" s="58" t="str">
        <f t="shared" si="359"/>
        <v>0.0236425543866169-0.0108274255439991i</v>
      </c>
      <c r="BF368" s="37">
        <f t="shared" si="360"/>
        <v>-31.699225716514153</v>
      </c>
      <c r="BG368" s="60">
        <f t="shared" si="361"/>
        <v>-24.606048205036231</v>
      </c>
      <c r="BH368" s="58" t="str">
        <f t="shared" si="362"/>
        <v>0.03683504611137+0.0485215529147601i</v>
      </c>
      <c r="BI368" s="37">
        <f t="shared" si="363"/>
        <v>-24.30490120223164</v>
      </c>
      <c r="BJ368" s="60">
        <f t="shared" si="364"/>
        <v>52.796117239771036</v>
      </c>
      <c r="BK368">
        <f t="shared" si="365"/>
        <v>-31.699225716514153</v>
      </c>
      <c r="BL368" s="60">
        <f t="shared" si="366"/>
        <v>-24.606048205036231</v>
      </c>
      <c r="BN368">
        <f t="shared" si="367"/>
        <v>0</v>
      </c>
      <c r="BO368">
        <f t="shared" si="368"/>
        <v>0</v>
      </c>
    </row>
    <row r="369" spans="13:67" ht="14.25" x14ac:dyDescent="0.2">
      <c r="M369" s="66">
        <v>51</v>
      </c>
      <c r="N369" s="36">
        <f t="shared" si="316"/>
        <v>32359.365692962871</v>
      </c>
      <c r="O369" s="91" t="str">
        <f t="shared" si="317"/>
        <v>99.7340425531915</v>
      </c>
      <c r="P369" s="67" t="str">
        <f t="shared" si="318"/>
        <v>1+5904.92875133695i</v>
      </c>
      <c r="Q369" s="67">
        <f t="shared" si="329"/>
        <v>5904.9288360119763</v>
      </c>
      <c r="R369" s="67">
        <f t="shared" si="330"/>
        <v>1.5706269767430074</v>
      </c>
      <c r="S369" s="67" t="str">
        <f t="shared" si="319"/>
        <v>1+11.1012660525135i</v>
      </c>
      <c r="T369" s="67">
        <f t="shared" si="331"/>
        <v>11.146214961532397</v>
      </c>
      <c r="U369" s="67">
        <f t="shared" si="332"/>
        <v>1.4809589787860256</v>
      </c>
      <c r="V369" t="str">
        <f t="shared" si="320"/>
        <v>1-1.14672418564425i</v>
      </c>
      <c r="W369" s="67">
        <f t="shared" si="333"/>
        <v>1.5215046361879638</v>
      </c>
      <c r="X369" s="67">
        <f t="shared" si="334"/>
        <v>-0.85363997746811104</v>
      </c>
      <c r="Y369" t="str">
        <f t="shared" si="321"/>
        <v>0.752158923538249+1.77253238370178i</v>
      </c>
      <c r="Z369" s="67">
        <f t="shared" si="335"/>
        <v>1.925516579396223</v>
      </c>
      <c r="AA369" s="67">
        <f t="shared" si="336"/>
        <v>1.1694836276648537</v>
      </c>
      <c r="AB369" s="92" t="str">
        <f t="shared" si="337"/>
        <v>-0.0767365967388056-0.127438716375143i</v>
      </c>
      <c r="AC369" s="37">
        <f t="shared" si="338"/>
        <v>-16.550356263249217</v>
      </c>
      <c r="AD369" s="60">
        <f t="shared" si="339"/>
        <v>-121.05404184773332</v>
      </c>
      <c r="AE369" t="str">
        <f t="shared" si="340"/>
        <v>118.329284003155</v>
      </c>
      <c r="AF369" t="str">
        <f t="shared" si="322"/>
        <v>1+4723.94300106956i</v>
      </c>
      <c r="AG369">
        <f t="shared" si="341"/>
        <v>4723.9431069133416</v>
      </c>
      <c r="AH369">
        <f t="shared" si="342"/>
        <v>1.5705846392311735</v>
      </c>
      <c r="AI369" t="str">
        <f t="shared" si="323"/>
        <v>1+11.1012660525135i</v>
      </c>
      <c r="AJ369">
        <f t="shared" si="343"/>
        <v>11.146214961532397</v>
      </c>
      <c r="AK369">
        <f t="shared" si="344"/>
        <v>1.4809589787860256</v>
      </c>
      <c r="AL369" t="str">
        <f t="shared" si="324"/>
        <v>1-0.773191581583701i</v>
      </c>
      <c r="AM369">
        <f t="shared" si="345"/>
        <v>1.2640511151974454</v>
      </c>
      <c r="AN369">
        <f t="shared" si="346"/>
        <v>-0.65817925849113168</v>
      </c>
      <c r="AO369" s="58" t="str">
        <f t="shared" si="347"/>
        <v>0.258757071242578-0.239998397245306i</v>
      </c>
      <c r="AP369">
        <f t="shared" si="348"/>
        <v>-9.0464074260093703</v>
      </c>
      <c r="AQ369" s="60">
        <f t="shared" si="349"/>
        <v>-42.846065754171335</v>
      </c>
      <c r="AR369" t="str">
        <f t="shared" si="325"/>
        <v>-1.94444444444444</v>
      </c>
      <c r="AS369" t="str">
        <f t="shared" si="326"/>
        <v>1+11.3859139000138i</v>
      </c>
      <c r="AT369">
        <f t="shared" si="350"/>
        <v>11.429743450249768</v>
      </c>
      <c r="AU369">
        <f t="shared" si="351"/>
        <v>1.4831932936182</v>
      </c>
      <c r="AV369" t="str">
        <f t="shared" si="327"/>
        <v>1+11.3859139000138i</v>
      </c>
      <c r="AW369">
        <f t="shared" si="352"/>
        <v>11.429743450249768</v>
      </c>
      <c r="AX369">
        <f t="shared" si="353"/>
        <v>1.4831932936182</v>
      </c>
      <c r="AY369" t="str">
        <f t="shared" si="328"/>
        <v>1-0.000186867702773118i</v>
      </c>
      <c r="AZ369">
        <f t="shared" si="354"/>
        <v>1.000000017459769</v>
      </c>
      <c r="BA369">
        <f t="shared" si="355"/>
        <v>-1.8686770059800676E-4</v>
      </c>
      <c r="BB369" s="58" t="str">
        <f t="shared" si="356"/>
        <v>-0.0148524315383778+0.169471860568322i</v>
      </c>
      <c r="BC369">
        <f t="shared" si="357"/>
        <v>-15.384818711747851</v>
      </c>
      <c r="BD369" s="60">
        <f t="shared" si="358"/>
        <v>95.008577342997683</v>
      </c>
      <c r="BE369" s="58" t="str">
        <f t="shared" si="359"/>
        <v>0.0227370014220854-0.0111119190127059i</v>
      </c>
      <c r="BF369" s="37">
        <f t="shared" si="360"/>
        <v>-31.935174974997057</v>
      </c>
      <c r="BG369" s="60">
        <f t="shared" si="361"/>
        <v>-26.045464504735694</v>
      </c>
      <c r="BH369" s="58" t="str">
        <f t="shared" si="362"/>
        <v>0.0368298032288757+0.0474166020630959i</v>
      </c>
      <c r="BI369" s="37">
        <f t="shared" si="363"/>
        <v>-24.431226137757221</v>
      </c>
      <c r="BJ369" s="60">
        <f t="shared" si="364"/>
        <v>52.162511588826398</v>
      </c>
      <c r="BK369">
        <f t="shared" si="365"/>
        <v>-31.935174974997057</v>
      </c>
      <c r="BL369" s="60">
        <f t="shared" si="366"/>
        <v>-26.045464504735694</v>
      </c>
      <c r="BN369">
        <f t="shared" si="367"/>
        <v>0</v>
      </c>
      <c r="BO369">
        <f t="shared" si="368"/>
        <v>0</v>
      </c>
    </row>
    <row r="370" spans="13:67" ht="14.25" x14ac:dyDescent="0.2">
      <c r="M370" s="66">
        <v>52</v>
      </c>
      <c r="N370" s="36">
        <f t="shared" si="316"/>
        <v>33113.11214825909</v>
      </c>
      <c r="O370" s="91" t="str">
        <f t="shared" si="317"/>
        <v>99.7340425531915</v>
      </c>
      <c r="P370" s="67" t="str">
        <f t="shared" si="318"/>
        <v>1+6042.47221116024i</v>
      </c>
      <c r="Q370" s="67">
        <f t="shared" si="329"/>
        <v>6042.4722939078274</v>
      </c>
      <c r="R370" s="67">
        <f t="shared" si="330"/>
        <v>1.5706308316207487</v>
      </c>
      <c r="S370" s="67" t="str">
        <f t="shared" si="319"/>
        <v>1+11.3598477569812i</v>
      </c>
      <c r="T370" s="67">
        <f t="shared" si="331"/>
        <v>11.40377749089269</v>
      </c>
      <c r="U370" s="67">
        <f t="shared" si="332"/>
        <v>1.4829933113178373</v>
      </c>
      <c r="V370" t="str">
        <f t="shared" si="320"/>
        <v>1-1.17343482324861i</v>
      </c>
      <c r="W370" s="67">
        <f t="shared" si="333"/>
        <v>1.5417358024034131</v>
      </c>
      <c r="X370" s="67">
        <f t="shared" si="334"/>
        <v>-0.86502700584056946</v>
      </c>
      <c r="Y370" t="str">
        <f t="shared" si="321"/>
        <v>0.740478533457235+1.81381996683273i</v>
      </c>
      <c r="Z370" s="67">
        <f t="shared" si="335"/>
        <v>1.9591455613588449</v>
      </c>
      <c r="AA370" s="67">
        <f t="shared" si="336"/>
        <v>1.183204539302354</v>
      </c>
      <c r="AB370" s="92" t="str">
        <f t="shared" si="337"/>
        <v>-0.0793161757607826-0.125096722304749i</v>
      </c>
      <c r="AC370" s="37">
        <f t="shared" si="338"/>
        <v>-16.587585138640229</v>
      </c>
      <c r="AD370" s="60">
        <f t="shared" si="339"/>
        <v>-122.37628304259766</v>
      </c>
      <c r="AE370" t="str">
        <f t="shared" si="340"/>
        <v>118.329284003155</v>
      </c>
      <c r="AF370" t="str">
        <f t="shared" si="322"/>
        <v>1+4833.97776892819i</v>
      </c>
      <c r="AG370">
        <f t="shared" si="341"/>
        <v>4833.9778723626732</v>
      </c>
      <c r="AH370">
        <f t="shared" si="342"/>
        <v>1.570589457828274</v>
      </c>
      <c r="AI370" t="str">
        <f t="shared" si="323"/>
        <v>1+11.3598477569812i</v>
      </c>
      <c r="AJ370">
        <f t="shared" si="343"/>
        <v>11.40377749089269</v>
      </c>
      <c r="AK370">
        <f t="shared" si="344"/>
        <v>1.4829933113178373</v>
      </c>
      <c r="AL370" t="str">
        <f t="shared" si="324"/>
        <v>1-0.791201527125074i</v>
      </c>
      <c r="AM370">
        <f t="shared" si="345"/>
        <v>1.2751469940854072</v>
      </c>
      <c r="AN370">
        <f t="shared" si="346"/>
        <v>-0.66935294671178014</v>
      </c>
      <c r="AO370" s="58" t="str">
        <f t="shared" si="347"/>
        <v>0.258756833111406-0.244437557278926i</v>
      </c>
      <c r="AP370">
        <f t="shared" si="348"/>
        <v>-8.972068702763071</v>
      </c>
      <c r="AQ370" s="60">
        <f t="shared" si="349"/>
        <v>-43.369988347887691</v>
      </c>
      <c r="AR370" t="str">
        <f t="shared" si="325"/>
        <v>-1.94444444444444</v>
      </c>
      <c r="AS370" t="str">
        <f t="shared" si="326"/>
        <v>1+11.6511259045961i</v>
      </c>
      <c r="AT370">
        <f t="shared" si="350"/>
        <v>11.693961469269098</v>
      </c>
      <c r="AU370">
        <f t="shared" si="351"/>
        <v>1.4851775387440145</v>
      </c>
      <c r="AV370" t="str">
        <f t="shared" si="327"/>
        <v>1+11.6511259045961i</v>
      </c>
      <c r="AW370">
        <f t="shared" si="352"/>
        <v>11.693961469269098</v>
      </c>
      <c r="AX370">
        <f t="shared" si="353"/>
        <v>1.4851775387440145</v>
      </c>
      <c r="AY370" t="str">
        <f t="shared" si="328"/>
        <v>1-0.000182614074544398i</v>
      </c>
      <c r="AZ370">
        <f t="shared" si="354"/>
        <v>1.00000001667395</v>
      </c>
      <c r="BA370">
        <f t="shared" si="355"/>
        <v>-1.8261407251446605E-4</v>
      </c>
      <c r="BB370" s="58" t="str">
        <f t="shared" si="356"/>
        <v>-0.014188850308619+0.165671164309913i</v>
      </c>
      <c r="BC370">
        <f t="shared" si="357"/>
        <v>-15.583322240946416</v>
      </c>
      <c r="BD370" s="60">
        <f t="shared" si="358"/>
        <v>94.895132186705879</v>
      </c>
      <c r="BE370" s="58" t="str">
        <f t="shared" si="359"/>
        <v>0.0218503249805035-0.0113654245200176i</v>
      </c>
      <c r="BF370" s="37">
        <f t="shared" si="360"/>
        <v>-32.170907379586644</v>
      </c>
      <c r="BG370" s="60">
        <f t="shared" si="361"/>
        <v>-27.481150855891805</v>
      </c>
      <c r="BH370" s="58" t="str">
        <f t="shared" si="362"/>
        <v>0.0368247927441207+0.0463368337247476i</v>
      </c>
      <c r="BI370" s="37">
        <f t="shared" si="363"/>
        <v>-24.55539094370949</v>
      </c>
      <c r="BJ370" s="60">
        <f t="shared" si="364"/>
        <v>51.525143838818138</v>
      </c>
      <c r="BK370">
        <f t="shared" si="365"/>
        <v>-32.170907379586644</v>
      </c>
      <c r="BL370" s="60">
        <f t="shared" si="366"/>
        <v>-27.481150855891805</v>
      </c>
      <c r="BN370">
        <f t="shared" si="367"/>
        <v>0</v>
      </c>
      <c r="BO370">
        <f t="shared" si="368"/>
        <v>0</v>
      </c>
    </row>
    <row r="371" spans="13:67" ht="14.25" x14ac:dyDescent="0.2">
      <c r="M371" s="66">
        <v>53</v>
      </c>
      <c r="N371" s="36">
        <f t="shared" si="316"/>
        <v>33884.41561392029</v>
      </c>
      <c r="O371" s="91" t="str">
        <f t="shared" si="317"/>
        <v>99.7340425531915</v>
      </c>
      <c r="P371" s="67" t="str">
        <f t="shared" si="318"/>
        <v>1+6183.2194697315i</v>
      </c>
      <c r="Q371" s="67">
        <f t="shared" si="329"/>
        <v>6183.2195505955224</v>
      </c>
      <c r="R371" s="67">
        <f t="shared" si="330"/>
        <v>1.5706345987507642</v>
      </c>
      <c r="S371" s="67" t="str">
        <f t="shared" si="319"/>
        <v>1+11.6244526030952i</v>
      </c>
      <c r="T371" s="67">
        <f t="shared" si="331"/>
        <v>11.66738609636309</v>
      </c>
      <c r="U371" s="67">
        <f t="shared" si="332"/>
        <v>1.4849820410907604</v>
      </c>
      <c r="V371" t="str">
        <f t="shared" si="320"/>
        <v>1-1.20076763152852i</v>
      </c>
      <c r="W371" s="67">
        <f t="shared" si="333"/>
        <v>1.562639723329281</v>
      </c>
      <c r="X371" s="67">
        <f t="shared" si="334"/>
        <v>-0.87637253494798484</v>
      </c>
      <c r="Y371" t="str">
        <f t="shared" si="321"/>
        <v>0.728247663551031+1.85606926131886i</v>
      </c>
      <c r="Z371" s="67">
        <f t="shared" si="335"/>
        <v>1.9938249076286201</v>
      </c>
      <c r="AA371" s="67">
        <f t="shared" si="336"/>
        <v>1.196893304447425</v>
      </c>
      <c r="AB371" s="92" t="str">
        <f t="shared" si="337"/>
        <v>-0.0818295764373382-0.122712598639141i</v>
      </c>
      <c r="AC371" s="37">
        <f t="shared" si="338"/>
        <v>-16.624516636696583</v>
      </c>
      <c r="AD371" s="60">
        <f t="shared" si="339"/>
        <v>-123.69691246442426</v>
      </c>
      <c r="AE371" t="str">
        <f t="shared" si="340"/>
        <v>118.329284003155</v>
      </c>
      <c r="AF371" t="str">
        <f t="shared" si="322"/>
        <v>1+4946.5755757852i</v>
      </c>
      <c r="AG371">
        <f t="shared" si="341"/>
        <v>4946.5756768652282</v>
      </c>
      <c r="AH371">
        <f t="shared" si="342"/>
        <v>1.5705941667407226</v>
      </c>
      <c r="AI371" t="str">
        <f t="shared" si="323"/>
        <v>1+11.6244526030952i</v>
      </c>
      <c r="AJ371">
        <f t="shared" si="343"/>
        <v>11.66738609636309</v>
      </c>
      <c r="AK371">
        <f t="shared" si="344"/>
        <v>1.4849820410907604</v>
      </c>
      <c r="AL371" t="str">
        <f t="shared" si="324"/>
        <v>1-0.809630978188923i</v>
      </c>
      <c r="AM371">
        <f t="shared" si="345"/>
        <v>1.2866632507548945</v>
      </c>
      <c r="AN371">
        <f t="shared" si="346"/>
        <v>-0.68058596289244111</v>
      </c>
      <c r="AO371" s="58" t="str">
        <f t="shared" si="347"/>
        <v>0.258756605697905-0.249006321336496i</v>
      </c>
      <c r="AP371">
        <f t="shared" si="348"/>
        <v>-8.895479085930587</v>
      </c>
      <c r="AQ371" s="60">
        <f t="shared" si="349"/>
        <v>-43.899916744470573</v>
      </c>
      <c r="AR371" t="str">
        <f t="shared" si="325"/>
        <v>-1.94444444444444</v>
      </c>
      <c r="AS371" t="str">
        <f t="shared" si="326"/>
        <v>1+11.922515490354i</v>
      </c>
      <c r="AT371">
        <f t="shared" si="350"/>
        <v>11.964379449755471</v>
      </c>
      <c r="AU371">
        <f t="shared" si="351"/>
        <v>1.4871172702226079</v>
      </c>
      <c r="AV371" t="str">
        <f t="shared" si="327"/>
        <v>1+11.922515490354i</v>
      </c>
      <c r="AW371">
        <f t="shared" si="352"/>
        <v>11.964379449755471</v>
      </c>
      <c r="AX371">
        <f t="shared" si="353"/>
        <v>1.4871172702226079</v>
      </c>
      <c r="AY371" t="str">
        <f t="shared" si="328"/>
        <v>1-0.000178457270715184i</v>
      </c>
      <c r="AZ371">
        <f t="shared" si="354"/>
        <v>1.0000000159234985</v>
      </c>
      <c r="BA371">
        <f t="shared" si="355"/>
        <v>-1.7845726882074128E-4</v>
      </c>
      <c r="BB371" s="58" t="str">
        <f t="shared" si="356"/>
        <v>-0.013554708040857+0.161953216832956i</v>
      </c>
      <c r="BC371">
        <f t="shared" si="357"/>
        <v>-15.781892640903635</v>
      </c>
      <c r="BD371" s="60">
        <f t="shared" si="358"/>
        <v>94.784231926901754</v>
      </c>
      <c r="BE371" s="58" t="str">
        <f t="shared" si="359"/>
        <v>0.0209828761132554-0.0115892296886168i</v>
      </c>
      <c r="BF371" s="37">
        <f t="shared" si="360"/>
        <v>-32.406409277600218</v>
      </c>
      <c r="BG371" s="60">
        <f t="shared" si="361"/>
        <v>-28.912680537522615</v>
      </c>
      <c r="BH371" s="58" t="str">
        <f t="shared" si="362"/>
        <v>0.036820004508308+0.0452816726555965i</v>
      </c>
      <c r="BI371" s="37">
        <f t="shared" si="363"/>
        <v>-24.677371726834227</v>
      </c>
      <c r="BJ371" s="60">
        <f t="shared" si="364"/>
        <v>50.884315182431166</v>
      </c>
      <c r="BK371">
        <f t="shared" si="365"/>
        <v>-32.406409277600218</v>
      </c>
      <c r="BL371" s="60">
        <f t="shared" si="366"/>
        <v>-28.912680537522615</v>
      </c>
      <c r="BN371">
        <f t="shared" si="367"/>
        <v>0</v>
      </c>
      <c r="BO371">
        <f t="shared" si="368"/>
        <v>0</v>
      </c>
    </row>
    <row r="372" spans="13:67" ht="14.25" x14ac:dyDescent="0.2">
      <c r="M372" s="66">
        <v>54</v>
      </c>
      <c r="N372" s="36">
        <f t="shared" si="316"/>
        <v>34673.685045253202</v>
      </c>
      <c r="O372" s="91" t="str">
        <f t="shared" si="317"/>
        <v>99.7340425531915</v>
      </c>
      <c r="P372" s="67" t="str">
        <f t="shared" si="318"/>
        <v>1+6327.24515311013i</v>
      </c>
      <c r="Q372" s="67">
        <f t="shared" si="329"/>
        <v>6327.2452321334622</v>
      </c>
      <c r="R372" s="67">
        <f t="shared" si="330"/>
        <v>1.5706382801304359</v>
      </c>
      <c r="S372" s="67" t="str">
        <f t="shared" si="319"/>
        <v>1+11.8952208878471i</v>
      </c>
      <c r="T372" s="67">
        <f t="shared" si="331"/>
        <v>11.937180570414187</v>
      </c>
      <c r="U372" s="67">
        <f t="shared" si="332"/>
        <v>1.4869261595965941</v>
      </c>
      <c r="V372" t="str">
        <f t="shared" si="320"/>
        <v>1-1.22873710270068i</v>
      </c>
      <c r="W372" s="67">
        <f t="shared" si="333"/>
        <v>1.5842332112265736</v>
      </c>
      <c r="X372" s="67">
        <f t="shared" si="334"/>
        <v>-0.88767089788321296</v>
      </c>
      <c r="Y372" t="str">
        <f t="shared" si="321"/>
        <v>0.715440370504755+1.89930266829529i</v>
      </c>
      <c r="Z372" s="67">
        <f t="shared" si="335"/>
        <v>2.0295826047593111</v>
      </c>
      <c r="AA372" s="67">
        <f t="shared" si="336"/>
        <v>1.2105485029027927</v>
      </c>
      <c r="AB372" s="92" t="str">
        <f t="shared" si="337"/>
        <v>-0.0842755490342611-0.120288830785079i</v>
      </c>
      <c r="AC372" s="37">
        <f t="shared" si="338"/>
        <v>-16.661141991801628</v>
      </c>
      <c r="AD372" s="60">
        <f t="shared" si="339"/>
        <v>-125.01546735818626</v>
      </c>
      <c r="AE372" t="str">
        <f t="shared" si="340"/>
        <v>118.329284003155</v>
      </c>
      <c r="AF372" t="str">
        <f t="shared" si="322"/>
        <v>1+5061.79612248811i</v>
      </c>
      <c r="AG372">
        <f t="shared" si="341"/>
        <v>5061.7962212672755</v>
      </c>
      <c r="AH372">
        <f t="shared" si="342"/>
        <v>1.570598768465246</v>
      </c>
      <c r="AI372" t="str">
        <f t="shared" si="323"/>
        <v>1+11.8952208878471i</v>
      </c>
      <c r="AJ372">
        <f t="shared" si="343"/>
        <v>11.937180570414187</v>
      </c>
      <c r="AK372">
        <f t="shared" si="344"/>
        <v>1.4869261595965941</v>
      </c>
      <c r="AL372" t="str">
        <f t="shared" si="324"/>
        <v>1-0.828489706314134i</v>
      </c>
      <c r="AM372">
        <f t="shared" si="345"/>
        <v>1.2986127958204017</v>
      </c>
      <c r="AN372">
        <f t="shared" si="346"/>
        <v>-0.69187292445348214</v>
      </c>
      <c r="AO372" s="58" t="str">
        <f t="shared" si="347"/>
        <v>0.258756388519697-0.253707111837485i</v>
      </c>
      <c r="AP372">
        <f t="shared" si="348"/>
        <v>-8.8166195876488302</v>
      </c>
      <c r="AQ372" s="60">
        <f t="shared" si="349"/>
        <v>-44.43548587958059</v>
      </c>
      <c r="AR372" t="str">
        <f t="shared" si="325"/>
        <v>-1.94444444444444</v>
      </c>
      <c r="AS372" t="str">
        <f t="shared" si="326"/>
        <v>1+12.200226551638i</v>
      </c>
      <c r="AT372">
        <f t="shared" si="350"/>
        <v>12.241140792887437</v>
      </c>
      <c r="AU372">
        <f t="shared" si="351"/>
        <v>1.4890134581060193</v>
      </c>
      <c r="AV372" t="str">
        <f t="shared" si="327"/>
        <v>1+12.200226551638i</v>
      </c>
      <c r="AW372">
        <f t="shared" si="352"/>
        <v>12.241140792887437</v>
      </c>
      <c r="AX372">
        <f t="shared" si="353"/>
        <v>1.4890134581060193</v>
      </c>
      <c r="AY372" t="str">
        <f t="shared" si="328"/>
        <v>1-0.000174395087293066i</v>
      </c>
      <c r="AZ372">
        <f t="shared" si="354"/>
        <v>1.0000000152068231</v>
      </c>
      <c r="BA372">
        <f t="shared" si="355"/>
        <v>-1.7439508552506919E-4</v>
      </c>
      <c r="BB372" s="58" t="str">
        <f t="shared" si="356"/>
        <v>-0.0129487169597336+0.158316382020413i</v>
      </c>
      <c r="BC372">
        <f t="shared" si="357"/>
        <v>-15.980526944018699</v>
      </c>
      <c r="BD372" s="60">
        <f t="shared" si="358"/>
        <v>94.675821109976852</v>
      </c>
      <c r="BE372" s="58" t="str">
        <f t="shared" si="359"/>
        <v>0.0201349527184302-0.0117846139926349i</v>
      </c>
      <c r="BF372" s="37">
        <f t="shared" si="360"/>
        <v>-32.641668935820306</v>
      </c>
      <c r="BG372" s="60">
        <f t="shared" si="361"/>
        <v>-30.33964624820949</v>
      </c>
      <c r="BH372" s="58" t="str">
        <f t="shared" si="362"/>
        <v>0.0368154288024945+0.0442505568369618i</v>
      </c>
      <c r="BI372" s="37">
        <f t="shared" si="363"/>
        <v>-24.797146531667529</v>
      </c>
      <c r="BJ372" s="60">
        <f t="shared" si="364"/>
        <v>50.240335230396255</v>
      </c>
      <c r="BK372">
        <f t="shared" si="365"/>
        <v>-32.641668935820306</v>
      </c>
      <c r="BL372" s="60">
        <f t="shared" si="366"/>
        <v>-30.33964624820949</v>
      </c>
      <c r="BN372">
        <f t="shared" si="367"/>
        <v>0</v>
      </c>
      <c r="BO372">
        <f t="shared" si="368"/>
        <v>0</v>
      </c>
    </row>
    <row r="373" spans="13:67" ht="14.25" x14ac:dyDescent="0.2">
      <c r="M373" s="66">
        <v>55</v>
      </c>
      <c r="N373" s="36">
        <f t="shared" si="316"/>
        <v>35481.33892335758</v>
      </c>
      <c r="O373" s="91" t="str">
        <f t="shared" si="317"/>
        <v>99.7340425531915</v>
      </c>
      <c r="P373" s="67" t="str">
        <f t="shared" si="318"/>
        <v>1+6474.62562561999i</v>
      </c>
      <c r="Q373" s="67">
        <f t="shared" si="329"/>
        <v>6474.6257028445325</v>
      </c>
      <c r="R373" s="67">
        <f t="shared" si="330"/>
        <v>1.57064187771168</v>
      </c>
      <c r="S373" s="67" t="str">
        <f t="shared" si="319"/>
        <v>1+12.1722961761656i</v>
      </c>
      <c r="T373" s="67">
        <f t="shared" si="331"/>
        <v>12.213303983783247</v>
      </c>
      <c r="U373" s="67">
        <f t="shared" si="332"/>
        <v>1.4888266388161724</v>
      </c>
      <c r="V373" t="str">
        <f t="shared" si="320"/>
        <v>1-1.25735806654897i</v>
      </c>
      <c r="W373" s="67">
        <f t="shared" si="333"/>
        <v>1.6065333197651908</v>
      </c>
      <c r="X373" s="67">
        <f t="shared" si="334"/>
        <v>-0.89891654776515417</v>
      </c>
      <c r="Y373" t="str">
        <f t="shared" si="321"/>
        <v>0.702029488332739+1.94354311068672i</v>
      </c>
      <c r="Z373" s="67">
        <f t="shared" si="335"/>
        <v>2.0664474891916655</v>
      </c>
      <c r="AA373" s="67">
        <f t="shared" si="336"/>
        <v>1.2241689455738778</v>
      </c>
      <c r="AB373" s="92" t="str">
        <f t="shared" si="337"/>
        <v>-0.0866529949571254-0.117827905009613i</v>
      </c>
      <c r="AC373" s="37">
        <f t="shared" si="338"/>
        <v>-16.69745428123445</v>
      </c>
      <c r="AD373" s="60">
        <f t="shared" si="339"/>
        <v>-126.33150620234379</v>
      </c>
      <c r="AE373" t="str">
        <f t="shared" si="340"/>
        <v>118.329284003155</v>
      </c>
      <c r="AF373" t="str">
        <f t="shared" si="322"/>
        <v>1+5179.700500496i</v>
      </c>
      <c r="AG373">
        <f t="shared" si="341"/>
        <v>5179.7005970266773</v>
      </c>
      <c r="AH373">
        <f t="shared" si="342"/>
        <v>1.5706032654417392</v>
      </c>
      <c r="AI373" t="str">
        <f t="shared" si="323"/>
        <v>1+12.1722961761656i</v>
      </c>
      <c r="AJ373">
        <f t="shared" si="343"/>
        <v>12.213303983783247</v>
      </c>
      <c r="AK373">
        <f t="shared" si="344"/>
        <v>1.4888266388161724</v>
      </c>
      <c r="AL373" t="str">
        <f t="shared" si="324"/>
        <v>1-0.847787710647997i</v>
      </c>
      <c r="AM373">
        <f t="shared" si="345"/>
        <v>1.3110087727874944</v>
      </c>
      <c r="AN373">
        <f t="shared" si="346"/>
        <v>-0.70320831334643796</v>
      </c>
      <c r="AO373" s="58" t="str">
        <f t="shared" si="347"/>
        <v>0.258756181116115-0.258542421203519i</v>
      </c>
      <c r="AP373">
        <f t="shared" si="348"/>
        <v>-8.7354731151116454</v>
      </c>
      <c r="AQ373" s="60">
        <f t="shared" si="349"/>
        <v>-44.976324041725981</v>
      </c>
      <c r="AR373" t="str">
        <f t="shared" si="325"/>
        <v>-1.94444444444444</v>
      </c>
      <c r="AS373" t="str">
        <f t="shared" si="326"/>
        <v>1+12.4844063345288i</v>
      </c>
      <c r="AT373">
        <f t="shared" si="350"/>
        <v>12.524392261727625</v>
      </c>
      <c r="AU373">
        <f t="shared" si="351"/>
        <v>1.4908670532054304</v>
      </c>
      <c r="AV373" t="str">
        <f t="shared" si="327"/>
        <v>1+12.4844063345288i</v>
      </c>
      <c r="AW373">
        <f t="shared" si="352"/>
        <v>12.524392261727625</v>
      </c>
      <c r="AX373">
        <f t="shared" si="353"/>
        <v>1.4908670532054304</v>
      </c>
      <c r="AY373" t="str">
        <f t="shared" si="328"/>
        <v>1-0.000170425370454621i</v>
      </c>
      <c r="AZ373">
        <f t="shared" si="354"/>
        <v>1.0000000145224035</v>
      </c>
      <c r="BA373">
        <f t="shared" si="355"/>
        <v>-1.7042536880463037E-4</v>
      </c>
      <c r="BB373" s="58" t="str">
        <f t="shared" si="356"/>
        <v>-0.0123696440257311+0.154759044895476i</v>
      </c>
      <c r="BC373">
        <f t="shared" si="357"/>
        <v>-16.179222312589779</v>
      </c>
      <c r="BD373" s="60">
        <f t="shared" si="358"/>
        <v>94.569845381868433</v>
      </c>
      <c r="BE373" s="58" t="str">
        <f t="shared" si="359"/>
        <v>0.0193068007427057-0.0119528454956307i</v>
      </c>
      <c r="BF373" s="37">
        <f t="shared" si="360"/>
        <v>-32.876676593824214</v>
      </c>
      <c r="BG373" s="60">
        <f t="shared" si="361"/>
        <v>-31.761660820475434</v>
      </c>
      <c r="BH373" s="58" t="str">
        <f t="shared" si="362"/>
        <v>0.0368110563205565+0.0432429371661689i</v>
      </c>
      <c r="BI373" s="37">
        <f t="shared" si="363"/>
        <v>-24.914695427701425</v>
      </c>
      <c r="BJ373" s="60">
        <f t="shared" si="364"/>
        <v>49.593521340142466</v>
      </c>
      <c r="BK373">
        <f t="shared" si="365"/>
        <v>-32.876676593824214</v>
      </c>
      <c r="BL373" s="60">
        <f t="shared" si="366"/>
        <v>-31.761660820475434</v>
      </c>
      <c r="BN373">
        <f t="shared" si="367"/>
        <v>0</v>
      </c>
      <c r="BO373">
        <f t="shared" si="368"/>
        <v>0</v>
      </c>
    </row>
    <row r="374" spans="13:67" ht="14.25" x14ac:dyDescent="0.2">
      <c r="M374" s="66">
        <v>56</v>
      </c>
      <c r="N374" s="36">
        <f t="shared" si="316"/>
        <v>36307.805477010232</v>
      </c>
      <c r="O374" s="91" t="str">
        <f t="shared" si="317"/>
        <v>99.7340425531915</v>
      </c>
      <c r="P374" s="67" t="str">
        <f t="shared" si="318"/>
        <v>1+6625.43903033833i</v>
      </c>
      <c r="Q374" s="67">
        <f t="shared" si="329"/>
        <v>6625.439105805026</v>
      </c>
      <c r="R374" s="67">
        <f t="shared" si="330"/>
        <v>1.5706453934019806</v>
      </c>
      <c r="S374" s="67" t="str">
        <f t="shared" si="319"/>
        <v>1+12.4558253770361i</v>
      </c>
      <c r="T374" s="67">
        <f t="shared" si="331"/>
        <v>12.495902761434104</v>
      </c>
      <c r="U374" s="67">
        <f t="shared" si="332"/>
        <v>1.4906844314646481</v>
      </c>
      <c r="V374" t="str">
        <f t="shared" si="320"/>
        <v>1-1.28664569828724i</v>
      </c>
      <c r="W374" s="67">
        <f t="shared" si="333"/>
        <v>1.6295573487671611</v>
      </c>
      <c r="X374" s="67">
        <f t="shared" si="334"/>
        <v>-0.91010407042890606</v>
      </c>
      <c r="Y374" t="str">
        <f t="shared" si="321"/>
        <v>0.687986570755878+1.98881404536126i</v>
      </c>
      <c r="Z374" s="67">
        <f t="shared" si="335"/>
        <v>2.1044492934177943</v>
      </c>
      <c r="AA374" s="67">
        <f t="shared" si="336"/>
        <v>1.237753672623761</v>
      </c>
      <c r="AB374" s="92" t="str">
        <f t="shared" si="337"/>
        <v>-0.0889609620039258-0.115332298730555i</v>
      </c>
      <c r="AC374" s="37">
        <f t="shared" si="338"/>
        <v>-16.733448474010526</v>
      </c>
      <c r="AD374" s="60">
        <f t="shared" si="339"/>
        <v>-127.64460931622754</v>
      </c>
      <c r="AE374" t="str">
        <f t="shared" si="340"/>
        <v>118.329284003155</v>
      </c>
      <c r="AF374" t="str">
        <f t="shared" si="322"/>
        <v>1+5300.35122427066i</v>
      </c>
      <c r="AG374">
        <f t="shared" si="341"/>
        <v>5300.35131860403</v>
      </c>
      <c r="AH374">
        <f t="shared" si="342"/>
        <v>1.5706076600545575</v>
      </c>
      <c r="AI374" t="str">
        <f t="shared" si="323"/>
        <v>1+12.4558253770361i</v>
      </c>
      <c r="AJ374">
        <f t="shared" si="343"/>
        <v>12.495902761434104</v>
      </c>
      <c r="AK374">
        <f t="shared" si="344"/>
        <v>1.4906844314646481</v>
      </c>
      <c r="AL374" t="str">
        <f t="shared" si="324"/>
        <v>1-0.867535223247838i</v>
      </c>
      <c r="AM374">
        <f t="shared" si="345"/>
        <v>1.3238645563560028</v>
      </c>
      <c r="AN374">
        <f t="shared" si="346"/>
        <v>-0.714586488570364</v>
      </c>
      <c r="AO374" s="58" t="str">
        <f t="shared" si="347"/>
        <v>0.258755983047233-0.263514813179884i</v>
      </c>
      <c r="AP374">
        <f t="shared" si="348"/>
        <v>-8.6520245564362526</v>
      </c>
      <c r="AQ374" s="60">
        <f t="shared" si="349"/>
        <v>-45.522053575416336</v>
      </c>
      <c r="AR374" t="str">
        <f t="shared" si="325"/>
        <v>-1.94444444444444</v>
      </c>
      <c r="AS374" t="str">
        <f t="shared" si="326"/>
        <v>1+12.7752055149087i</v>
      </c>
      <c r="AT374">
        <f t="shared" si="350"/>
        <v>12.814284059133138</v>
      </c>
      <c r="AU374">
        <f t="shared" si="351"/>
        <v>1.4926789873442274</v>
      </c>
      <c r="AV374" t="str">
        <f t="shared" si="327"/>
        <v>1+12.7752055149087i</v>
      </c>
      <c r="AW374">
        <f t="shared" si="352"/>
        <v>12.814284059133138</v>
      </c>
      <c r="AX374">
        <f t="shared" si="353"/>
        <v>1.4926789873442274</v>
      </c>
      <c r="AY374" t="str">
        <f t="shared" si="328"/>
        <v>1-0.000166546015403438i</v>
      </c>
      <c r="AZ374">
        <f t="shared" si="354"/>
        <v>1.0000000138687877</v>
      </c>
      <c r="BA374">
        <f t="shared" si="355"/>
        <v>-1.6654601386357714E-4</v>
      </c>
      <c r="BB374" s="58" t="str">
        <f t="shared" si="356"/>
        <v>-0.0118163087490111+0.151279612170626i</v>
      </c>
      <c r="BC374">
        <f t="shared" si="357"/>
        <v>-16.377976033284707</v>
      </c>
      <c r="BD374" s="60">
        <f t="shared" si="358"/>
        <v>94.46625147362505</v>
      </c>
      <c r="BE374" s="58" t="str">
        <f t="shared" si="359"/>
        <v>0.0184986156163526-0.0120951777797463i</v>
      </c>
      <c r="BF374" s="37">
        <f t="shared" si="360"/>
        <v>-33.111424507295212</v>
      </c>
      <c r="BG374" s="60">
        <f t="shared" si="361"/>
        <v>-33.17835784260253</v>
      </c>
      <c r="BH374" s="58" t="str">
        <f t="shared" si="362"/>
        <v>0.0368068781527278+0.042258277154686i</v>
      </c>
      <c r="BI374" s="37">
        <f t="shared" si="363"/>
        <v>-25.030000589720956</v>
      </c>
      <c r="BJ374" s="60">
        <f t="shared" si="364"/>
        <v>48.944197898208749</v>
      </c>
      <c r="BK374">
        <f t="shared" si="365"/>
        <v>-33.111424507295212</v>
      </c>
      <c r="BL374" s="60">
        <f t="shared" si="366"/>
        <v>-33.17835784260253</v>
      </c>
      <c r="BN374">
        <f t="shared" si="367"/>
        <v>0</v>
      </c>
      <c r="BO374">
        <f t="shared" si="368"/>
        <v>0</v>
      </c>
    </row>
    <row r="375" spans="13:67" ht="14.25" x14ac:dyDescent="0.2">
      <c r="M375" s="66">
        <v>57</v>
      </c>
      <c r="N375" s="36">
        <f t="shared" si="316"/>
        <v>37153.522909717351</v>
      </c>
      <c r="O375" s="91" t="str">
        <f t="shared" si="317"/>
        <v>99.7340425531915</v>
      </c>
      <c r="P375" s="67" t="str">
        <f t="shared" si="318"/>
        <v>1+6779.7653305286i</v>
      </c>
      <c r="Q375" s="67">
        <f t="shared" si="329"/>
        <v>6779.7654042774657</v>
      </c>
      <c r="R375" s="67">
        <f t="shared" si="330"/>
        <v>1.5706488290654037</v>
      </c>
      <c r="S375" s="67" t="str">
        <f t="shared" si="319"/>
        <v>1+12.7459588213938i</v>
      </c>
      <c r="T375" s="67">
        <f t="shared" si="331"/>
        <v>12.785126760289335</v>
      </c>
      <c r="U375" s="67">
        <f t="shared" si="332"/>
        <v>1.4925004712439025</v>
      </c>
      <c r="V375" t="str">
        <f t="shared" si="320"/>
        <v>1-1.31661552660551i</v>
      </c>
      <c r="W375" s="67">
        <f t="shared" si="333"/>
        <v>1.653322849566504</v>
      </c>
      <c r="X375" s="67">
        <f t="shared" si="334"/>
        <v>-0.92122819632115305</v>
      </c>
      <c r="Y375" t="str">
        <f t="shared" si="321"/>
        <v>0.673281830863221+2.03513947556771i</v>
      </c>
      <c r="Z375" s="67">
        <f t="shared" si="335"/>
        <v>2.1436186948206402</v>
      </c>
      <c r="AA375" s="67">
        <f t="shared" si="336"/>
        <v>1.2513019507873842</v>
      </c>
      <c r="AB375" s="92" t="str">
        <f t="shared" si="337"/>
        <v>-0.0911986389855607-0.112804471495753i</v>
      </c>
      <c r="AC375" s="37">
        <f t="shared" si="338"/>
        <v>-16.76912146967409</v>
      </c>
      <c r="AD375" s="60">
        <f t="shared" si="339"/>
        <v>-128.95437937330539</v>
      </c>
      <c r="AE375" t="str">
        <f t="shared" si="340"/>
        <v>118.329284003155</v>
      </c>
      <c r="AF375" t="str">
        <f t="shared" si="322"/>
        <v>1+5423.81226442288i</v>
      </c>
      <c r="AG375">
        <f t="shared" si="341"/>
        <v>5423.8123566089598</v>
      </c>
      <c r="AH375">
        <f t="shared" si="342"/>
        <v>1.5706119546337824</v>
      </c>
      <c r="AI375" t="str">
        <f t="shared" si="323"/>
        <v>1+12.7459588213938i</v>
      </c>
      <c r="AJ375">
        <f t="shared" si="343"/>
        <v>12.785126760289335</v>
      </c>
      <c r="AK375">
        <f t="shared" si="344"/>
        <v>1.4925004712439025</v>
      </c>
      <c r="AL375" t="str">
        <f t="shared" si="324"/>
        <v>1-0.887742714506232i</v>
      </c>
      <c r="AM375">
        <f t="shared" si="345"/>
        <v>1.3371937507926415</v>
      </c>
      <c r="AN375">
        <f t="shared" si="346"/>
        <v>-0.72600169943394444</v>
      </c>
      <c r="AO375" s="58" t="str">
        <f t="shared" si="347"/>
        <v>0.258755793892918-0.268626924194862i</v>
      </c>
      <c r="AP375">
        <f t="shared" si="348"/>
        <v>-8.5662608588178983</v>
      </c>
      <c r="AQ375" s="60">
        <f t="shared" si="349"/>
        <v>-46.072291626636613</v>
      </c>
      <c r="AR375" t="str">
        <f t="shared" si="325"/>
        <v>-1.94444444444444</v>
      </c>
      <c r="AS375" t="str">
        <f t="shared" si="326"/>
        <v>1+13.0727782783525i</v>
      </c>
      <c r="AT375">
        <f t="shared" si="350"/>
        <v>13.110969907484531</v>
      </c>
      <c r="AU375">
        <f t="shared" si="351"/>
        <v>1.4944501736171518</v>
      </c>
      <c r="AV375" t="str">
        <f t="shared" si="327"/>
        <v>1+13.0727782783525i</v>
      </c>
      <c r="AW375">
        <f t="shared" si="352"/>
        <v>13.110969907484531</v>
      </c>
      <c r="AX375">
        <f t="shared" si="353"/>
        <v>1.4944501736171518</v>
      </c>
      <c r="AY375" t="str">
        <f t="shared" si="328"/>
        <v>1-0.00016275496525412i</v>
      </c>
      <c r="AZ375">
        <f t="shared" si="354"/>
        <v>1.0000000132445892</v>
      </c>
      <c r="BA375">
        <f t="shared" si="355"/>
        <v>-1.6275496381703823E-4</v>
      </c>
      <c r="BB375" s="58" t="str">
        <f t="shared" si="356"/>
        <v>-0.0112875810780404+0.147876512720143i</v>
      </c>
      <c r="BC375">
        <f t="shared" si="357"/>
        <v>-16.576785511834458</v>
      </c>
      <c r="BD375" s="60">
        <f t="shared" si="358"/>
        <v>94.364987186622571</v>
      </c>
      <c r="BE375" s="58" t="str">
        <f t="shared" si="359"/>
        <v>0.0177105438957872-0.0122128470800342i</v>
      </c>
      <c r="BF375" s="37">
        <f t="shared" si="360"/>
        <v>-33.345906981508541</v>
      </c>
      <c r="BG375" s="60">
        <f t="shared" si="361"/>
        <v>-34.589392186682815</v>
      </c>
      <c r="BH375" s="58" t="str">
        <f t="shared" si="362"/>
        <v>0.0368028857696954+0.0412960526336109i</v>
      </c>
      <c r="BI375" s="37">
        <f t="shared" si="363"/>
        <v>-25.143046370652353</v>
      </c>
      <c r="BJ375" s="60">
        <f t="shared" si="364"/>
        <v>48.292695559985951</v>
      </c>
      <c r="BK375">
        <f t="shared" si="365"/>
        <v>-33.345906981508541</v>
      </c>
      <c r="BL375" s="60">
        <f t="shared" si="366"/>
        <v>-34.589392186682815</v>
      </c>
      <c r="BN375">
        <f t="shared" si="367"/>
        <v>0</v>
      </c>
      <c r="BO375">
        <f t="shared" si="368"/>
        <v>0</v>
      </c>
    </row>
    <row r="376" spans="13:67" ht="14.25" x14ac:dyDescent="0.2">
      <c r="M376" s="66">
        <v>58</v>
      </c>
      <c r="N376" s="36">
        <f t="shared" si="316"/>
        <v>38018.939632056143</v>
      </c>
      <c r="O376" s="91" t="str">
        <f t="shared" si="317"/>
        <v>99.7340425531915</v>
      </c>
      <c r="P376" s="67" t="str">
        <f t="shared" si="318"/>
        <v>1+6937.68635203793i</v>
      </c>
      <c r="Q376" s="67">
        <f t="shared" si="329"/>
        <v>6937.6864241080657</v>
      </c>
      <c r="R376" s="67">
        <f t="shared" si="330"/>
        <v>1.5706521865235825</v>
      </c>
      <c r="S376" s="67" t="str">
        <f t="shared" si="319"/>
        <v>1+13.0428503418313i</v>
      </c>
      <c r="T376" s="67">
        <f t="shared" si="331"/>
        <v>13.081129348776003</v>
      </c>
      <c r="U376" s="67">
        <f t="shared" si="332"/>
        <v>1.4942756731011277</v>
      </c>
      <c r="V376" t="str">
        <f t="shared" si="320"/>
        <v>1-1.34728344190345i</v>
      </c>
      <c r="W376" s="67">
        <f t="shared" si="333"/>
        <v>1.6778476309925185</v>
      </c>
      <c r="X376" s="67">
        <f t="shared" si="334"/>
        <v>-0.93228381154484785</v>
      </c>
      <c r="Y376" t="str">
        <f t="shared" si="321"/>
        <v>0.657884077929957+2.08254396366237i</v>
      </c>
      <c r="Z376" s="67">
        <f t="shared" si="335"/>
        <v>2.1839873673124401</v>
      </c>
      <c r="AA376" s="67">
        <f t="shared" si="336"/>
        <v>1.2648132698902617</v>
      </c>
      <c r="AB376" s="92" t="str">
        <f t="shared" si="337"/>
        <v>-0.093365349796588-0.110246856685676i</v>
      </c>
      <c r="AC376" s="37">
        <f t="shared" si="338"/>
        <v>-16.804472127329404</v>
      </c>
      <c r="AD376" s="60">
        <f t="shared" si="339"/>
        <v>-130.26044181977377</v>
      </c>
      <c r="AE376" t="str">
        <f t="shared" si="340"/>
        <v>118.329284003155</v>
      </c>
      <c r="AF376" t="str">
        <f t="shared" si="322"/>
        <v>1+5550.14908163034i</v>
      </c>
      <c r="AG376">
        <f t="shared" si="341"/>
        <v>5550.1491717180097</v>
      </c>
      <c r="AH376">
        <f t="shared" si="342"/>
        <v>1.5706161514564558</v>
      </c>
      <c r="AI376" t="str">
        <f t="shared" si="323"/>
        <v>1+13.0428503418313i</v>
      </c>
      <c r="AJ376">
        <f t="shared" si="343"/>
        <v>13.081129348776003</v>
      </c>
      <c r="AK376">
        <f t="shared" si="344"/>
        <v>1.4942756731011277</v>
      </c>
      <c r="AL376" t="str">
        <f t="shared" si="324"/>
        <v>1-0.908420898702521i</v>
      </c>
      <c r="AM376">
        <f t="shared" si="345"/>
        <v>1.3510101884143939</v>
      </c>
      <c r="AN376">
        <f t="shared" si="346"/>
        <v>-0.73744809949253032</v>
      </c>
      <c r="AO376" s="58" t="str">
        <f t="shared" si="347"/>
        <v>0.258755613251947-0.273881464757604i</v>
      </c>
      <c r="AP376">
        <f t="shared" si="348"/>
        <v>-8.4781710983679641</v>
      </c>
      <c r="AQ376" s="60">
        <f t="shared" si="349"/>
        <v>-46.626650926635655</v>
      </c>
      <c r="AR376" t="str">
        <f t="shared" si="325"/>
        <v>-1.94444444444444</v>
      </c>
      <c r="AS376" t="str">
        <f t="shared" si="326"/>
        <v>1+13.3772824018782i</v>
      </c>
      <c r="AT376">
        <f t="shared" si="350"/>
        <v>13.414607130274078</v>
      </c>
      <c r="AU376">
        <f t="shared" si="351"/>
        <v>1.4961815066546511</v>
      </c>
      <c r="AV376" t="str">
        <f t="shared" si="327"/>
        <v>1+13.3772824018782i</v>
      </c>
      <c r="AW376">
        <f t="shared" si="352"/>
        <v>13.414607130274078</v>
      </c>
      <c r="AX376">
        <f t="shared" si="353"/>
        <v>1.4961815066546511</v>
      </c>
      <c r="AY376" t="str">
        <f t="shared" si="328"/>
        <v>1-0.000159050209941696i</v>
      </c>
      <c r="AZ376">
        <f t="shared" si="354"/>
        <v>1.0000000126484845</v>
      </c>
      <c r="BA376">
        <f t="shared" si="355"/>
        <v>-1.5905020860053324E-4</v>
      </c>
      <c r="BB376" s="58" t="str">
        <f t="shared" si="356"/>
        <v>-0.0107823793616158+0.144548197981627i</v>
      </c>
      <c r="BC376">
        <f t="shared" si="357"/>
        <v>-16.775648267939346</v>
      </c>
      <c r="BD376" s="60">
        <f t="shared" si="358"/>
        <v>94.266001377480308</v>
      </c>
      <c r="BE376" s="58" t="str">
        <f t="shared" si="359"/>
        <v>0.0169426850877899-0.0123070696348104i</v>
      </c>
      <c r="BF376" s="37">
        <f t="shared" si="360"/>
        <v>-33.580120395268764</v>
      </c>
      <c r="BG376" s="60">
        <f t="shared" si="361"/>
        <v>-35.994440442293495</v>
      </c>
      <c r="BH376" s="58" t="str">
        <f t="shared" si="362"/>
        <v>0.0367990710072501+0.0403557514663312i</v>
      </c>
      <c r="BI376" s="37">
        <f t="shared" si="363"/>
        <v>-25.253819366307319</v>
      </c>
      <c r="BJ376" s="60">
        <f t="shared" si="364"/>
        <v>47.639350450844631</v>
      </c>
      <c r="BK376">
        <f t="shared" si="365"/>
        <v>-33.580120395268764</v>
      </c>
      <c r="BL376" s="60">
        <f t="shared" si="366"/>
        <v>-35.994440442293495</v>
      </c>
      <c r="BN376">
        <f t="shared" si="367"/>
        <v>0</v>
      </c>
      <c r="BO376">
        <f t="shared" si="368"/>
        <v>0</v>
      </c>
    </row>
    <row r="377" spans="13:67" ht="14.25" x14ac:dyDescent="0.2">
      <c r="M377" s="66">
        <v>59</v>
      </c>
      <c r="N377" s="36">
        <f t="shared" si="316"/>
        <v>38904.514499428085</v>
      </c>
      <c r="O377" s="91" t="str">
        <f t="shared" si="317"/>
        <v>99.7340425531915</v>
      </c>
      <c r="P377" s="67" t="str">
        <f t="shared" si="318"/>
        <v>1+7099.28582668224i</v>
      </c>
      <c r="Q377" s="67">
        <f t="shared" si="329"/>
        <v>7099.2858971118594</v>
      </c>
      <c r="R377" s="67">
        <f t="shared" si="330"/>
        <v>1.5706554675566859</v>
      </c>
      <c r="S377" s="67" t="str">
        <f t="shared" si="319"/>
        <v>1+13.3466573541626i</v>
      </c>
      <c r="T377" s="67">
        <f t="shared" si="331"/>
        <v>13.384067488227284</v>
      </c>
      <c r="U377" s="67">
        <f t="shared" si="332"/>
        <v>1.496010933492701</v>
      </c>
      <c r="V377" t="str">
        <f t="shared" si="320"/>
        <v>1-1.3786657047157i</v>
      </c>
      <c r="W377" s="67">
        <f t="shared" si="333"/>
        <v>1.7031497659804429</v>
      </c>
      <c r="X377" s="67">
        <f t="shared" si="334"/>
        <v>-0.94326596800646978</v>
      </c>
      <c r="Y377" t="str">
        <f t="shared" si="321"/>
        <v>0.641760651257701+2.13105264413229i</v>
      </c>
      <c r="Z377" s="67">
        <f t="shared" si="335"/>
        <v>2.2255880359055524</v>
      </c>
      <c r="AA377" s="67">
        <f t="shared" si="336"/>
        <v>1.2782873386191824</v>
      </c>
      <c r="AB377" s="92" t="str">
        <f t="shared" si="337"/>
        <v>-0.0954605470188308-0.107661853964324i</v>
      </c>
      <c r="AC377" s="37">
        <f t="shared" si="338"/>
        <v>-16.839501285285937</v>
      </c>
      <c r="AD377" s="60">
        <f t="shared" si="339"/>
        <v>-131.56244519856929</v>
      </c>
      <c r="AE377" t="str">
        <f t="shared" si="340"/>
        <v>118.329284003155</v>
      </c>
      <c r="AF377" t="str">
        <f t="shared" si="322"/>
        <v>1+5679.42866134579i</v>
      </c>
      <c r="AG377">
        <f t="shared" si="341"/>
        <v>5679.4287493828133</v>
      </c>
      <c r="AH377">
        <f t="shared" si="342"/>
        <v>1.5706202527477884</v>
      </c>
      <c r="AI377" t="str">
        <f t="shared" si="323"/>
        <v>1+13.3466573541626i</v>
      </c>
      <c r="AJ377">
        <f t="shared" si="343"/>
        <v>13.384067488227284</v>
      </c>
      <c r="AK377">
        <f t="shared" si="344"/>
        <v>1.496010933492701</v>
      </c>
      <c r="AL377" t="str">
        <f t="shared" si="324"/>
        <v>1-0.929580739683675i</v>
      </c>
      <c r="AM377">
        <f t="shared" si="345"/>
        <v>1.365327928224882</v>
      </c>
      <c r="AN377">
        <f t="shared" si="346"/>
        <v>-0.74891976108182501</v>
      </c>
      <c r="AO377" s="58" t="str">
        <f t="shared" si="347"/>
        <v>0.25875544074116-0.279281220895282i</v>
      </c>
      <c r="AP377">
        <f t="shared" si="348"/>
        <v>-8.3877465410911043</v>
      </c>
      <c r="AQ377" s="60">
        <f t="shared" si="349"/>
        <v>-47.184740609595181</v>
      </c>
      <c r="AR377" t="str">
        <f t="shared" si="325"/>
        <v>-1.94444444444444</v>
      </c>
      <c r="AS377" t="str">
        <f t="shared" si="326"/>
        <v>1+13.6888793376026i</v>
      </c>
      <c r="AT377">
        <f t="shared" si="350"/>
        <v>13.725356735598655</v>
      </c>
      <c r="AU377">
        <f t="shared" si="351"/>
        <v>1.4978738628916279</v>
      </c>
      <c r="AV377" t="str">
        <f t="shared" si="327"/>
        <v>1+13.6888793376026i</v>
      </c>
      <c r="AW377">
        <f t="shared" si="352"/>
        <v>13.725356735598655</v>
      </c>
      <c r="AX377">
        <f t="shared" si="353"/>
        <v>1.4978738628916279</v>
      </c>
      <c r="AY377" t="str">
        <f t="shared" si="328"/>
        <v>1-0.000155429785155861i</v>
      </c>
      <c r="AZ377">
        <f t="shared" si="354"/>
        <v>1.000000012079209</v>
      </c>
      <c r="BA377">
        <f t="shared" si="355"/>
        <v>-1.5542978390421509E-4</v>
      </c>
      <c r="BB377" s="58" t="str">
        <f t="shared" si="356"/>
        <v>-0.0102996683827979+0.141293142291689i</v>
      </c>
      <c r="BC377">
        <f t="shared" si="357"/>
        <v>-16.974561930382134</v>
      </c>
      <c r="BD377" s="60">
        <f t="shared" si="358"/>
        <v>94.169243942724037</v>
      </c>
      <c r="BE377" s="58" t="str">
        <f t="shared" si="359"/>
        <v>0.0161950936295027-0.0123790392598644i</v>
      </c>
      <c r="BF377" s="37">
        <f t="shared" si="360"/>
        <v>-33.814063215668071</v>
      </c>
      <c r="BG377" s="60">
        <f t="shared" si="361"/>
        <v>-37.393201255845341</v>
      </c>
      <c r="BH377" s="58" t="str">
        <f t="shared" si="362"/>
        <v>0.036795426051475+0.0394368732681538i</v>
      </c>
      <c r="BI377" s="37">
        <f t="shared" si="363"/>
        <v>-25.362308471473234</v>
      </c>
      <c r="BJ377" s="60">
        <f t="shared" si="364"/>
        <v>46.984503333128927</v>
      </c>
      <c r="BK377">
        <f t="shared" si="365"/>
        <v>-33.814063215668071</v>
      </c>
      <c r="BL377" s="60">
        <f t="shared" si="366"/>
        <v>-37.393201255845341</v>
      </c>
      <c r="BN377">
        <f t="shared" si="367"/>
        <v>0</v>
      </c>
      <c r="BO377">
        <f t="shared" si="368"/>
        <v>0</v>
      </c>
    </row>
    <row r="378" spans="13:67" ht="14.25" x14ac:dyDescent="0.2">
      <c r="M378" s="66">
        <v>60</v>
      </c>
      <c r="N378" s="36">
        <f t="shared" si="316"/>
        <v>39810.717055349742</v>
      </c>
      <c r="O378" s="91" t="str">
        <f t="shared" si="317"/>
        <v>99.7340425531915</v>
      </c>
      <c r="P378" s="67" t="str">
        <f t="shared" si="318"/>
        <v>1+7264.649436642i</v>
      </c>
      <c r="Q378" s="67">
        <f t="shared" si="329"/>
        <v>7264.6495054684456</v>
      </c>
      <c r="R378" s="67">
        <f t="shared" si="330"/>
        <v>1.5706586739043606</v>
      </c>
      <c r="S378" s="67" t="str">
        <f t="shared" si="319"/>
        <v>1+13.657540940887i</v>
      </c>
      <c r="T378" s="67">
        <f t="shared" si="331"/>
        <v>13.694101816183657</v>
      </c>
      <c r="U378" s="67">
        <f t="shared" si="332"/>
        <v>1.4977071306525278</v>
      </c>
      <c r="V378" t="str">
        <f t="shared" si="320"/>
        <v>1-1.41077895433338i</v>
      </c>
      <c r="W378" s="67">
        <f t="shared" si="333"/>
        <v>1.7292475988099523</v>
      </c>
      <c r="X378" s="67">
        <f t="shared" si="334"/>
        <v>-0.95416989262825902</v>
      </c>
      <c r="Y378" t="str">
        <f t="shared" si="321"/>
        <v>0.624877350896778+2.18069123692194i</v>
      </c>
      <c r="Z378" s="67">
        <f t="shared" si="335"/>
        <v>2.2684545343585607</v>
      </c>
      <c r="AA378" s="67">
        <f t="shared" si="336"/>
        <v>1.2917240795935965</v>
      </c>
      <c r="AB378" s="92" t="str">
        <f t="shared" si="337"/>
        <v>-0.0974838051395-0.105051822494554i</v>
      </c>
      <c r="AC378" s="37">
        <f t="shared" si="338"/>
        <v>-16.874211771765268</v>
      </c>
      <c r="AD378" s="60">
        <f t="shared" si="339"/>
        <v>-132.86006137948007</v>
      </c>
      <c r="AE378" t="str">
        <f t="shared" si="340"/>
        <v>118.329284003155</v>
      </c>
      <c r="AF378" t="str">
        <f t="shared" si="322"/>
        <v>1+5811.7195493136i</v>
      </c>
      <c r="AG378">
        <f t="shared" si="341"/>
        <v>5811.719635346657</v>
      </c>
      <c r="AH378">
        <f t="shared" si="342"/>
        <v>1.570624260682338</v>
      </c>
      <c r="AI378" t="str">
        <f t="shared" si="323"/>
        <v>1+13.657540940887i</v>
      </c>
      <c r="AJ378">
        <f t="shared" si="343"/>
        <v>13.694101816183657</v>
      </c>
      <c r="AK378">
        <f t="shared" si="344"/>
        <v>1.4977071306525278</v>
      </c>
      <c r="AL378" t="str">
        <f t="shared" si="324"/>
        <v>1-0.951233456677462i</v>
      </c>
      <c r="AM378">
        <f t="shared" si="345"/>
        <v>1.380161254746181</v>
      </c>
      <c r="AN378">
        <f t="shared" si="346"/>
        <v>-0.76041069036303299</v>
      </c>
      <c r="AO378" s="58" t="str">
        <f t="shared" si="347"/>
        <v>0.258755275994637-0.284829055630267i</v>
      </c>
      <c r="AP378">
        <f t="shared" si="348"/>
        <v>-8.2949806945242894</v>
      </c>
      <c r="AQ378" s="60">
        <f t="shared" si="349"/>
        <v>-47.746167059345893</v>
      </c>
      <c r="AR378" t="str">
        <f t="shared" si="325"/>
        <v>-1.94444444444444</v>
      </c>
      <c r="AS378" t="str">
        <f t="shared" si="326"/>
        <v>1+14.0077342983456i</v>
      </c>
      <c r="AT378">
        <f t="shared" si="350"/>
        <v>14.043383501601303</v>
      </c>
      <c r="AU378">
        <f t="shared" si="351"/>
        <v>1.4995281008398305</v>
      </c>
      <c r="AV378" t="str">
        <f t="shared" si="327"/>
        <v>1+14.0077342983456i</v>
      </c>
      <c r="AW378">
        <f t="shared" si="352"/>
        <v>14.043383501601303</v>
      </c>
      <c r="AX378">
        <f t="shared" si="353"/>
        <v>1.4995281008398305</v>
      </c>
      <c r="AY378" t="str">
        <f t="shared" si="328"/>
        <v>1-0.000151891771299473i</v>
      </c>
      <c r="AZ378">
        <f t="shared" si="354"/>
        <v>1.000000011535555</v>
      </c>
      <c r="BA378">
        <f t="shared" si="355"/>
        <v>-1.5189177013136908E-4</v>
      </c>
      <c r="BB378" s="58" t="str">
        <f t="shared" si="356"/>
        <v>-0.00983845746318274+0.138109843160699i</v>
      </c>
      <c r="BC378">
        <f t="shared" si="357"/>
        <v>-17.173524232340373</v>
      </c>
      <c r="BD378" s="60">
        <f t="shared" si="358"/>
        <v>94.074665803238702</v>
      </c>
      <c r="BE378" s="58" t="str">
        <f t="shared" si="359"/>
        <v>0.0154677809986826-0.012429925151482i</v>
      </c>
      <c r="BF378" s="37">
        <f t="shared" si="360"/>
        <v>-34.047736004105637</v>
      </c>
      <c r="BG378" s="60">
        <f t="shared" si="361"/>
        <v>-38.785395576241399</v>
      </c>
      <c r="BH378" s="58" t="str">
        <f t="shared" si="362"/>
        <v>0.0367919434244588+0.0385389291327196i</v>
      </c>
      <c r="BI378" s="37">
        <f t="shared" si="363"/>
        <v>-25.468504926864664</v>
      </c>
      <c r="BJ378" s="60">
        <f t="shared" si="364"/>
        <v>46.328498743892858</v>
      </c>
      <c r="BK378">
        <f t="shared" si="365"/>
        <v>-34.047736004105637</v>
      </c>
      <c r="BL378" s="60">
        <f t="shared" si="366"/>
        <v>-38.785395576241399</v>
      </c>
      <c r="BN378">
        <f t="shared" si="367"/>
        <v>0</v>
      </c>
      <c r="BO378">
        <f t="shared" si="368"/>
        <v>0</v>
      </c>
    </row>
    <row r="379" spans="13:67" ht="14.25" x14ac:dyDescent="0.2">
      <c r="M379" s="66">
        <v>61</v>
      </c>
      <c r="N379" s="36">
        <f t="shared" si="316"/>
        <v>40738.027780411358</v>
      </c>
      <c r="O379" s="91" t="str">
        <f t="shared" si="317"/>
        <v>99.7340425531915</v>
      </c>
      <c r="P379" s="67" t="str">
        <f t="shared" si="318"/>
        <v>1+7433.8648598921i</v>
      </c>
      <c r="Q379" s="67">
        <f t="shared" si="329"/>
        <v>7433.8649271518643</v>
      </c>
      <c r="R379" s="67">
        <f t="shared" si="330"/>
        <v>1.5706618072666545</v>
      </c>
      <c r="S379" s="67" t="str">
        <f t="shared" si="319"/>
        <v>1+13.9756659365971i</v>
      </c>
      <c r="T379" s="67">
        <f t="shared" si="331"/>
        <v>14.011396731638158</v>
      </c>
      <c r="U379" s="67">
        <f t="shared" si="332"/>
        <v>1.499365124864102</v>
      </c>
      <c r="V379" t="str">
        <f t="shared" si="320"/>
        <v>1-1.44364021762652i</v>
      </c>
      <c r="W379" s="67">
        <f t="shared" si="333"/>
        <v>1.7561597529691728</v>
      </c>
      <c r="X379" s="67">
        <f t="shared" si="334"/>
        <v>-0.96499099559723422</v>
      </c>
      <c r="Y379" t="str">
        <f t="shared" si="321"/>
        <v>0.607198365103535+2.23148606107027i</v>
      </c>
      <c r="Z379" s="67">
        <f t="shared" si="335"/>
        <v>2.3126218660505904</v>
      </c>
      <c r="AA379" s="67">
        <f t="shared" si="336"/>
        <v>1.3051236237870172</v>
      </c>
      <c r="AB379" s="92" t="str">
        <f t="shared" si="337"/>
        <v>-0.0994348134637291-0.102419074925491i</v>
      </c>
      <c r="AC379" s="37">
        <f t="shared" si="338"/>
        <v>-16.908608407180026</v>
      </c>
      <c r="AD379" s="60">
        <f t="shared" si="339"/>
        <v>-134.15298569661573</v>
      </c>
      <c r="AE379" t="str">
        <f t="shared" si="340"/>
        <v>118.329284003155</v>
      </c>
      <c r="AF379" t="str">
        <f t="shared" si="322"/>
        <v>1+5947.09188791368i</v>
      </c>
      <c r="AG379">
        <f t="shared" si="341"/>
        <v>5947.091971988385</v>
      </c>
      <c r="AH379">
        <f t="shared" si="342"/>
        <v>1.5706281773851645</v>
      </c>
      <c r="AI379" t="str">
        <f t="shared" si="323"/>
        <v>1+13.9756659365971i</v>
      </c>
      <c r="AJ379">
        <f t="shared" si="343"/>
        <v>14.011396731638158</v>
      </c>
      <c r="AK379">
        <f t="shared" si="344"/>
        <v>1.499365124864102</v>
      </c>
      <c r="AL379" t="str">
        <f t="shared" si="324"/>
        <v>1-0.973390530241046i</v>
      </c>
      <c r="AM379">
        <f t="shared" si="345"/>
        <v>1.3955246770884937</v>
      </c>
      <c r="AN379">
        <f t="shared" si="346"/>
        <v>-0.77191484278838873</v>
      </c>
      <c r="AO379" s="58" t="str">
        <f t="shared" si="347"/>
        <v>0.258755118662928-0.290527910498153i</v>
      </c>
      <c r="AP379">
        <f t="shared" si="348"/>
        <v>-8.199869349633687</v>
      </c>
      <c r="AQ379" s="60">
        <f t="shared" si="349"/>
        <v>-48.310534779955205</v>
      </c>
      <c r="AR379" t="str">
        <f t="shared" si="325"/>
        <v>-1.94444444444444</v>
      </c>
      <c r="AS379" t="str">
        <f t="shared" si="326"/>
        <v>1+14.3340163452278i</v>
      </c>
      <c r="AT379">
        <f t="shared" si="350"/>
        <v>14.36885606390633</v>
      </c>
      <c r="AU379">
        <f t="shared" si="351"/>
        <v>1.5011450613631858</v>
      </c>
      <c r="AV379" t="str">
        <f t="shared" si="327"/>
        <v>1+14.3340163452278i</v>
      </c>
      <c r="AW379">
        <f t="shared" si="352"/>
        <v>14.36885606390633</v>
      </c>
      <c r="AX379">
        <f t="shared" si="353"/>
        <v>1.5011450613631858</v>
      </c>
      <c r="AY379" t="str">
        <f t="shared" si="328"/>
        <v>1-0.000148434292470752i</v>
      </c>
      <c r="AZ379">
        <f t="shared" si="354"/>
        <v>1.0000000110163696</v>
      </c>
      <c r="BA379">
        <f t="shared" si="355"/>
        <v>-1.4843429138061402E-4</v>
      </c>
      <c r="BB379" s="58" t="str">
        <f t="shared" si="356"/>
        <v>-0.0093977986358779+0.134996821491193i</v>
      </c>
      <c r="BC379">
        <f t="shared" si="357"/>
        <v>-17.372533006889807</v>
      </c>
      <c r="BD379" s="60">
        <f t="shared" si="358"/>
        <v>93.982218888551358</v>
      </c>
      <c r="BE379" s="58" t="str">
        <f t="shared" si="359"/>
        <v>0.0147607179293378-0.0124608699205505i</v>
      </c>
      <c r="BF379" s="37">
        <f t="shared" si="360"/>
        <v>-34.281141414069829</v>
      </c>
      <c r="BG379" s="60">
        <f t="shared" si="361"/>
        <v>-40.170766808064535</v>
      </c>
      <c r="BH379" s="58" t="str">
        <f t="shared" si="362"/>
        <v>0.0367886159705316+0.0376614413650357i</v>
      </c>
      <c r="BI379" s="37">
        <f t="shared" si="363"/>
        <v>-25.572402356523494</v>
      </c>
      <c r="BJ379" s="60">
        <f t="shared" si="364"/>
        <v>45.671684108596089</v>
      </c>
      <c r="BK379">
        <f t="shared" si="365"/>
        <v>-34.281141414069829</v>
      </c>
      <c r="BL379" s="60">
        <f t="shared" si="366"/>
        <v>-40.170766808064535</v>
      </c>
      <c r="BN379">
        <f t="shared" si="367"/>
        <v>0</v>
      </c>
      <c r="BO379">
        <f t="shared" si="368"/>
        <v>0</v>
      </c>
    </row>
    <row r="380" spans="13:67" ht="14.25" x14ac:dyDescent="0.2">
      <c r="M380" s="66">
        <v>62</v>
      </c>
      <c r="N380" s="36">
        <f t="shared" si="316"/>
        <v>41686.938347033625</v>
      </c>
      <c r="O380" s="91" t="str">
        <f t="shared" si="317"/>
        <v>99.7340425531915</v>
      </c>
      <c r="P380" s="67" t="str">
        <f t="shared" si="318"/>
        <v>1+7607.02181668975i</v>
      </c>
      <c r="Q380" s="67">
        <f t="shared" si="329"/>
        <v>7607.0218824184949</v>
      </c>
      <c r="R380" s="67">
        <f t="shared" si="330"/>
        <v>1.5706648693049174</v>
      </c>
      <c r="S380" s="67" t="str">
        <f t="shared" si="319"/>
        <v>1+14.3012010153767i</v>
      </c>
      <c r="T380" s="67">
        <f t="shared" si="331"/>
        <v>14.336120482271749</v>
      </c>
      <c r="U380" s="67">
        <f t="shared" si="332"/>
        <v>1.5009857587355797</v>
      </c>
      <c r="V380" t="str">
        <f t="shared" si="320"/>
        <v>1-1.47726691807188i</v>
      </c>
      <c r="W380" s="67">
        <f t="shared" si="333"/>
        <v>1.783905139638762</v>
      </c>
      <c r="X380" s="67">
        <f t="shared" si="334"/>
        <v>-0.97572487763193472</v>
      </c>
      <c r="Y380" t="str">
        <f t="shared" si="321"/>
        <v>0.588686194378844+2.28346404866539i</v>
      </c>
      <c r="Z380" s="67">
        <f t="shared" si="335"/>
        <v>2.3581262682476485</v>
      </c>
      <c r="AA380" s="67">
        <f t="shared" si="336"/>
        <v>1.3184863043478086</v>
      </c>
      <c r="AB380" s="92" t="str">
        <f t="shared" si="337"/>
        <v>-0.101313368798788-0.0997658721519118i</v>
      </c>
      <c r="AC380" s="37">
        <f t="shared" si="338"/>
        <v>-16.942697998548049</v>
      </c>
      <c r="AD380" s="60">
        <f t="shared" si="339"/>
        <v>-135.440936995008</v>
      </c>
      <c r="AE380" t="str">
        <f t="shared" si="340"/>
        <v>118.329284003155</v>
      </c>
      <c r="AF380" t="str">
        <f t="shared" si="322"/>
        <v>1+6085.6174533518i</v>
      </c>
      <c r="AG380">
        <f t="shared" si="341"/>
        <v>6085.6175355127307</v>
      </c>
      <c r="AH380">
        <f t="shared" si="342"/>
        <v>1.570632004932955</v>
      </c>
      <c r="AI380" t="str">
        <f t="shared" si="323"/>
        <v>1+14.3012010153767i</v>
      </c>
      <c r="AJ380">
        <f t="shared" si="343"/>
        <v>14.336120482271749</v>
      </c>
      <c r="AK380">
        <f t="shared" si="344"/>
        <v>1.5009857587355797</v>
      </c>
      <c r="AL380" t="str">
        <f t="shared" si="324"/>
        <v>1-0.996063708348112i</v>
      </c>
      <c r="AM380">
        <f t="shared" si="345"/>
        <v>1.4114329282995324</v>
      </c>
      <c r="AN380">
        <f t="shared" si="346"/>
        <v>-0.78342613889099866</v>
      </c>
      <c r="AO380" s="58" t="str">
        <f t="shared" si="347"/>
        <v>0.258754968412313-0.296380807107395i</v>
      </c>
      <c r="AP380">
        <f t="shared" si="348"/>
        <v>-8.1024106126480291</v>
      </c>
      <c r="AQ380" s="60">
        <f t="shared" si="349"/>
        <v>-48.87744728472272</v>
      </c>
      <c r="AR380" t="str">
        <f t="shared" si="325"/>
        <v>-1.94444444444444</v>
      </c>
      <c r="AS380" t="str">
        <f t="shared" si="326"/>
        <v>1+14.6678984773094i</v>
      </c>
      <c r="AT380">
        <f t="shared" si="350"/>
        <v>14.701947005096141</v>
      </c>
      <c r="AU380">
        <f t="shared" si="351"/>
        <v>1.5027255679554394</v>
      </c>
      <c r="AV380" t="str">
        <f t="shared" si="327"/>
        <v>1+14.6678984773094i</v>
      </c>
      <c r="AW380">
        <f t="shared" si="352"/>
        <v>14.701947005096141</v>
      </c>
      <c r="AX380">
        <f t="shared" si="353"/>
        <v>1.5027255679554394</v>
      </c>
      <c r="AY380" t="str">
        <f t="shared" si="328"/>
        <v>1-0.000145055515468659i</v>
      </c>
      <c r="AZ380">
        <f t="shared" si="354"/>
        <v>1.0000000105205513</v>
      </c>
      <c r="BA380">
        <f t="shared" si="355"/>
        <v>-1.4505551445128301E-4</v>
      </c>
      <c r="BB380" s="58" t="str">
        <f t="shared" si="356"/>
        <v>-0.00897678488549087+0.131952621744215i</v>
      </c>
      <c r="BC380">
        <f t="shared" si="357"/>
        <v>-17.571586182693594</v>
      </c>
      <c r="BD380" s="60">
        <f t="shared" si="358"/>
        <v>93.891856120980563</v>
      </c>
      <c r="BE380" s="58" t="str">
        <f t="shared" si="359"/>
        <v>0.0140738367087741-0.0124729878575175i</v>
      </c>
      <c r="BF380" s="37">
        <f t="shared" si="360"/>
        <v>-34.514284181241635</v>
      </c>
      <c r="BG380" s="60">
        <f t="shared" si="361"/>
        <v>-41.549080874027254</v>
      </c>
      <c r="BH380" s="58" t="str">
        <f t="shared" si="362"/>
        <v>0.0367854368429979+0.0368039432209375i</v>
      </c>
      <c r="BI380" s="37">
        <f t="shared" si="363"/>
        <v>-25.673996795341623</v>
      </c>
      <c r="BJ380" s="60">
        <f t="shared" si="364"/>
        <v>45.014408836257886</v>
      </c>
      <c r="BK380">
        <f t="shared" si="365"/>
        <v>-34.514284181241635</v>
      </c>
      <c r="BL380" s="60">
        <f t="shared" si="366"/>
        <v>-41.549080874027254</v>
      </c>
      <c r="BN380">
        <f t="shared" si="367"/>
        <v>0</v>
      </c>
      <c r="BO380">
        <f t="shared" si="368"/>
        <v>0</v>
      </c>
    </row>
    <row r="381" spans="13:67" ht="14.25" x14ac:dyDescent="0.2">
      <c r="M381" s="66">
        <v>63</v>
      </c>
      <c r="N381" s="36">
        <f t="shared" si="316"/>
        <v>42657.951880159271</v>
      </c>
      <c r="O381" s="91" t="str">
        <f t="shared" si="317"/>
        <v>99.7340425531915</v>
      </c>
      <c r="P381" s="67" t="str">
        <f t="shared" si="318"/>
        <v>1+7784.21211714543i</v>
      </c>
      <c r="Q381" s="67">
        <f t="shared" si="329"/>
        <v>7784.2121813780068</v>
      </c>
      <c r="R381" s="67">
        <f t="shared" si="330"/>
        <v>1.5706678616426821</v>
      </c>
      <c r="S381" s="67" t="str">
        <f t="shared" si="319"/>
        <v>1+14.6343187802334i</v>
      </c>
      <c r="T381" s="67">
        <f t="shared" si="331"/>
        <v>14.668445253723789</v>
      </c>
      <c r="U381" s="67">
        <f t="shared" si="332"/>
        <v>1.5025698574772102</v>
      </c>
      <c r="V381" t="str">
        <f t="shared" si="320"/>
        <v>1-1.51167688499114i</v>
      </c>
      <c r="W381" s="67">
        <f t="shared" si="333"/>
        <v>1.8125029667883348</v>
      </c>
      <c r="X381" s="67">
        <f t="shared" si="334"/>
        <v>-0.98636733625703721</v>
      </c>
      <c r="Y381" t="str">
        <f t="shared" si="321"/>
        <v>0.569301571926629+2.33665275912434i</v>
      </c>
      <c r="Z381" s="67">
        <f t="shared" si="335"/>
        <v>2.4050052799363084</v>
      </c>
      <c r="AA381" s="67">
        <f t="shared" si="336"/>
        <v>1.331812649868261</v>
      </c>
      <c r="AB381" s="92" t="str">
        <f t="shared" si="337"/>
        <v>-0.103119367984007-0.0970944188383375i</v>
      </c>
      <c r="AC381" s="37">
        <f t="shared" si="338"/>
        <v>-16.976489326646245</v>
      </c>
      <c r="AD381" s="60">
        <f t="shared" si="339"/>
        <v>-136.72365758862097</v>
      </c>
      <c r="AE381" t="str">
        <f t="shared" si="340"/>
        <v>118.329284003155</v>
      </c>
      <c r="AF381" t="str">
        <f t="shared" si="322"/>
        <v>1+6227.36969371634i</v>
      </c>
      <c r="AG381">
        <f t="shared" si="341"/>
        <v>6227.3697740070611</v>
      </c>
      <c r="AH381">
        <f t="shared" si="342"/>
        <v>1.5706357453551254</v>
      </c>
      <c r="AI381" t="str">
        <f t="shared" si="323"/>
        <v>1+14.6343187802334i</v>
      </c>
      <c r="AJ381">
        <f t="shared" si="343"/>
        <v>14.668445253723789</v>
      </c>
      <c r="AK381">
        <f t="shared" si="344"/>
        <v>1.5025698574772102</v>
      </c>
      <c r="AL381" t="str">
        <f t="shared" si="324"/>
        <v>1-1.0192650126178i</v>
      </c>
      <c r="AM381">
        <f t="shared" si="345"/>
        <v>1.4279009650346077</v>
      </c>
      <c r="AN381">
        <f t="shared" si="346"/>
        <v>-0.79493848029914549</v>
      </c>
      <c r="AO381" s="58" t="str">
        <f t="shared" si="347"/>
        <v>0.258754824924089-0.302390848741406i</v>
      </c>
      <c r="AP381">
        <f t="shared" si="348"/>
        <v>-8.0026049265914718</v>
      </c>
      <c r="AQ381" s="60">
        <f t="shared" si="349"/>
        <v>-49.446507997899879</v>
      </c>
      <c r="AR381" t="str">
        <f t="shared" si="325"/>
        <v>-1.94444444444444</v>
      </c>
      <c r="AS381" t="str">
        <f t="shared" si="326"/>
        <v>1+15.0095577233163i</v>
      </c>
      <c r="AT381">
        <f t="shared" si="350"/>
        <v>15.04283294627591</v>
      </c>
      <c r="AU381">
        <f t="shared" si="351"/>
        <v>1.5042704270194989</v>
      </c>
      <c r="AV381" t="str">
        <f t="shared" si="327"/>
        <v>1+15.0095577233163i</v>
      </c>
      <c r="AW381">
        <f t="shared" si="352"/>
        <v>15.04283294627591</v>
      </c>
      <c r="AX381">
        <f t="shared" si="353"/>
        <v>1.5042704270194989</v>
      </c>
      <c r="AY381" t="str">
        <f t="shared" si="328"/>
        <v>1-0.000141753648820905i</v>
      </c>
      <c r="AZ381">
        <f t="shared" si="354"/>
        <v>1.0000000100470485</v>
      </c>
      <c r="BA381">
        <f t="shared" si="355"/>
        <v>-1.417536478714345E-4</v>
      </c>
      <c r="BB381" s="58" t="str">
        <f t="shared" si="356"/>
        <v>-0.00857454845340335+0.12897581205766i</v>
      </c>
      <c r="BC381">
        <f t="shared" si="357"/>
        <v>-17.770681779868902</v>
      </c>
      <c r="BD381" s="60">
        <f t="shared" si="358"/>
        <v>93.803531399686975</v>
      </c>
      <c r="BE381" s="58" t="str">
        <f t="shared" si="359"/>
        <v>0.0134070335332043-0.0124673634257256i</v>
      </c>
      <c r="BF381" s="37">
        <f t="shared" si="360"/>
        <v>-34.747171106515168</v>
      </c>
      <c r="BG381" s="60">
        <f t="shared" si="361"/>
        <v>-42.920126188934049</v>
      </c>
      <c r="BH381" s="58" t="str">
        <f t="shared" si="362"/>
        <v>0.0367823994913644+0.035965978652821i</v>
      </c>
      <c r="BI381" s="37">
        <f t="shared" si="363"/>
        <v>-25.773286706460365</v>
      </c>
      <c r="BJ381" s="60">
        <f t="shared" si="364"/>
        <v>44.357023401787096</v>
      </c>
      <c r="BK381">
        <f t="shared" si="365"/>
        <v>-34.747171106515168</v>
      </c>
      <c r="BL381" s="60">
        <f t="shared" si="366"/>
        <v>-42.920126188934049</v>
      </c>
      <c r="BN381">
        <f t="shared" si="367"/>
        <v>0</v>
      </c>
      <c r="BO381">
        <f t="shared" si="368"/>
        <v>0</v>
      </c>
    </row>
    <row r="382" spans="13:67" ht="14.25" x14ac:dyDescent="0.2">
      <c r="M382" s="66">
        <v>64</v>
      </c>
      <c r="N382" s="36">
        <f t="shared" si="316"/>
        <v>43651.583224016598</v>
      </c>
      <c r="O382" s="91" t="str">
        <f t="shared" si="317"/>
        <v>99.7340425531915</v>
      </c>
      <c r="P382" s="67" t="str">
        <f t="shared" si="318"/>
        <v>1+7965.52970990183i</v>
      </c>
      <c r="Q382" s="67">
        <f t="shared" si="329"/>
        <v>7965.5297726722947</v>
      </c>
      <c r="R382" s="67">
        <f t="shared" si="330"/>
        <v>1.5706707858665259</v>
      </c>
      <c r="S382" s="67" t="str">
        <f t="shared" si="319"/>
        <v>1+14.9751958546154i</v>
      </c>
      <c r="T382" s="67">
        <f t="shared" si="331"/>
        <v>15.008547260947353</v>
      </c>
      <c r="U382" s="67">
        <f t="shared" si="332"/>
        <v>1.5041182291805402</v>
      </c>
      <c r="V382" t="str">
        <f t="shared" si="320"/>
        <v>1-1.54688836300423i</v>
      </c>
      <c r="W382" s="67">
        <f t="shared" si="333"/>
        <v>1.8419727488749409</v>
      </c>
      <c r="X382" s="67">
        <f t="shared" si="334"/>
        <v>-0.99691437108465208</v>
      </c>
      <c r="Y382" t="str">
        <f t="shared" si="321"/>
        <v>0.549003380363728+2.39108039380542i</v>
      </c>
      <c r="Z382" s="67">
        <f t="shared" si="335"/>
        <v>2.4532978134118739</v>
      </c>
      <c r="AA382" s="67">
        <f t="shared" si="336"/>
        <v>1.3451033771498184</v>
      </c>
      <c r="AB382" s="92" t="str">
        <f t="shared" si="337"/>
        <v>-0.10485280033666-0.0944068596942336i</v>
      </c>
      <c r="AC382" s="37">
        <f t="shared" si="338"/>
        <v>-17.009993126534145</v>
      </c>
      <c r="AD382" s="60">
        <f t="shared" si="339"/>
        <v>-138.00091313247989</v>
      </c>
      <c r="AE382" t="str">
        <f t="shared" si="340"/>
        <v>118.329284003155</v>
      </c>
      <c r="AF382" t="str">
        <f t="shared" si="322"/>
        <v>1+6372.42376792147i</v>
      </c>
      <c r="AG382">
        <f t="shared" si="341"/>
        <v>6372.4238463845504</v>
      </c>
      <c r="AH382">
        <f t="shared" si="342"/>
        <v>1.5706394006348967</v>
      </c>
      <c r="AI382" t="str">
        <f t="shared" si="323"/>
        <v>1+14.9751958546154i</v>
      </c>
      <c r="AJ382">
        <f t="shared" si="343"/>
        <v>15.008547260947353</v>
      </c>
      <c r="AK382">
        <f t="shared" si="344"/>
        <v>1.5041182291805402</v>
      </c>
      <c r="AL382" t="str">
        <f t="shared" si="324"/>
        <v>1-1.04300674468875i</v>
      </c>
      <c r="AM382">
        <f t="shared" si="345"/>
        <v>1.4449439675870561</v>
      </c>
      <c r="AN382">
        <f t="shared" si="346"/>
        <v>-0.80644576587249406</v>
      </c>
      <c r="AO382" s="58" t="str">
        <f t="shared" si="347"/>
        <v>0.258754687893897-0.30856122200396i</v>
      </c>
      <c r="AP382">
        <f t="shared" si="348"/>
        <v>-7.9004550823683983</v>
      </c>
      <c r="AQ382" s="60">
        <f t="shared" si="349"/>
        <v>-50.017321163290106</v>
      </c>
      <c r="AR382" t="str">
        <f t="shared" si="325"/>
        <v>-1.94444444444444</v>
      </c>
      <c r="AS382" t="str">
        <f t="shared" si="326"/>
        <v>1+15.359175235503i</v>
      </c>
      <c r="AT382">
        <f t="shared" si="350"/>
        <v>15.391694640775871</v>
      </c>
      <c r="AU382">
        <f t="shared" si="351"/>
        <v>1.5057804281479392</v>
      </c>
      <c r="AV382" t="str">
        <f t="shared" si="327"/>
        <v>1+15.359175235503i</v>
      </c>
      <c r="AW382">
        <f t="shared" si="352"/>
        <v>15.391694640775871</v>
      </c>
      <c r="AX382">
        <f t="shared" si="353"/>
        <v>1.5057804281479392</v>
      </c>
      <c r="AY382" t="str">
        <f t="shared" si="328"/>
        <v>1-0.000138526941834088i</v>
      </c>
      <c r="AZ382">
        <f t="shared" si="354"/>
        <v>1.0000000095948567</v>
      </c>
      <c r="BA382">
        <f t="shared" si="355"/>
        <v>-1.3852694094799057E-4</v>
      </c>
      <c r="BB382" s="58" t="str">
        <f t="shared" si="356"/>
        <v>-0.00819025920657249+0.126064984320394i</v>
      </c>
      <c r="BC382">
        <f t="shared" si="357"/>
        <v>-17.969817906024915</v>
      </c>
      <c r="BD382" s="60">
        <f t="shared" si="358"/>
        <v>93.717199584655802</v>
      </c>
      <c r="BE382" s="58" t="str">
        <f t="shared" si="359"/>
        <v>0.0127601709003834-0.0124450499786162i</v>
      </c>
      <c r="BF382" s="37">
        <f t="shared" si="360"/>
        <v>-34.979811032559056</v>
      </c>
      <c r="BG382" s="60">
        <f t="shared" si="361"/>
        <v>-44.283713547824277</v>
      </c>
      <c r="BH382" s="58" t="str">
        <f t="shared" si="362"/>
        <v>0.0367794976490441+0.0351471020614818i</v>
      </c>
      <c r="BI382" s="37">
        <f t="shared" si="363"/>
        <v>-25.870272988393307</v>
      </c>
      <c r="BJ382" s="60">
        <f t="shared" si="364"/>
        <v>43.699878421365689</v>
      </c>
      <c r="BK382">
        <f t="shared" si="365"/>
        <v>-34.979811032559056</v>
      </c>
      <c r="BL382" s="60">
        <f t="shared" si="366"/>
        <v>-44.283713547824277</v>
      </c>
      <c r="BN382">
        <f t="shared" si="367"/>
        <v>0</v>
      </c>
      <c r="BO382">
        <f t="shared" si="368"/>
        <v>0</v>
      </c>
    </row>
    <row r="383" spans="13:67" ht="14.25" x14ac:dyDescent="0.2">
      <c r="M383" s="66">
        <v>65</v>
      </c>
      <c r="N383" s="36">
        <f t="shared" si="316"/>
        <v>44668.359215096389</v>
      </c>
      <c r="O383" s="91" t="str">
        <f t="shared" si="317"/>
        <v>99.7340425531915</v>
      </c>
      <c r="P383" s="67" t="str">
        <f t="shared" si="318"/>
        <v>1+8151.07073194672i</v>
      </c>
      <c r="Q383" s="67">
        <f t="shared" si="329"/>
        <v>8151.0707932883543</v>
      </c>
      <c r="R383" s="67">
        <f t="shared" si="330"/>
        <v>1.5706736435269102</v>
      </c>
      <c r="S383" s="67" t="str">
        <f t="shared" si="319"/>
        <v>1+15.3240129760598i</v>
      </c>
      <c r="T383" s="67">
        <f t="shared" si="331"/>
        <v>15.356606841696808</v>
      </c>
      <c r="U383" s="67">
        <f t="shared" si="332"/>
        <v>1.5056316650988268</v>
      </c>
      <c r="V383" t="str">
        <f t="shared" si="320"/>
        <v>1-1.58292002170288i</v>
      </c>
      <c r="W383" s="67">
        <f t="shared" si="333"/>
        <v>1.8723343171313842</v>
      </c>
      <c r="X383" s="67">
        <f t="shared" si="334"/>
        <v>-1.0073621881095165</v>
      </c>
      <c r="Y383" t="str">
        <f t="shared" si="321"/>
        <v>0.527748564504404+2.446775810961i</v>
      </c>
      <c r="Z383" s="67">
        <f t="shared" si="335"/>
        <v>2.5030442298210227</v>
      </c>
      <c r="AA383" s="67">
        <f t="shared" si="336"/>
        <v>1.3583593835109604</v>
      </c>
      <c r="AB383" s="92" t="str">
        <f t="shared" si="337"/>
        <v>-0.106513740079752-0.0917052764809889i</v>
      </c>
      <c r="AC383" s="37">
        <f t="shared" si="338"/>
        <v>-17.043222062100853</v>
      </c>
      <c r="AD383" s="60">
        <f t="shared" si="339"/>
        <v>-139.2724924120196</v>
      </c>
      <c r="AE383" t="str">
        <f t="shared" si="340"/>
        <v>118.329284003155</v>
      </c>
      <c r="AF383" t="str">
        <f t="shared" si="322"/>
        <v>1+6520.85658555738i</v>
      </c>
      <c r="AG383">
        <f t="shared" si="341"/>
        <v>6520.8566622344224</v>
      </c>
      <c r="AH383">
        <f t="shared" si="342"/>
        <v>1.5706429727103466</v>
      </c>
      <c r="AI383" t="str">
        <f t="shared" si="323"/>
        <v>1+15.3240129760598i</v>
      </c>
      <c r="AJ383">
        <f t="shared" si="343"/>
        <v>15.356606841696808</v>
      </c>
      <c r="AK383">
        <f t="shared" si="344"/>
        <v>1.5056316650988268</v>
      </c>
      <c r="AL383" t="str">
        <f t="shared" si="324"/>
        <v>1-1.06730149274156i</v>
      </c>
      <c r="AM383">
        <f t="shared" si="345"/>
        <v>1.4625773403168676</v>
      </c>
      <c r="AN383">
        <f t="shared" si="346"/>
        <v>-0.81794190785614163</v>
      </c>
      <c r="AO383" s="58" t="str">
        <f t="shared" si="347"/>
        <v>0.258754557031083-0.314895198508776i</v>
      </c>
      <c r="AP383">
        <f t="shared" si="348"/>
        <v>-7.7959662193446295</v>
      </c>
      <c r="AQ383" s="60">
        <f t="shared" si="349"/>
        <v>-50.589492753802048</v>
      </c>
      <c r="AR383" t="str">
        <f t="shared" si="325"/>
        <v>-1.94444444444444</v>
      </c>
      <c r="AS383" t="str">
        <f t="shared" si="326"/>
        <v>1+15.7169363857023i</v>
      </c>
      <c r="AT383">
        <f t="shared" si="350"/>
        <v>15.748717070041385</v>
      </c>
      <c r="AU383">
        <f t="shared" si="351"/>
        <v>1.5072563444041669</v>
      </c>
      <c r="AV383" t="str">
        <f t="shared" si="327"/>
        <v>1+15.7169363857023i</v>
      </c>
      <c r="AW383">
        <f t="shared" si="352"/>
        <v>15.748717070041385</v>
      </c>
      <c r="AX383">
        <f t="shared" si="353"/>
        <v>1.5072563444041669</v>
      </c>
      <c r="AY383" t="str">
        <f t="shared" si="328"/>
        <v>1-0.000135373683665451i</v>
      </c>
      <c r="AZ383">
        <f t="shared" si="354"/>
        <v>1.000000009163017</v>
      </c>
      <c r="BA383">
        <f t="shared" si="355"/>
        <v>-1.3537368283849676E-4</v>
      </c>
      <c r="BB383" s="58" t="str">
        <f t="shared" si="356"/>
        <v>-0.00782312306808202+0.123218754205693i</v>
      </c>
      <c r="BC383">
        <f t="shared" si="357"/>
        <v>-18.168992752466206</v>
      </c>
      <c r="BD383" s="60">
        <f t="shared" si="358"/>
        <v>93.632816480640571</v>
      </c>
      <c r="BE383" s="58" t="str">
        <f t="shared" si="359"/>
        <v>0.0121330800191617-0.0124070686945128i</v>
      </c>
      <c r="BF383" s="37">
        <f t="shared" si="360"/>
        <v>-35.212214814567048</v>
      </c>
      <c r="BG383" s="60">
        <f t="shared" si="361"/>
        <v>-45.639675931379081</v>
      </c>
      <c r="BH383" s="58" t="str">
        <f t="shared" si="362"/>
        <v>0.0367767253215246+0.0343468780538983i</v>
      </c>
      <c r="BI383" s="37">
        <f t="shared" si="363"/>
        <v>-25.964958971810827</v>
      </c>
      <c r="BJ383" s="60">
        <f t="shared" si="364"/>
        <v>43.043323726838537</v>
      </c>
      <c r="BK383">
        <f t="shared" si="365"/>
        <v>-35.212214814567048</v>
      </c>
      <c r="BL383" s="60">
        <f t="shared" si="366"/>
        <v>-45.639675931379081</v>
      </c>
      <c r="BN383">
        <f t="shared" si="367"/>
        <v>0</v>
      </c>
      <c r="BO383">
        <f t="shared" si="368"/>
        <v>0</v>
      </c>
    </row>
    <row r="384" spans="13:67" ht="14.25" x14ac:dyDescent="0.2">
      <c r="M384" s="66">
        <v>66</v>
      </c>
      <c r="N384" s="36">
        <f t="shared" ref="N384:N418" si="369">10^(4+(M384/100))</f>
        <v>45708.818961487581</v>
      </c>
      <c r="O384" s="91" t="str">
        <f t="shared" si="317"/>
        <v>99.7340425531915</v>
      </c>
      <c r="P384" s="67" t="str">
        <f t="shared" si="318"/>
        <v>1+8340.93355958581i</v>
      </c>
      <c r="Q384" s="67">
        <f t="shared" si="329"/>
        <v>8340.9336195311371</v>
      </c>
      <c r="R384" s="67">
        <f t="shared" si="330"/>
        <v>1.5706764361390049</v>
      </c>
      <c r="S384" s="67" t="str">
        <f t="shared" si="319"/>
        <v>1+15.6809550920213i</v>
      </c>
      <c r="T384" s="67">
        <f t="shared" si="331"/>
        <v>15.712808552196794</v>
      </c>
      <c r="U384" s="67">
        <f t="shared" si="332"/>
        <v>1.5071109399281535</v>
      </c>
      <c r="V384" t="str">
        <f t="shared" si="320"/>
        <v>1-1.61979096554946i</v>
      </c>
      <c r="W384" s="67">
        <f t="shared" si="333"/>
        <v>1.9036078304303259</v>
      </c>
      <c r="X384" s="67">
        <f t="shared" si="334"/>
        <v>-1.0177072030330956</v>
      </c>
      <c r="Y384" t="str">
        <f t="shared" si="321"/>
        <v>0.505492040034546+2.50376854103844i</v>
      </c>
      <c r="Z384" s="67">
        <f t="shared" si="335"/>
        <v>2.5542864188716279</v>
      </c>
      <c r="AA384" s="67">
        <f t="shared" si="336"/>
        <v>1.3715817386823905</v>
      </c>
      <c r="AB384" s="92" t="str">
        <f t="shared" si="337"/>
        <v>-0.108102338813207-0.088991685726456i</v>
      </c>
      <c r="AC384" s="37">
        <f t="shared" si="338"/>
        <v>-17.076190695290503</v>
      </c>
      <c r="AD384" s="60">
        <f t="shared" si="339"/>
        <v>-140.53820705311307</v>
      </c>
      <c r="AE384" t="str">
        <f t="shared" si="340"/>
        <v>118.329284003155</v>
      </c>
      <c r="AF384" t="str">
        <f t="shared" si="322"/>
        <v>1+6672.74684766865i</v>
      </c>
      <c r="AG384">
        <f t="shared" si="341"/>
        <v>6672.7469226003095</v>
      </c>
      <c r="AH384">
        <f t="shared" si="342"/>
        <v>1.5706464634754358</v>
      </c>
      <c r="AI384" t="str">
        <f t="shared" si="323"/>
        <v>1+15.6809550920213i</v>
      </c>
      <c r="AJ384">
        <f t="shared" si="343"/>
        <v>15.712808552196794</v>
      </c>
      <c r="AK384">
        <f t="shared" si="344"/>
        <v>1.5071109399281535</v>
      </c>
      <c r="AL384" t="str">
        <f t="shared" si="324"/>
        <v>1-1.09216213817323i</v>
      </c>
      <c r="AM384">
        <f t="shared" si="345"/>
        <v>1.4808167125134435</v>
      </c>
      <c r="AN384">
        <f t="shared" si="346"/>
        <v>-0.82942084794833826</v>
      </c>
      <c r="AO384" s="58" t="str">
        <f t="shared" si="347"/>
        <v>0.258754432058062-0.321396136614166i</v>
      </c>
      <c r="AP384">
        <f t="shared" si="348"/>
        <v>-7.6891458154625614</v>
      </c>
      <c r="AQ384" s="60">
        <f t="shared" si="349"/>
        <v>-51.162631376015078</v>
      </c>
      <c r="AR384" t="str">
        <f t="shared" si="325"/>
        <v>-1.94444444444444</v>
      </c>
      <c r="AS384" t="str">
        <f t="shared" si="326"/>
        <v>1+16.0830308636116i</v>
      </c>
      <c r="AT384">
        <f t="shared" si="350"/>
        <v>16.114089541760755</v>
      </c>
      <c r="AU384">
        <f t="shared" si="351"/>
        <v>1.5086989326037745</v>
      </c>
      <c r="AV384" t="str">
        <f t="shared" si="327"/>
        <v>1+16.0830308636116i</v>
      </c>
      <c r="AW384">
        <f t="shared" si="352"/>
        <v>16.114089541760755</v>
      </c>
      <c r="AX384">
        <f t="shared" si="353"/>
        <v>1.5086989326037745</v>
      </c>
      <c r="AY384" t="str">
        <f t="shared" si="328"/>
        <v>1-0.000132292202415776i</v>
      </c>
      <c r="AZ384">
        <f t="shared" si="354"/>
        <v>1.0000000087506133</v>
      </c>
      <c r="BA384">
        <f t="shared" si="355"/>
        <v>-1.322922016440174E-4</v>
      </c>
      <c r="BB384" s="58" t="str">
        <f t="shared" si="356"/>
        <v>-0.00747238050765735+0.120435761167334i</v>
      </c>
      <c r="BC384">
        <f t="shared" si="357"/>
        <v>-18.36820459055448</v>
      </c>
      <c r="BD384" s="60">
        <f t="shared" si="358"/>
        <v>93.550338821094783</v>
      </c>
      <c r="BE384" s="58" t="str">
        <f t="shared" si="359"/>
        <v>0.0115255632174099-0.0123544077211717i</v>
      </c>
      <c r="BF384" s="37">
        <f t="shared" si="360"/>
        <v>-35.444395285844969</v>
      </c>
      <c r="BG384" s="60">
        <f t="shared" si="361"/>
        <v>-46.987868232018286</v>
      </c>
      <c r="BH384" s="58" t="str">
        <f t="shared" si="362"/>
        <v>0.0367740767749869+0.033564881206806i</v>
      </c>
      <c r="BI384" s="37">
        <f t="shared" si="363"/>
        <v>-26.057350406017044</v>
      </c>
      <c r="BJ384" s="60">
        <f t="shared" si="364"/>
        <v>42.387707445079755</v>
      </c>
      <c r="BK384">
        <f t="shared" si="365"/>
        <v>-35.444395285844969</v>
      </c>
      <c r="BL384" s="60">
        <f t="shared" si="366"/>
        <v>-46.987868232018286</v>
      </c>
      <c r="BN384">
        <f t="shared" si="367"/>
        <v>0</v>
      </c>
      <c r="BO384">
        <f t="shared" si="368"/>
        <v>0</v>
      </c>
    </row>
    <row r="385" spans="13:67" ht="14.25" x14ac:dyDescent="0.2">
      <c r="M385" s="66">
        <v>67</v>
      </c>
      <c r="N385" s="36">
        <f t="shared" si="369"/>
        <v>46773.514128719893</v>
      </c>
      <c r="O385" s="91" t="str">
        <f t="shared" si="317"/>
        <v>99.7340425531915</v>
      </c>
      <c r="P385" s="67" t="str">
        <f t="shared" si="318"/>
        <v>1+8535.21886060355i</v>
      </c>
      <c r="Q385" s="67">
        <f t="shared" si="329"/>
        <v>8535.2189191843554</v>
      </c>
      <c r="R385" s="67">
        <f t="shared" si="330"/>
        <v>1.570679165183489</v>
      </c>
      <c r="S385" s="67" t="str">
        <f t="shared" si="319"/>
        <v>1+16.0462114579347i</v>
      </c>
      <c r="T385" s="67">
        <f t="shared" si="331"/>
        <v>16.077341265046122</v>
      </c>
      <c r="U385" s="67">
        <f t="shared" si="332"/>
        <v>1.5085568120887898</v>
      </c>
      <c r="V385" t="str">
        <f t="shared" si="320"/>
        <v>1-1.65752074400644i</v>
      </c>
      <c r="W385" s="67">
        <f t="shared" si="333"/>
        <v>1.9358137867087482</v>
      </c>
      <c r="X385" s="67">
        <f t="shared" si="334"/>
        <v>-1.027946043638889</v>
      </c>
      <c r="Y385" t="str">
        <f t="shared" si="321"/>
        <v>0.482186597881759+2.56208880233765i</v>
      </c>
      <c r="Z385" s="67">
        <f t="shared" si="335"/>
        <v>2.6070678829368363</v>
      </c>
      <c r="AA385" s="67">
        <f t="shared" si="336"/>
        <v>1.3847716763322262</v>
      </c>
      <c r="AB385" s="92" t="str">
        <f t="shared" si="337"/>
        <v>-0.109618818085102-0.0862680371185914i</v>
      </c>
      <c r="AC385" s="37">
        <f t="shared" si="338"/>
        <v>-17.108915450663879</v>
      </c>
      <c r="AD385" s="60">
        <f t="shared" si="339"/>
        <v>-141.79789115651948</v>
      </c>
      <c r="AE385" t="str">
        <f t="shared" si="340"/>
        <v>118.329284003155</v>
      </c>
      <c r="AF385" t="str">
        <f t="shared" si="322"/>
        <v>1+6828.17508848284i</v>
      </c>
      <c r="AG385">
        <f t="shared" si="341"/>
        <v>6828.1751617088466</v>
      </c>
      <c r="AH385">
        <f t="shared" si="342"/>
        <v>1.570649874781014</v>
      </c>
      <c r="AI385" t="str">
        <f t="shared" si="323"/>
        <v>1+16.0462114579347i</v>
      </c>
      <c r="AJ385">
        <f t="shared" si="343"/>
        <v>16.077341265046122</v>
      </c>
      <c r="AK385">
        <f t="shared" si="344"/>
        <v>1.5085568120887898</v>
      </c>
      <c r="AL385" t="str">
        <f t="shared" si="324"/>
        <v>1-1.11760186242703i</v>
      </c>
      <c r="AM385">
        <f t="shared" si="345"/>
        <v>1.4996779397258488</v>
      </c>
      <c r="AN385">
        <f t="shared" si="346"/>
        <v>-0.84087657317862841</v>
      </c>
      <c r="AO385" s="58" t="str">
        <f t="shared" si="347"/>
        <v>0.258754312709756-0.328067483203684i</v>
      </c>
      <c r="AP385">
        <f t="shared" si="348"/>
        <v>-7.5800036670182322</v>
      </c>
      <c r="AQ385" s="60">
        <f t="shared" si="349"/>
        <v>-51.736349163864595</v>
      </c>
      <c r="AR385" t="str">
        <f t="shared" si="325"/>
        <v>-1.94444444444444</v>
      </c>
      <c r="AS385" t="str">
        <f t="shared" si="326"/>
        <v>1+16.4576527773688i</v>
      </c>
      <c r="AT385">
        <f t="shared" si="350"/>
        <v>16.488005790283886</v>
      </c>
      <c r="AU385">
        <f t="shared" si="351"/>
        <v>1.5101089335956632</v>
      </c>
      <c r="AV385" t="str">
        <f t="shared" si="327"/>
        <v>1+16.4576527773688i</v>
      </c>
      <c r="AW385">
        <f t="shared" si="352"/>
        <v>16.488005790283886</v>
      </c>
      <c r="AX385">
        <f t="shared" si="353"/>
        <v>1.5101089335956632</v>
      </c>
      <c r="AY385" t="str">
        <f t="shared" si="328"/>
        <v>1-0.000129280864242917i</v>
      </c>
      <c r="AZ385">
        <f t="shared" si="354"/>
        <v>1.0000000083567708</v>
      </c>
      <c r="BA385">
        <f t="shared" si="355"/>
        <v>-1.2928086352266994E-4</v>
      </c>
      <c r="BB385" s="58" t="str">
        <f t="shared" si="356"/>
        <v>-0.00713730509035411+0.117714668401445i</v>
      </c>
      <c r="BC385">
        <f t="shared" si="357"/>
        <v>-18.567451768222721</v>
      </c>
      <c r="BD385" s="60">
        <f t="shared" si="358"/>
        <v>93.469724252115341</v>
      </c>
      <c r="BE385" s="58" t="str">
        <f t="shared" si="359"/>
        <v>0.0109373963313759-0.0122880215209847i</v>
      </c>
      <c r="BF385" s="37">
        <f t="shared" si="360"/>
        <v>-35.676367218886618</v>
      </c>
      <c r="BG385" s="60">
        <f t="shared" si="361"/>
        <v>-48.328166904404171</v>
      </c>
      <c r="BH385" s="58" t="str">
        <f t="shared" si="362"/>
        <v>0.0367715465253639+0.0328006958359221i</v>
      </c>
      <c r="BI385" s="37">
        <f t="shared" si="363"/>
        <v>-26.147455435240939</v>
      </c>
      <c r="BJ385" s="60">
        <f t="shared" si="364"/>
        <v>41.733375088250781</v>
      </c>
      <c r="BK385">
        <f t="shared" si="365"/>
        <v>-35.676367218886618</v>
      </c>
      <c r="BL385" s="60">
        <f t="shared" si="366"/>
        <v>-48.328166904404171</v>
      </c>
      <c r="BN385">
        <f t="shared" si="367"/>
        <v>0</v>
      </c>
      <c r="BO385">
        <f t="shared" si="368"/>
        <v>0</v>
      </c>
    </row>
    <row r="386" spans="13:67" ht="14.25" x14ac:dyDescent="0.2">
      <c r="M386" s="66">
        <v>68</v>
      </c>
      <c r="N386" s="36">
        <f t="shared" si="369"/>
        <v>47863.009232263823</v>
      </c>
      <c r="O386" s="91" t="str">
        <f t="shared" si="317"/>
        <v>99.7340425531915</v>
      </c>
      <c r="P386" s="67" t="str">
        <f t="shared" si="318"/>
        <v>1+8734.02964763811i</v>
      </c>
      <c r="Q386" s="67">
        <f t="shared" si="329"/>
        <v>8734.0297048854536</v>
      </c>
      <c r="R386" s="67">
        <f t="shared" si="330"/>
        <v>1.5706818321073384</v>
      </c>
      <c r="S386" s="67" t="str">
        <f t="shared" si="319"/>
        <v>1+16.4199757375596i</v>
      </c>
      <c r="T386" s="67">
        <f t="shared" si="331"/>
        <v>16.450398269405088</v>
      </c>
      <c r="U386" s="67">
        <f t="shared" si="332"/>
        <v>1.5099700240063514</v>
      </c>
      <c r="V386" t="str">
        <f t="shared" si="320"/>
        <v>1-1.69612936190176i</v>
      </c>
      <c r="W386" s="67">
        <f t="shared" si="333"/>
        <v>1.9689730349360479</v>
      </c>
      <c r="X386" s="67">
        <f t="shared" si="334"/>
        <v>-1.0380755512477793</v>
      </c>
      <c r="Y386" t="str">
        <f t="shared" si="321"/>
        <v>0.457782804078633+2.6217675170331i</v>
      </c>
      <c r="Z386" s="67">
        <f t="shared" si="335"/>
        <v>2.661433825793909</v>
      </c>
      <c r="AA386" s="67">
        <f t="shared" si="336"/>
        <v>1.3979305852613988</v>
      </c>
      <c r="AB386" s="92" t="str">
        <f t="shared" si="337"/>
        <v>-0.111063462114779-0.0835362125462522i</v>
      </c>
      <c r="AC386" s="37">
        <f t="shared" si="338"/>
        <v>-17.141414575938192</v>
      </c>
      <c r="AD386" s="60">
        <f t="shared" si="339"/>
        <v>-143.0514008607403</v>
      </c>
      <c r="AE386" t="str">
        <f t="shared" si="340"/>
        <v>118.329284003155</v>
      </c>
      <c r="AF386" t="str">
        <f t="shared" si="322"/>
        <v>1+6987.22371811049i</v>
      </c>
      <c r="AG386">
        <f t="shared" si="341"/>
        <v>6987.2237896696697</v>
      </c>
      <c r="AH386">
        <f t="shared" si="342"/>
        <v>1.5706532084358007</v>
      </c>
      <c r="AI386" t="str">
        <f t="shared" si="323"/>
        <v>1+16.4199757375596i</v>
      </c>
      <c r="AJ386">
        <f t="shared" si="343"/>
        <v>16.450398269405088</v>
      </c>
      <c r="AK386">
        <f t="shared" si="344"/>
        <v>1.5099700240063514</v>
      </c>
      <c r="AL386" t="str">
        <f t="shared" si="324"/>
        <v>1-1.1436341539815i</v>
      </c>
      <c r="AM386">
        <f t="shared" si="345"/>
        <v>1.519177105591373</v>
      </c>
      <c r="AN386">
        <f t="shared" si="346"/>
        <v>-0.85230313149552317</v>
      </c>
      <c r="AO386" s="58" t="str">
        <f t="shared" si="347"/>
        <v>0.258754198733006-0.334912775513707i</v>
      </c>
      <c r="AP386">
        <f t="shared" si="348"/>
        <v>-7.4685518583213462</v>
      </c>
      <c r="AQ386" s="60">
        <f t="shared" si="349"/>
        <v>-52.310262655698523</v>
      </c>
      <c r="AR386" t="str">
        <f t="shared" si="325"/>
        <v>-1.94444444444444</v>
      </c>
      <c r="AS386" t="str">
        <f t="shared" si="326"/>
        <v>1+16.8410007564714i</v>
      </c>
      <c r="AT386">
        <f t="shared" si="350"/>
        <v>16.870664079385559</v>
      </c>
      <c r="AU386">
        <f t="shared" si="351"/>
        <v>1.5114870725425469</v>
      </c>
      <c r="AV386" t="str">
        <f t="shared" si="327"/>
        <v>1+16.8410007564714i</v>
      </c>
      <c r="AW386">
        <f t="shared" si="352"/>
        <v>16.870664079385559</v>
      </c>
      <c r="AX386">
        <f t="shared" si="353"/>
        <v>1.5114870725425469</v>
      </c>
      <c r="AY386" t="str">
        <f t="shared" si="328"/>
        <v>1-0.000126338072495514i</v>
      </c>
      <c r="AZ386">
        <f t="shared" si="354"/>
        <v>1.0000000079806541</v>
      </c>
      <c r="BA386">
        <f t="shared" si="355"/>
        <v>-1.2633807182334036E-4</v>
      </c>
      <c r="BB386" s="58" t="str">
        <f t="shared" si="356"/>
        <v>-0.00681720208163444+0.11505416277701i</v>
      </c>
      <c r="BC386">
        <f t="shared" si="357"/>
        <v>-18.7667327066365</v>
      </c>
      <c r="BD386" s="60">
        <f t="shared" si="358"/>
        <v>93.390931316420662</v>
      </c>
      <c r="BE386" s="58" t="str">
        <f t="shared" si="359"/>
        <v>0.0103683310611938-0.0122088304066699i</v>
      </c>
      <c r="BF386" s="37">
        <f t="shared" si="360"/>
        <v>-35.908147282574696</v>
      </c>
      <c r="BG386" s="60">
        <f t="shared" si="361"/>
        <v>-49.66046954431966</v>
      </c>
      <c r="BH386" s="58" t="str">
        <f t="shared" si="362"/>
        <v>0.03676912932782+0.0320539157706601i</v>
      </c>
      <c r="BI386" s="37">
        <f t="shared" si="363"/>
        <v>-26.235284564957837</v>
      </c>
      <c r="BJ386" s="60">
        <f t="shared" si="364"/>
        <v>41.080668660722139</v>
      </c>
      <c r="BK386">
        <f t="shared" si="365"/>
        <v>-35.908147282574696</v>
      </c>
      <c r="BL386" s="60">
        <f t="shared" si="366"/>
        <v>-49.66046954431966</v>
      </c>
      <c r="BN386">
        <f t="shared" si="367"/>
        <v>0</v>
      </c>
      <c r="BO386">
        <f t="shared" si="368"/>
        <v>0</v>
      </c>
    </row>
    <row r="387" spans="13:67" ht="14.25" x14ac:dyDescent="0.2">
      <c r="M387" s="66">
        <v>69</v>
      </c>
      <c r="N387" s="36">
        <f t="shared" si="369"/>
        <v>48977.881936844598</v>
      </c>
      <c r="O387" s="91" t="str">
        <f t="shared" si="317"/>
        <v>99.7340425531915</v>
      </c>
      <c r="P387" s="67" t="str">
        <f t="shared" si="318"/>
        <v>1+8937.47133280041i</v>
      </c>
      <c r="Q387" s="67">
        <f t="shared" si="329"/>
        <v>8937.4713887446451</v>
      </c>
      <c r="R387" s="67">
        <f t="shared" si="330"/>
        <v>1.570684438324591</v>
      </c>
      <c r="S387" s="67" t="str">
        <f t="shared" si="319"/>
        <v>1+16.8024461056648i</v>
      </c>
      <c r="T387" s="67">
        <f t="shared" si="331"/>
        <v>16.832177373523908</v>
      </c>
      <c r="U387" s="67">
        <f t="shared" si="332"/>
        <v>1.5113513023923864</v>
      </c>
      <c r="V387" t="str">
        <f t="shared" si="320"/>
        <v>1-1.7356372900357i</v>
      </c>
      <c r="W387" s="67">
        <f t="shared" si="333"/>
        <v>2.0031067876083064</v>
      </c>
      <c r="X387" s="67">
        <f t="shared" si="334"/>
        <v>-1.0480927812881899</v>
      </c>
      <c r="Y387" t="str">
        <f t="shared" si="321"/>
        <v>0.432228894906631+2.68283632756928i</v>
      </c>
      <c r="Z387" s="67">
        <f t="shared" si="335"/>
        <v>2.7174312462540113</v>
      </c>
      <c r="AA387" s="67">
        <f t="shared" si="336"/>
        <v>1.4110600003071723</v>
      </c>
      <c r="AB387" s="92" t="str">
        <f t="shared" si="337"/>
        <v>-0.112436610714713-0.0807980257523146i</v>
      </c>
      <c r="AC387" s="37">
        <f t="shared" si="338"/>
        <v>-17.173708099130188</v>
      </c>
      <c r="AD387" s="60">
        <f t="shared" si="339"/>
        <v>-144.29861383746243</v>
      </c>
      <c r="AE387" t="str">
        <f t="shared" si="340"/>
        <v>118.329284003155</v>
      </c>
      <c r="AF387" t="str">
        <f t="shared" si="322"/>
        <v>1+7149.97706624032i</v>
      </c>
      <c r="AG387">
        <f t="shared" si="341"/>
        <v>7149.9771361706134</v>
      </c>
      <c r="AH387">
        <f t="shared" si="342"/>
        <v>1.570656466207343</v>
      </c>
      <c r="AI387" t="str">
        <f t="shared" si="323"/>
        <v>1+16.8024461056648i</v>
      </c>
      <c r="AJ387">
        <f t="shared" si="343"/>
        <v>16.832177373523908</v>
      </c>
      <c r="AK387">
        <f t="shared" si="344"/>
        <v>1.5113513023923864</v>
      </c>
      <c r="AL387" t="str">
        <f t="shared" si="324"/>
        <v>1-1.17027281550219i</v>
      </c>
      <c r="AM387">
        <f t="shared" si="345"/>
        <v>1.5393305241901178</v>
      </c>
      <c r="AN387">
        <f t="shared" si="346"/>
        <v>-0.86369464696617693</v>
      </c>
      <c r="AO387" s="58" t="str">
        <f t="shared" si="347"/>
        <v>0.258754089886058-0.341935643008934i</v>
      </c>
      <c r="AP387">
        <f t="shared" si="348"/>
        <v>-7.3548047215431556</v>
      </c>
      <c r="AQ387" s="60">
        <f t="shared" si="349"/>
        <v>-52.883993649132435</v>
      </c>
      <c r="AR387" t="str">
        <f t="shared" si="325"/>
        <v>-1.94444444444444</v>
      </c>
      <c r="AS387" t="str">
        <f t="shared" si="326"/>
        <v>1+17.233278057092i</v>
      </c>
      <c r="AT387">
        <f t="shared" si="350"/>
        <v>17.262267307426583</v>
      </c>
      <c r="AU387">
        <f t="shared" si="351"/>
        <v>1.5128340592004754</v>
      </c>
      <c r="AV387" t="str">
        <f t="shared" si="327"/>
        <v>1+17.233278057092i</v>
      </c>
      <c r="AW387">
        <f t="shared" si="352"/>
        <v>17.262267307426583</v>
      </c>
      <c r="AX387">
        <f t="shared" si="353"/>
        <v>1.5128340592004754</v>
      </c>
      <c r="AY387" t="str">
        <f t="shared" si="328"/>
        <v>1-0.00012346226686643i</v>
      </c>
      <c r="AZ387">
        <f t="shared" si="354"/>
        <v>1.0000000076214657</v>
      </c>
      <c r="BA387">
        <f t="shared" si="355"/>
        <v>-1.2346226623912105E-4</v>
      </c>
      <c r="BB387" s="58" t="str">
        <f t="shared" si="356"/>
        <v>-0.0065114071070578+0.112452954737759i</v>
      </c>
      <c r="BC387">
        <f t="shared" si="357"/>
        <v>-18.966045896995777</v>
      </c>
      <c r="BD387" s="60">
        <f t="shared" si="358"/>
        <v>93.313919437383603</v>
      </c>
      <c r="BE387" s="58" t="str">
        <f t="shared" si="359"/>
        <v>0.00981809727892659-0.0121177202564488i</v>
      </c>
      <c r="BF387" s="37">
        <f t="shared" si="360"/>
        <v>-36.139753996125961</v>
      </c>
      <c r="BG387" s="60">
        <f t="shared" si="361"/>
        <v>-50.984694400078858</v>
      </c>
      <c r="BH387" s="58" t="str">
        <f t="shared" si="362"/>
        <v>0.0367668201666458+0.0313241441342117i</v>
      </c>
      <c r="BI387" s="37">
        <f t="shared" si="363"/>
        <v>-26.32085061853893</v>
      </c>
      <c r="BJ387" s="60">
        <f t="shared" si="364"/>
        <v>40.429925788251232</v>
      </c>
      <c r="BK387">
        <f t="shared" si="365"/>
        <v>-36.139753996125961</v>
      </c>
      <c r="BL387" s="60">
        <f t="shared" si="366"/>
        <v>-50.984694400078858</v>
      </c>
      <c r="BN387">
        <f t="shared" si="367"/>
        <v>0</v>
      </c>
      <c r="BO387">
        <f t="shared" si="368"/>
        <v>0</v>
      </c>
    </row>
    <row r="388" spans="13:67" ht="14.25" x14ac:dyDescent="0.2">
      <c r="M388" s="66">
        <v>70</v>
      </c>
      <c r="N388" s="36">
        <f t="shared" si="369"/>
        <v>50118.723362727294</v>
      </c>
      <c r="O388" s="91" t="str">
        <f t="shared" si="317"/>
        <v>99.7340425531915</v>
      </c>
      <c r="P388" s="67" t="str">
        <f t="shared" si="318"/>
        <v>1+9145.6517835648i</v>
      </c>
      <c r="Q388" s="67">
        <f t="shared" si="329"/>
        <v>9145.651838235588</v>
      </c>
      <c r="R388" s="67">
        <f t="shared" si="330"/>
        <v>1.5706869852170977</v>
      </c>
      <c r="S388" s="67" t="str">
        <f t="shared" si="319"/>
        <v>1+17.1938253531018i</v>
      </c>
      <c r="T388" s="67">
        <f t="shared" si="331"/>
        <v>17.22288100966172</v>
      </c>
      <c r="U388" s="67">
        <f t="shared" si="332"/>
        <v>1.5127013585240063</v>
      </c>
      <c r="V388" t="str">
        <f t="shared" si="320"/>
        <v>1-1.77606547603469i</v>
      </c>
      <c r="W388" s="67">
        <f t="shared" si="333"/>
        <v>2.038236633750441</v>
      </c>
      <c r="X388" s="67">
        <f t="shared" si="334"/>
        <v>-1.0579950030208964</v>
      </c>
      <c r="Y388" t="str">
        <f t="shared" si="321"/>
        <v>0.405470667098324+2.74532761343788i</v>
      </c>
      <c r="Z388" s="67">
        <f t="shared" si="335"/>
        <v>2.7751090369536269</v>
      </c>
      <c r="AA388" s="67">
        <f t="shared" si="336"/>
        <v>1.4241615929898774</v>
      </c>
      <c r="AB388" s="92" t="str">
        <f t="shared" si="337"/>
        <v>-0.113738652453179-0.0780552225620622i</v>
      </c>
      <c r="AC388" s="37">
        <f t="shared" si="338"/>
        <v>-17.205817782898105</v>
      </c>
      <c r="AD388" s="60">
        <f t="shared" si="339"/>
        <v>-145.53942872391161</v>
      </c>
      <c r="AE388" t="str">
        <f t="shared" si="340"/>
        <v>118.329284003155</v>
      </c>
      <c r="AF388" t="str">
        <f t="shared" si="322"/>
        <v>1+7316.52142685184i</v>
      </c>
      <c r="AG388">
        <f t="shared" si="341"/>
        <v>7316.5214951903263</v>
      </c>
      <c r="AH388">
        <f t="shared" si="342"/>
        <v>1.5706596498229544</v>
      </c>
      <c r="AI388" t="str">
        <f t="shared" si="323"/>
        <v>1+17.1938253531018i</v>
      </c>
      <c r="AJ388">
        <f t="shared" si="343"/>
        <v>17.22288100966172</v>
      </c>
      <c r="AK388">
        <f t="shared" si="344"/>
        <v>1.5127013585240063</v>
      </c>
      <c r="AL388" t="str">
        <f t="shared" si="324"/>
        <v>1-1.19753197116006i</v>
      </c>
      <c r="AM388">
        <f t="shared" si="345"/>
        <v>1.5601547429503586</v>
      </c>
      <c r="AN388">
        <f t="shared" si="346"/>
        <v>-0.87504533449521527</v>
      </c>
      <c r="AO388" s="58" t="str">
        <f t="shared" si="347"/>
        <v>0.258753985938025-0.349139809306766i</v>
      </c>
      <c r="AP388">
        <f t="shared" si="348"/>
        <v>-7.2387787871429996</v>
      </c>
      <c r="AQ388" s="60">
        <f t="shared" si="349"/>
        <v>-53.457170028408747</v>
      </c>
      <c r="AR388" t="str">
        <f t="shared" si="325"/>
        <v>-1.94444444444444</v>
      </c>
      <c r="AS388" t="str">
        <f t="shared" si="326"/>
        <v>1+17.634692669848i</v>
      </c>
      <c r="AT388">
        <f t="shared" si="350"/>
        <v>17.663023114970741</v>
      </c>
      <c r="AU388">
        <f t="shared" si="351"/>
        <v>1.5141505881970601</v>
      </c>
      <c r="AV388" t="str">
        <f t="shared" si="327"/>
        <v>1+17.634692669848i</v>
      </c>
      <c r="AW388">
        <f t="shared" si="352"/>
        <v>17.663023114970741</v>
      </c>
      <c r="AX388">
        <f t="shared" si="353"/>
        <v>1.5141505881970601</v>
      </c>
      <c r="AY388" t="str">
        <f t="shared" si="328"/>
        <v>1-0.000120651922565454i</v>
      </c>
      <c r="AZ388">
        <f t="shared" si="354"/>
        <v>1.0000000072784432</v>
      </c>
      <c r="BA388">
        <f t="shared" si="355"/>
        <v>-1.2065192198001522E-4</v>
      </c>
      <c r="BB388" s="58" t="str">
        <f t="shared" si="356"/>
        <v>-0.00621928486482483+0.109909778177967i</v>
      </c>
      <c r="BC388">
        <f t="shared" si="357"/>
        <v>-19.165389897472483</v>
      </c>
      <c r="BD388" s="60">
        <f t="shared" si="358"/>
        <v>93.238648903137744</v>
      </c>
      <c r="BE388" s="58" t="str">
        <f t="shared" si="359"/>
        <v>0.00928640527717573-0.012015542397089i</v>
      </c>
      <c r="BF388" s="37">
        <f t="shared" si="360"/>
        <v>-36.371207680370595</v>
      </c>
      <c r="BG388" s="60">
        <f t="shared" si="361"/>
        <v>-52.300779820773826</v>
      </c>
      <c r="BH388" s="58" t="str">
        <f t="shared" si="362"/>
        <v>0.0367646142455469+0.0306109931288425i</v>
      </c>
      <c r="BI388" s="37">
        <f t="shared" si="363"/>
        <v>-26.404168684615485</v>
      </c>
      <c r="BJ388" s="60">
        <f t="shared" si="364"/>
        <v>39.781478874728968</v>
      </c>
      <c r="BK388">
        <f t="shared" si="365"/>
        <v>-36.371207680370595</v>
      </c>
      <c r="BL388" s="60">
        <f t="shared" si="366"/>
        <v>-52.300779820773826</v>
      </c>
      <c r="BN388">
        <f t="shared" si="367"/>
        <v>0</v>
      </c>
      <c r="BO388">
        <f t="shared" si="368"/>
        <v>0</v>
      </c>
    </row>
    <row r="389" spans="13:67" ht="14.25" x14ac:dyDescent="0.2">
      <c r="M389" s="66">
        <v>71</v>
      </c>
      <c r="N389" s="36">
        <f t="shared" si="369"/>
        <v>51286.138399136544</v>
      </c>
      <c r="O389" s="91" t="str">
        <f t="shared" si="317"/>
        <v>99.7340425531915</v>
      </c>
      <c r="P389" s="67" t="str">
        <f t="shared" si="318"/>
        <v>1+9358.68137996187i</v>
      </c>
      <c r="Q389" s="67">
        <f t="shared" si="329"/>
        <v>9358.6814333882012</v>
      </c>
      <c r="R389" s="67">
        <f t="shared" si="330"/>
        <v>1.5706894741352542</v>
      </c>
      <c r="S389" s="67" t="str">
        <f t="shared" si="319"/>
        <v>1+17.5943209943283i</v>
      </c>
      <c r="T389" s="67">
        <f t="shared" si="331"/>
        <v>17.622716341457167</v>
      </c>
      <c r="U389" s="67">
        <f t="shared" si="332"/>
        <v>1.5140208885222586</v>
      </c>
      <c r="V389" t="str">
        <f t="shared" si="320"/>
        <v>1-1.81743535545809i</v>
      </c>
      <c r="W389" s="67">
        <f t="shared" si="333"/>
        <v>2.0743845524080329</v>
      </c>
      <c r="X389" s="67">
        <f t="shared" si="334"/>
        <v>-1.0677796984628443</v>
      </c>
      <c r="Y389" t="str">
        <f t="shared" si="321"/>
        <v>0.377451362864995+2.80927450834584i</v>
      </c>
      <c r="Z389" s="67">
        <f t="shared" si="335"/>
        <v>2.8345180885946739</v>
      </c>
      <c r="AA389" s="67">
        <f t="shared" si="336"/>
        <v>1.4372371619354145</v>
      </c>
      <c r="AB389" s="92" t="str">
        <f t="shared" si="337"/>
        <v>-0.114970018095004-0.0753094816481224i</v>
      </c>
      <c r="AC389" s="37">
        <f t="shared" si="338"/>
        <v>-17.237767076643856</v>
      </c>
      <c r="AD389" s="60">
        <f t="shared" si="339"/>
        <v>-146.77376449653281</v>
      </c>
      <c r="AE389" t="str">
        <f t="shared" si="340"/>
        <v>118.329284003155</v>
      </c>
      <c r="AF389" t="str">
        <f t="shared" si="322"/>
        <v>1+7486.94510396949i</v>
      </c>
      <c r="AG389">
        <f t="shared" si="341"/>
        <v>7486.9451707524031</v>
      </c>
      <c r="AH389">
        <f t="shared" si="342"/>
        <v>1.5706627609706296</v>
      </c>
      <c r="AI389" t="str">
        <f t="shared" si="323"/>
        <v>1+17.5943209943283i</v>
      </c>
      <c r="AJ389">
        <f t="shared" si="343"/>
        <v>17.622716341457167</v>
      </c>
      <c r="AK389">
        <f t="shared" si="344"/>
        <v>1.5140208885222586</v>
      </c>
      <c r="AL389" t="str">
        <f t="shared" si="324"/>
        <v>1-1.22542607412025i</v>
      </c>
      <c r="AM389">
        <f t="shared" si="345"/>
        <v>1.5816665461258794</v>
      </c>
      <c r="AN389">
        <f t="shared" si="346"/>
        <v>-0.88634951397533646</v>
      </c>
      <c r="AO389" s="58" t="str">
        <f t="shared" si="347"/>
        <v>0.258753886668426-0.356529094151627i</v>
      </c>
      <c r="AP389">
        <f t="shared" si="348"/>
        <v>-7.1204927253372707</v>
      </c>
      <c r="AQ389" s="60">
        <f t="shared" si="349"/>
        <v>-54.029426559268586</v>
      </c>
      <c r="AR389" t="str">
        <f t="shared" si="325"/>
        <v>-1.94444444444444</v>
      </c>
      <c r="AS389" t="str">
        <f t="shared" si="326"/>
        <v>1+18.0454574300803i</v>
      </c>
      <c r="AT389">
        <f t="shared" si="350"/>
        <v>18.07314399491246</v>
      </c>
      <c r="AU389">
        <f t="shared" si="351"/>
        <v>1.5154373393080951</v>
      </c>
      <c r="AV389" t="str">
        <f t="shared" si="327"/>
        <v>1+18.0454574300803i</v>
      </c>
      <c r="AW389">
        <f t="shared" si="352"/>
        <v>18.07314399491246</v>
      </c>
      <c r="AX389">
        <f t="shared" si="353"/>
        <v>1.5154373393080951</v>
      </c>
      <c r="AY389" t="str">
        <f t="shared" si="328"/>
        <v>1-0.00011790554951084i</v>
      </c>
      <c r="AZ389">
        <f t="shared" si="354"/>
        <v>1.0000000069508592</v>
      </c>
      <c r="BA389">
        <f t="shared" si="355"/>
        <v>-1.1790554896447676E-4</v>
      </c>
      <c r="BB389" s="58" t="str">
        <f t="shared" si="356"/>
        <v>-0.00594022788943768+0.107423390294539i</v>
      </c>
      <c r="BC389">
        <f t="shared" si="357"/>
        <v>-19.364763330277711</v>
      </c>
      <c r="BD389" s="60">
        <f t="shared" si="358"/>
        <v>93.165080850774416</v>
      </c>
      <c r="BE389" s="58" t="str">
        <f t="shared" si="359"/>
        <v>0.00877294794790277-0.0119031136427646i</v>
      </c>
      <c r="BF389" s="37">
        <f t="shared" si="360"/>
        <v>-36.602530406921552</v>
      </c>
      <c r="BG389" s="60">
        <f t="shared" si="361"/>
        <v>-53.608683645758497</v>
      </c>
      <c r="BH389" s="58" t="str">
        <f t="shared" si="362"/>
        <v>0.0367625069783205+0.0299140838262867i</v>
      </c>
      <c r="BI389" s="37">
        <f t="shared" si="363"/>
        <v>-26.485256055614983</v>
      </c>
      <c r="BJ389" s="60">
        <f t="shared" si="364"/>
        <v>39.135654291505837</v>
      </c>
      <c r="BK389">
        <f t="shared" si="365"/>
        <v>-36.602530406921552</v>
      </c>
      <c r="BL389" s="60">
        <f t="shared" si="366"/>
        <v>-53.608683645758497</v>
      </c>
      <c r="BN389">
        <f t="shared" si="367"/>
        <v>0</v>
      </c>
      <c r="BO389">
        <f t="shared" si="368"/>
        <v>0</v>
      </c>
    </row>
    <row r="390" spans="13:67" ht="14.25" x14ac:dyDescent="0.2">
      <c r="M390" s="66">
        <v>72</v>
      </c>
      <c r="N390" s="36">
        <f t="shared" si="369"/>
        <v>52480.746024977314</v>
      </c>
      <c r="O390" s="91" t="str">
        <f t="shared" si="317"/>
        <v>99.7340425531915</v>
      </c>
      <c r="P390" s="67" t="str">
        <f t="shared" si="318"/>
        <v>1+9576.67307310334i</v>
      </c>
      <c r="Q390" s="67">
        <f t="shared" si="329"/>
        <v>9576.6731253135367</v>
      </c>
      <c r="R390" s="67">
        <f t="shared" si="330"/>
        <v>1.5706919063987181</v>
      </c>
      <c r="S390" s="67" t="str">
        <f t="shared" si="319"/>
        <v>1+18.0041453774343i</v>
      </c>
      <c r="T390" s="67">
        <f t="shared" si="331"/>
        <v>18.031895373803298</v>
      </c>
      <c r="U390" s="67">
        <f t="shared" si="332"/>
        <v>1.5153105736289176</v>
      </c>
      <c r="V390" t="str">
        <f t="shared" si="320"/>
        <v>1-1.85976886316354i</v>
      </c>
      <c r="W390" s="67">
        <f t="shared" si="333"/>
        <v>2.111572926610068</v>
      </c>
      <c r="X390" s="67">
        <f t="shared" si="334"/>
        <v>-1.0774445605578171</v>
      </c>
      <c r="Y390" t="str">
        <f t="shared" si="321"/>
        <v>0.348111549505759+2.87471091778325i</v>
      </c>
      <c r="Z390" s="67">
        <f t="shared" si="335"/>
        <v>2.8957113999363813</v>
      </c>
      <c r="AA390" s="67">
        <f t="shared" si="336"/>
        <v>1.4502886231032954</v>
      </c>
      <c r="AB390" s="92" t="str">
        <f t="shared" si="337"/>
        <v>-0.116131174353078-0.0725624157920462i</v>
      </c>
      <c r="AC390" s="37">
        <f t="shared" si="338"/>
        <v>-17.269581066898766</v>
      </c>
      <c r="AD390" s="60">
        <f t="shared" si="339"/>
        <v>-148.00155979046784</v>
      </c>
      <c r="AE390" t="str">
        <f t="shared" si="340"/>
        <v>118.329284003155</v>
      </c>
      <c r="AF390" t="str">
        <f t="shared" si="322"/>
        <v>1+7661.33845848268i</v>
      </c>
      <c r="AG390">
        <f t="shared" si="341"/>
        <v>7661.3385237454268</v>
      </c>
      <c r="AH390">
        <f t="shared" si="342"/>
        <v>1.5706658012999404</v>
      </c>
      <c r="AI390" t="str">
        <f t="shared" si="323"/>
        <v>1+18.0041453774343i</v>
      </c>
      <c r="AJ390">
        <f t="shared" si="343"/>
        <v>18.031895373803298</v>
      </c>
      <c r="AK390">
        <f t="shared" si="344"/>
        <v>1.5153105736289176</v>
      </c>
      <c r="AL390" t="str">
        <f t="shared" si="324"/>
        <v>1-1.25396991420537i</v>
      </c>
      <c r="AM390">
        <f t="shared" si="345"/>
        <v>1.6038829588633401</v>
      </c>
      <c r="AN390">
        <f t="shared" si="346"/>
        <v>-0.89760162378900055</v>
      </c>
      <c r="AO390" s="58" t="str">
        <f t="shared" si="347"/>
        <v>0.258753791866695-0.364107415440234i</v>
      </c>
      <c r="AP390">
        <f t="shared" si="348"/>
        <v>-6.9999672791484198</v>
      </c>
      <c r="AQ390" s="60">
        <f t="shared" si="349"/>
        <v>-54.600405646734686</v>
      </c>
      <c r="AR390" t="str">
        <f t="shared" si="325"/>
        <v>-1.94444444444444</v>
      </c>
      <c r="AS390" t="str">
        <f t="shared" si="326"/>
        <v>1+18.4657901307018i</v>
      </c>
      <c r="AT390">
        <f t="shared" si="350"/>
        <v>18.492847405175979</v>
      </c>
      <c r="AU390">
        <f t="shared" si="351"/>
        <v>1.5166949777323178</v>
      </c>
      <c r="AV390" t="str">
        <f t="shared" si="327"/>
        <v>1+18.4657901307018i</v>
      </c>
      <c r="AW390">
        <f t="shared" si="352"/>
        <v>18.492847405175979</v>
      </c>
      <c r="AX390">
        <f t="shared" si="353"/>
        <v>1.5166949777323178</v>
      </c>
      <c r="AY390" t="str">
        <f t="shared" si="328"/>
        <v>1-0.000115221691539241i</v>
      </c>
      <c r="AZ390">
        <f t="shared" si="354"/>
        <v>1.000000006638019</v>
      </c>
      <c r="BA390">
        <f t="shared" si="355"/>
        <v>-1.1522169102934516E-4</v>
      </c>
      <c r="BB390" s="58" t="str">
        <f t="shared" si="356"/>
        <v>-0.00567365536475971+0.104992571417576i</v>
      </c>
      <c r="BC390">
        <f t="shared" si="357"/>
        <v>-19.564164878854303</v>
      </c>
      <c r="BD390" s="60">
        <f t="shared" si="358"/>
        <v>93.093177250645482</v>
      </c>
      <c r="BE390" s="58" t="str">
        <f t="shared" si="359"/>
        <v>0.00827740288266244-0.011781216477434i</v>
      </c>
      <c r="BF390" s="37">
        <f t="shared" si="360"/>
        <v>-36.833745945753094</v>
      </c>
      <c r="BG390" s="60">
        <f t="shared" si="361"/>
        <v>-54.908382539822263</v>
      </c>
      <c r="BH390" s="58" t="str">
        <f t="shared" si="362"/>
        <v>0.0367604939799014+0.0292330459630938i</v>
      </c>
      <c r="BI390" s="37">
        <f t="shared" si="363"/>
        <v>-26.564132158002728</v>
      </c>
      <c r="BJ390" s="60">
        <f t="shared" si="364"/>
        <v>38.492771603910747</v>
      </c>
      <c r="BK390">
        <f t="shared" si="365"/>
        <v>-36.833745945753094</v>
      </c>
      <c r="BL390" s="60">
        <f t="shared" si="366"/>
        <v>-54.908382539822263</v>
      </c>
      <c r="BN390">
        <f t="shared" si="367"/>
        <v>0</v>
      </c>
      <c r="BO390">
        <f t="shared" si="368"/>
        <v>0</v>
      </c>
    </row>
    <row r="391" spans="13:67" ht="14.25" x14ac:dyDescent="0.2">
      <c r="M391" s="66">
        <v>73</v>
      </c>
      <c r="N391" s="36">
        <f t="shared" si="369"/>
        <v>53703.179637025423</v>
      </c>
      <c r="O391" s="91" t="str">
        <f t="shared" si="317"/>
        <v>99.7340425531915</v>
      </c>
      <c r="P391" s="67" t="str">
        <f t="shared" si="318"/>
        <v>1+9799.74244507046i</v>
      </c>
      <c r="Q391" s="67">
        <f t="shared" si="329"/>
        <v>9799.742496092209</v>
      </c>
      <c r="R391" s="67">
        <f t="shared" si="330"/>
        <v>1.5706942832971074</v>
      </c>
      <c r="S391" s="67" t="str">
        <f t="shared" si="319"/>
        <v>1+18.4235157967325i</v>
      </c>
      <c r="T391" s="67">
        <f t="shared" si="331"/>
        <v>18.450635065288456</v>
      </c>
      <c r="U391" s="67">
        <f t="shared" si="332"/>
        <v>1.5165710804814432</v>
      </c>
      <c r="V391" t="str">
        <f t="shared" si="320"/>
        <v>1-1.9030884449372i</v>
      </c>
      <c r="W391" s="67">
        <f t="shared" si="333"/>
        <v>2.1498245577845392</v>
      </c>
      <c r="X391" s="67">
        <f t="shared" si="334"/>
        <v>-1.0869874906448347</v>
      </c>
      <c r="Y391" t="str">
        <f t="shared" si="321"/>
        <v>0.317388993342814+2.94167153700058i</v>
      </c>
      <c r="Z391" s="67">
        <f t="shared" si="335"/>
        <v>2.9587441938590295</v>
      </c>
      <c r="AA391" s="67">
        <f t="shared" si="336"/>
        <v>1.4633179998473542</v>
      </c>
      <c r="AB391" s="92" t="str">
        <f t="shared" si="337"/>
        <v>-0.117222617978923-0.0698155736019289i</v>
      </c>
      <c r="AC391" s="37">
        <f t="shared" si="338"/>
        <v>-17.301286426471055</v>
      </c>
      <c r="AD391" s="60">
        <f t="shared" si="339"/>
        <v>-149.22277216931192</v>
      </c>
      <c r="AE391" t="str">
        <f t="shared" si="340"/>
        <v>118.329284003155</v>
      </c>
      <c r="AF391" t="str">
        <f t="shared" si="322"/>
        <v>1+7839.79395605637i</v>
      </c>
      <c r="AG391">
        <f t="shared" si="341"/>
        <v>7839.7940198335555</v>
      </c>
      <c r="AH391">
        <f t="shared" si="342"/>
        <v>1.5706687724229091</v>
      </c>
      <c r="AI391" t="str">
        <f t="shared" si="323"/>
        <v>1+18.4235157967325i</v>
      </c>
      <c r="AJ391">
        <f t="shared" si="343"/>
        <v>18.450635065288456</v>
      </c>
      <c r="AK391">
        <f t="shared" si="344"/>
        <v>1.5165710804814432</v>
      </c>
      <c r="AL391" t="str">
        <f t="shared" si="324"/>
        <v>1-1.28317862573726i</v>
      </c>
      <c r="AM391">
        <f t="shared" si="345"/>
        <v>1.626821251874023</v>
      </c>
      <c r="AN391">
        <f t="shared" si="346"/>
        <v>-0.90879623358773642</v>
      </c>
      <c r="AO391" s="58" t="str">
        <f t="shared" si="347"/>
        <v>0.258753701331745-0.371878791298926i</v>
      </c>
      <c r="AP391">
        <f t="shared" si="348"/>
        <v>-6.8772251896301961</v>
      </c>
      <c r="AQ391" s="60">
        <f t="shared" si="349"/>
        <v>-55.169758051607516</v>
      </c>
      <c r="AR391" t="str">
        <f t="shared" si="325"/>
        <v>-1.94444444444444</v>
      </c>
      <c r="AS391" t="str">
        <f t="shared" si="326"/>
        <v>1+18.8959136376743i</v>
      </c>
      <c r="AT391">
        <f t="shared" si="350"/>
        <v>18.922355884044819</v>
      </c>
      <c r="AU391">
        <f t="shared" si="351"/>
        <v>1.5179241543640567</v>
      </c>
      <c r="AV391" t="str">
        <f t="shared" si="327"/>
        <v>1+18.8959136376743i</v>
      </c>
      <c r="AW391">
        <f t="shared" si="352"/>
        <v>18.922355884044819</v>
      </c>
      <c r="AX391">
        <f t="shared" si="353"/>
        <v>1.5179241543640567</v>
      </c>
      <c r="AY391" t="str">
        <f t="shared" si="328"/>
        <v>1-0.000112598925633635i</v>
      </c>
      <c r="AZ391">
        <f t="shared" si="354"/>
        <v>1.0000000063392589</v>
      </c>
      <c r="BA391">
        <f t="shared" si="355"/>
        <v>-1.125989251577725E-4</v>
      </c>
      <c r="BB391" s="58" t="str">
        <f t="shared" si="356"/>
        <v>-0.00541901198478872+0.102616124821488i</v>
      </c>
      <c r="BC391">
        <f t="shared" si="357"/>
        <v>-19.76359328518901</v>
      </c>
      <c r="BD391" s="60">
        <f t="shared" si="358"/>
        <v>93.022900890785834</v>
      </c>
      <c r="BE391" s="58" t="str">
        <f t="shared" si="359"/>
        <v>0.00779943438693541-0.011650599368353i</v>
      </c>
      <c r="BF391" s="37">
        <f t="shared" si="360"/>
        <v>-37.064879711660076</v>
      </c>
      <c r="BG391" s="60">
        <f t="shared" si="361"/>
        <v>-56.199871278526068</v>
      </c>
      <c r="BH391" s="58" t="str">
        <f t="shared" si="362"/>
        <v>0.0367585710577695+0.028567517740818i</v>
      </c>
      <c r="BI391" s="37">
        <f t="shared" si="363"/>
        <v>-26.640818474819209</v>
      </c>
      <c r="BJ391" s="60">
        <f t="shared" si="364"/>
        <v>37.853142839178339</v>
      </c>
      <c r="BK391">
        <f t="shared" si="365"/>
        <v>-37.064879711660076</v>
      </c>
      <c r="BL391" s="60">
        <f t="shared" si="366"/>
        <v>-56.199871278526068</v>
      </c>
      <c r="BN391">
        <f t="shared" si="367"/>
        <v>0</v>
      </c>
      <c r="BO391">
        <f t="shared" si="368"/>
        <v>0</v>
      </c>
    </row>
    <row r="392" spans="13:67" ht="14.25" x14ac:dyDescent="0.2">
      <c r="M392" s="66">
        <v>74</v>
      </c>
      <c r="N392" s="36">
        <f t="shared" si="369"/>
        <v>54954.087385762505</v>
      </c>
      <c r="O392" s="91" t="str">
        <f t="shared" si="317"/>
        <v>99.7340425531915</v>
      </c>
      <c r="P392" s="67" t="str">
        <f t="shared" si="318"/>
        <v>1+10028.0077701968i</v>
      </c>
      <c r="Q392" s="67">
        <f t="shared" si="329"/>
        <v>10028.007820057152</v>
      </c>
      <c r="R392" s="67">
        <f t="shared" si="330"/>
        <v>1.5706966060906848</v>
      </c>
      <c r="S392" s="67" t="str">
        <f t="shared" si="319"/>
        <v>1+18.8526546079701i</v>
      </c>
      <c r="T392" s="67">
        <f t="shared" si="331"/>
        <v>18.879157443260443</v>
      </c>
      <c r="U392" s="67">
        <f t="shared" si="332"/>
        <v>1.5178030613858475</v>
      </c>
      <c r="V392" t="str">
        <f t="shared" si="320"/>
        <v>1-1.94741706939471i</v>
      </c>
      <c r="W392" s="67">
        <f t="shared" si="333"/>
        <v>2.1891626806087023</v>
      </c>
      <c r="X392" s="67">
        <f t="shared" si="334"/>
        <v>-1.0964065952771618</v>
      </c>
      <c r="Y392" t="str">
        <f t="shared" si="321"/>
        <v>0.285218527715495+3.01019186940445i</v>
      </c>
      <c r="Z392" s="67">
        <f t="shared" si="335"/>
        <v>3.0236740398364459</v>
      </c>
      <c r="AA392" s="67">
        <f t="shared" si="336"/>
        <v>1.4763274128335926</v>
      </c>
      <c r="AB392" s="92" t="str">
        <f t="shared" si="337"/>
        <v>-0.118244870216465-0.0670704416451752i</v>
      </c>
      <c r="AC392" s="37">
        <f t="shared" si="338"/>
        <v>-17.332911362784863</v>
      </c>
      <c r="AD392" s="60">
        <f t="shared" si="339"/>
        <v>-150.43737734959609</v>
      </c>
      <c r="AE392" t="str">
        <f t="shared" si="340"/>
        <v>118.329284003155</v>
      </c>
      <c r="AF392" t="str">
        <f t="shared" si="322"/>
        <v>1+8022.40621615748i</v>
      </c>
      <c r="AG392">
        <f t="shared" si="341"/>
        <v>8022.4062784829212</v>
      </c>
      <c r="AH392">
        <f t="shared" si="342"/>
        <v>1.5706716759148642</v>
      </c>
      <c r="AI392" t="str">
        <f t="shared" si="323"/>
        <v>1+18.8526546079701i</v>
      </c>
      <c r="AJ392">
        <f t="shared" si="343"/>
        <v>18.879157443260443</v>
      </c>
      <c r="AK392">
        <f t="shared" si="344"/>
        <v>1.5178030613858475</v>
      </c>
      <c r="AL392" t="str">
        <f t="shared" si="324"/>
        <v>1-1.31306769556138i</v>
      </c>
      <c r="AM392">
        <f t="shared" si="345"/>
        <v>1.6504989467209221</v>
      </c>
      <c r="AN392">
        <f t="shared" si="346"/>
        <v>-0.91992805628368424</v>
      </c>
      <c r="AO392" s="58" t="str">
        <f t="shared" si="347"/>
        <v>0.258753614871538-0.379847342214118i</v>
      </c>
      <c r="AP392">
        <f t="shared" si="348"/>
        <v>-6.7522911139217987</v>
      </c>
      <c r="AQ392" s="60">
        <f t="shared" si="349"/>
        <v>-55.737143561945075</v>
      </c>
      <c r="AR392" t="str">
        <f t="shared" si="325"/>
        <v>-1.94444444444444</v>
      </c>
      <c r="AS392" t="str">
        <f t="shared" si="326"/>
        <v>1+19.3360560081744i</v>
      </c>
      <c r="AT392">
        <f t="shared" si="350"/>
        <v>19.361897168182082</v>
      </c>
      <c r="AU392">
        <f t="shared" si="351"/>
        <v>1.5191255060635489</v>
      </c>
      <c r="AV392" t="str">
        <f t="shared" si="327"/>
        <v>1+19.3360560081744i</v>
      </c>
      <c r="AW392">
        <f t="shared" si="352"/>
        <v>19.361897168182082</v>
      </c>
      <c r="AX392">
        <f t="shared" si="353"/>
        <v>1.5191255060635489</v>
      </c>
      <c r="AY392" t="str">
        <f t="shared" si="328"/>
        <v>1-0.000110035861168824i</v>
      </c>
      <c r="AZ392">
        <f t="shared" si="354"/>
        <v>1.0000000060539453</v>
      </c>
      <c r="BA392">
        <f t="shared" si="355"/>
        <v>-1.1003586072472327E-4</v>
      </c>
      <c r="BB392" s="58" t="str">
        <f t="shared" si="356"/>
        <v>-0.00517576686048696+0.100292876518568i</v>
      </c>
      <c r="BC392">
        <f t="shared" si="357"/>
        <v>-19.96304734723951</v>
      </c>
      <c r="BD392" s="60">
        <f t="shared" si="358"/>
        <v>92.954215361468698</v>
      </c>
      <c r="BE392" s="58" t="str">
        <f t="shared" si="359"/>
        <v>0.00733869540265434-0.0115119771983887i</v>
      </c>
      <c r="BF392" s="37">
        <f t="shared" si="360"/>
        <v>-37.295958710024372</v>
      </c>
      <c r="BG392" s="60">
        <f t="shared" si="361"/>
        <v>-57.483161988127392</v>
      </c>
      <c r="BH392" s="58" t="str">
        <f t="shared" si="362"/>
        <v>0.0367567342037035+0.0279171456309201i</v>
      </c>
      <c r="BI392" s="37">
        <f t="shared" si="363"/>
        <v>-26.715338461161306</v>
      </c>
      <c r="BJ392" s="60">
        <f t="shared" si="364"/>
        <v>37.217071799523559</v>
      </c>
      <c r="BK392">
        <f t="shared" si="365"/>
        <v>-37.295958710024372</v>
      </c>
      <c r="BL392" s="60">
        <f t="shared" si="366"/>
        <v>-57.483161988127392</v>
      </c>
      <c r="BN392">
        <f t="shared" si="367"/>
        <v>0</v>
      </c>
      <c r="BO392">
        <f t="shared" si="368"/>
        <v>0</v>
      </c>
    </row>
    <row r="393" spans="13:67" ht="14.25" x14ac:dyDescent="0.2">
      <c r="M393" s="66">
        <v>75</v>
      </c>
      <c r="N393" s="36">
        <f t="shared" si="369"/>
        <v>56234.132519034953</v>
      </c>
      <c r="O393" s="91" t="str">
        <f t="shared" si="317"/>
        <v>99.7340425531915</v>
      </c>
      <c r="P393" s="67" t="str">
        <f t="shared" si="318"/>
        <v>1+10261.5900777794i</v>
      </c>
      <c r="Q393" s="67">
        <f t="shared" si="329"/>
        <v>10261.590126504791</v>
      </c>
      <c r="R393" s="67">
        <f t="shared" si="330"/>
        <v>1.5706988760110263</v>
      </c>
      <c r="S393" s="67" t="str">
        <f t="shared" si="319"/>
        <v>1+19.2917893462252i</v>
      </c>
      <c r="T393" s="67">
        <f t="shared" si="331"/>
        <v>19.317689721577171</v>
      </c>
      <c r="U393" s="67">
        <f t="shared" si="332"/>
        <v>1.5190071545872554</v>
      </c>
      <c r="V393" t="str">
        <f t="shared" si="320"/>
        <v>1-1.99277824015953i</v>
      </c>
      <c r="W393" s="67">
        <f t="shared" si="333"/>
        <v>2.2296109782769982</v>
      </c>
      <c r="X393" s="67">
        <f t="shared" si="334"/>
        <v>-1.1057001824464423</v>
      </c>
      <c r="Y393" t="str">
        <f t="shared" si="321"/>
        <v>0.251531914753043+3.08030824538207i</v>
      </c>
      <c r="Z393" s="67">
        <f t="shared" si="335"/>
        <v>3.0905609831724878</v>
      </c>
      <c r="AA393" s="67">
        <f t="shared" si="336"/>
        <v>1.4893190698372156</v>
      </c>
      <c r="AB393" s="92" t="str">
        <f t="shared" si="337"/>
        <v>-0.119198471639243-0.0643284469554894i</v>
      </c>
      <c r="AC393" s="37">
        <f t="shared" si="338"/>
        <v>-17.364485565792723</v>
      </c>
      <c r="AD393" s="60">
        <f t="shared" si="339"/>
        <v>-151.64536838439616</v>
      </c>
      <c r="AE393" t="str">
        <f t="shared" si="340"/>
        <v>118.329284003155</v>
      </c>
      <c r="AF393" t="str">
        <f t="shared" si="322"/>
        <v>1+8209.2720622235i</v>
      </c>
      <c r="AG393">
        <f t="shared" si="341"/>
        <v>8209.2721231302385</v>
      </c>
      <c r="AH393">
        <f t="shared" si="342"/>
        <v>1.5706745133152757</v>
      </c>
      <c r="AI393" t="str">
        <f t="shared" si="323"/>
        <v>1+19.2917893462252i</v>
      </c>
      <c r="AJ393">
        <f t="shared" si="343"/>
        <v>19.317689721577171</v>
      </c>
      <c r="AK393">
        <f t="shared" si="344"/>
        <v>1.5190071545872554</v>
      </c>
      <c r="AL393" t="str">
        <f t="shared" si="324"/>
        <v>1-1.3436529712582i</v>
      </c>
      <c r="AM393">
        <f t="shared" si="345"/>
        <v>1.6749338217287837</v>
      </c>
      <c r="AN393">
        <f t="shared" si="346"/>
        <v>-0.93099195919659328</v>
      </c>
      <c r="AO393" s="58" t="str">
        <f t="shared" si="347"/>
        <v>0.258753532302681-0.388017293217057i</v>
      </c>
      <c r="AP393">
        <f t="shared" si="348"/>
        <v>-6.6251915368262377</v>
      </c>
      <c r="AQ393" s="60">
        <f t="shared" si="349"/>
        <v>-56.302231616284523</v>
      </c>
      <c r="AR393" t="str">
        <f t="shared" si="325"/>
        <v>-1.94444444444444</v>
      </c>
      <c r="AS393" t="str">
        <f t="shared" si="326"/>
        <v>1+19.786450611513i</v>
      </c>
      <c r="AT393">
        <f t="shared" si="350"/>
        <v>19.811704313406334</v>
      </c>
      <c r="AU393">
        <f t="shared" si="351"/>
        <v>1.5202996559247315</v>
      </c>
      <c r="AV393" t="str">
        <f t="shared" si="327"/>
        <v>1+19.786450611513i</v>
      </c>
      <c r="AW393">
        <f t="shared" si="352"/>
        <v>19.811704313406334</v>
      </c>
      <c r="AX393">
        <f t="shared" si="353"/>
        <v>1.5202996559247315</v>
      </c>
      <c r="AY393" t="str">
        <f t="shared" si="328"/>
        <v>1-0.000107531139174101i</v>
      </c>
      <c r="AZ393">
        <f t="shared" si="354"/>
        <v>1.0000000057814729</v>
      </c>
      <c r="BA393">
        <f t="shared" si="355"/>
        <v>-1.0753113875964209E-4</v>
      </c>
      <c r="BB393" s="58" t="str">
        <f t="shared" si="356"/>
        <v>-0.00494341247104286+0.0980216750367988i</v>
      </c>
      <c r="BC393">
        <f t="shared" si="357"/>
        <v>-20.16252591647244</v>
      </c>
      <c r="BD393" s="60">
        <f t="shared" si="358"/>
        <v>92.887085039904505</v>
      </c>
      <c r="BE393" s="58" t="str">
        <f t="shared" si="359"/>
        <v>0.00689482933432361-0.0113660318049824i</v>
      </c>
      <c r="BF393" s="37">
        <f t="shared" si="360"/>
        <v>-37.527011482265145</v>
      </c>
      <c r="BG393" s="60">
        <f t="shared" si="361"/>
        <v>-58.758283344491758</v>
      </c>
      <c r="BH393" s="58" t="str">
        <f t="shared" si="362"/>
        <v>0.0367549795858692+0.0272815841842667i</v>
      </c>
      <c r="BI393" s="37">
        <f t="shared" si="363"/>
        <v>-26.787717453298676</v>
      </c>
      <c r="BJ393" s="60">
        <f t="shared" si="364"/>
        <v>36.584853423619961</v>
      </c>
      <c r="BK393">
        <f t="shared" si="365"/>
        <v>-37.527011482265145</v>
      </c>
      <c r="BL393" s="60">
        <f t="shared" si="366"/>
        <v>-58.758283344491758</v>
      </c>
      <c r="BN393">
        <f t="shared" si="367"/>
        <v>0</v>
      </c>
      <c r="BO393">
        <f t="shared" si="368"/>
        <v>0</v>
      </c>
    </row>
    <row r="394" spans="13:67" ht="14.25" x14ac:dyDescent="0.2">
      <c r="M394" s="66">
        <v>76</v>
      </c>
      <c r="N394" s="36">
        <f t="shared" si="369"/>
        <v>57543.993733715732</v>
      </c>
      <c r="O394" s="91" t="str">
        <f t="shared" si="317"/>
        <v>99.7340425531915</v>
      </c>
      <c r="P394" s="67" t="str">
        <f t="shared" si="318"/>
        <v>1+10500.6132162494i</v>
      </c>
      <c r="Q394" s="67">
        <f t="shared" si="329"/>
        <v>10500.613263865665</v>
      </c>
      <c r="R394" s="67">
        <f t="shared" si="330"/>
        <v>1.5707010942616737</v>
      </c>
      <c r="S394" s="67" t="str">
        <f t="shared" si="319"/>
        <v>1+19.7411528465488i</v>
      </c>
      <c r="T394" s="67">
        <f t="shared" si="331"/>
        <v>19.766464421104796</v>
      </c>
      <c r="U394" s="67">
        <f t="shared" si="332"/>
        <v>1.5201839845379546</v>
      </c>
      <c r="V394" t="str">
        <f t="shared" si="320"/>
        <v>1-2.03919600832482i</v>
      </c>
      <c r="W394" s="67">
        <f t="shared" si="333"/>
        <v>2.2711935981698872</v>
      </c>
      <c r="X394" s="67">
        <f t="shared" si="334"/>
        <v>-1.1148667572671251</v>
      </c>
      <c r="Y394" t="str">
        <f t="shared" si="321"/>
        <v>0.216257700632916+3.1520578415641i</v>
      </c>
      <c r="Z394" s="67">
        <f t="shared" si="335"/>
        <v>3.159467681374311</v>
      </c>
      <c r="AA394" s="67">
        <f t="shared" si="336"/>
        <v>1.5022952554384985</v>
      </c>
      <c r="AB394" s="92" t="str">
        <f t="shared" si="337"/>
        <v>-0.120083977387702-0.0615909598735384i</v>
      </c>
      <c r="AC394" s="37">
        <f t="shared" si="338"/>
        <v>-17.396040155787254</v>
      </c>
      <c r="AD394" s="60">
        <f t="shared" si="339"/>
        <v>-152.84675481036456</v>
      </c>
      <c r="AE394" t="str">
        <f t="shared" si="340"/>
        <v>118.329284003155</v>
      </c>
      <c r="AF394" t="str">
        <f t="shared" si="322"/>
        <v>1+8400.49057299949i</v>
      </c>
      <c r="AG394">
        <f t="shared" si="341"/>
        <v>8400.4906325198226</v>
      </c>
      <c r="AH394">
        <f t="shared" si="342"/>
        <v>1.5706772861285705</v>
      </c>
      <c r="AI394" t="str">
        <f t="shared" si="323"/>
        <v>1+19.7411528465488i</v>
      </c>
      <c r="AJ394">
        <f t="shared" si="343"/>
        <v>19.766464421104796</v>
      </c>
      <c r="AK394">
        <f t="shared" si="344"/>
        <v>1.5201839845379546</v>
      </c>
      <c r="AL394" t="str">
        <f t="shared" si="324"/>
        <v>1-1.37495066954573i</v>
      </c>
      <c r="AM394">
        <f t="shared" si="345"/>
        <v>1.7001439185210916</v>
      </c>
      <c r="AN394">
        <f t="shared" si="346"/>
        <v>-0.94198297430833855</v>
      </c>
      <c r="AO394" s="58" t="str">
        <f t="shared" si="347"/>
        <v>0.258753453450035-0.396392976123971i</v>
      </c>
      <c r="AP394">
        <f t="shared" si="348"/>
        <v>-6.4959546766456704</v>
      </c>
      <c r="AQ394" s="60">
        <f t="shared" si="349"/>
        <v>-56.864701875871567</v>
      </c>
      <c r="AR394" t="str">
        <f t="shared" si="325"/>
        <v>-1.94444444444444</v>
      </c>
      <c r="AS394" t="str">
        <f t="shared" si="326"/>
        <v>1+20.2473362528705i</v>
      </c>
      <c r="AT394">
        <f t="shared" si="350"/>
        <v>20.272015818285166</v>
      </c>
      <c r="AU394">
        <f t="shared" si="351"/>
        <v>1.5214472135403261</v>
      </c>
      <c r="AV394" t="str">
        <f t="shared" si="327"/>
        <v>1+20.2473362528705i</v>
      </c>
      <c r="AW394">
        <f t="shared" si="352"/>
        <v>20.272015818285166</v>
      </c>
      <c r="AX394">
        <f t="shared" si="353"/>
        <v>1.5214472135403261</v>
      </c>
      <c r="AY394" t="str">
        <f t="shared" si="328"/>
        <v>1-0.000105083431612711i</v>
      </c>
      <c r="AZ394">
        <f t="shared" si="354"/>
        <v>1.0000000055212637</v>
      </c>
      <c r="BA394">
        <f t="shared" si="355"/>
        <v>-1.0508343122591543E-4</v>
      </c>
      <c r="BB394" s="58" t="str">
        <f t="shared" si="356"/>
        <v>-0.00472146365797681+0.0958013911835669i</v>
      </c>
      <c r="BC394">
        <f t="shared" si="357"/>
        <v>-20.362027895506575</v>
      </c>
      <c r="BD394" s="60">
        <f t="shared" si="358"/>
        <v>92.821475075094</v>
      </c>
      <c r="BE394" s="58" t="str">
        <f t="shared" si="359"/>
        <v>0.00646747177535757-0.011213412613895i</v>
      </c>
      <c r="BF394" s="37">
        <f t="shared" si="360"/>
        <v>-37.75806805129384</v>
      </c>
      <c r="BG394" s="60">
        <f t="shared" si="361"/>
        <v>-60.025279735270523</v>
      </c>
      <c r="BH394" s="58" t="str">
        <f t="shared" si="362"/>
        <v>0.0367533035412305+0.0266604958451123i</v>
      </c>
      <c r="BI394" s="37">
        <f t="shared" si="363"/>
        <v>-26.857982572152238</v>
      </c>
      <c r="BJ394" s="60">
        <f t="shared" si="364"/>
        <v>35.956773199222468</v>
      </c>
      <c r="BK394">
        <f t="shared" si="365"/>
        <v>-37.75806805129384</v>
      </c>
      <c r="BL394" s="60">
        <f t="shared" si="366"/>
        <v>-60.025279735270523</v>
      </c>
      <c r="BN394">
        <f t="shared" si="367"/>
        <v>0</v>
      </c>
      <c r="BO394">
        <f t="shared" si="368"/>
        <v>0</v>
      </c>
    </row>
    <row r="395" spans="13:67" ht="14.25" x14ac:dyDescent="0.2">
      <c r="M395" s="66">
        <v>77</v>
      </c>
      <c r="N395" s="36">
        <f t="shared" si="369"/>
        <v>58884.365535558936</v>
      </c>
      <c r="O395" s="91" t="str">
        <f t="shared" si="317"/>
        <v>99.7340425531915</v>
      </c>
      <c r="P395" s="67" t="str">
        <f t="shared" si="318"/>
        <v>1+10745.2039188386i</v>
      </c>
      <c r="Q395" s="67">
        <f t="shared" si="329"/>
        <v>10745.203965370987</v>
      </c>
      <c r="R395" s="67">
        <f t="shared" si="330"/>
        <v>1.5707032620187726</v>
      </c>
      <c r="S395" s="67" t="str">
        <f t="shared" si="319"/>
        <v>1+20.2009833674167i</v>
      </c>
      <c r="T395" s="67">
        <f t="shared" si="331"/>
        <v>20.225719493027835</v>
      </c>
      <c r="U395" s="67">
        <f t="shared" si="332"/>
        <v>1.5213341621627561</v>
      </c>
      <c r="V395" t="str">
        <f t="shared" si="320"/>
        <v>1-2.08669498520568i</v>
      </c>
      <c r="W395" s="67">
        <f t="shared" si="333"/>
        <v>2.3139351679082401</v>
      </c>
      <c r="X395" s="67">
        <f t="shared" si="334"/>
        <v>-1.12390501717666</v>
      </c>
      <c r="Y395" t="str">
        <f t="shared" si="321"/>
        <v>0.179321064017674+3.22547870053614i</v>
      </c>
      <c r="Z395" s="67">
        <f t="shared" si="335"/>
        <v>3.2304595480539207</v>
      </c>
      <c r="AA395" s="67">
        <f t="shared" si="336"/>
        <v>1.515258320634953</v>
      </c>
      <c r="AB395" s="92" t="str">
        <f t="shared" si="337"/>
        <v>-0.120901952819802-0.0588592971812071i</v>
      </c>
      <c r="AC395" s="37">
        <f t="shared" si="338"/>
        <v>-17.427607631390583</v>
      </c>
      <c r="AD395" s="60">
        <f t="shared" si="339"/>
        <v>-154.0415617623741</v>
      </c>
      <c r="AE395" t="str">
        <f t="shared" si="340"/>
        <v>118.329284003155</v>
      </c>
      <c r="AF395" t="str">
        <f t="shared" si="322"/>
        <v>1+8596.16313507092i</v>
      </c>
      <c r="AG395">
        <f t="shared" si="341"/>
        <v>8596.1631932364053</v>
      </c>
      <c r="AH395">
        <f t="shared" si="342"/>
        <v>1.5706799958249307</v>
      </c>
      <c r="AI395" t="str">
        <f t="shared" si="323"/>
        <v>1+20.2009833674167i</v>
      </c>
      <c r="AJ395">
        <f t="shared" si="343"/>
        <v>20.225719493027835</v>
      </c>
      <c r="AK395">
        <f t="shared" si="344"/>
        <v>1.5213341621627561</v>
      </c>
      <c r="AL395" t="str">
        <f t="shared" si="324"/>
        <v>1-1.40697738487788i</v>
      </c>
      <c r="AM395">
        <f t="shared" si="345"/>
        <v>1.7261475491851206</v>
      </c>
      <c r="AN395">
        <f t="shared" si="346"/>
        <v>-0.95289630758639321</v>
      </c>
      <c r="AO395" s="58" t="str">
        <f t="shared" si="347"/>
        <v>0.258753378146343-0.404978831832864i</v>
      </c>
      <c r="AP395">
        <f t="shared" si="348"/>
        <v>-6.3646103860298711</v>
      </c>
      <c r="AQ395" s="60">
        <f t="shared" si="349"/>
        <v>-57.424244743697493</v>
      </c>
      <c r="AR395" t="str">
        <f t="shared" si="325"/>
        <v>-1.94444444444444</v>
      </c>
      <c r="AS395" t="str">
        <f t="shared" si="326"/>
        <v>1+20.7189572999144i</v>
      </c>
      <c r="AT395">
        <f t="shared" si="350"/>
        <v>20.743075750613173</v>
      </c>
      <c r="AU395">
        <f t="shared" si="351"/>
        <v>1.5225687752640613</v>
      </c>
      <c r="AV395" t="str">
        <f t="shared" si="327"/>
        <v>1+20.7189572999144i</v>
      </c>
      <c r="AW395">
        <f t="shared" si="352"/>
        <v>20.743075750613173</v>
      </c>
      <c r="AX395">
        <f t="shared" si="353"/>
        <v>1.5225687752640613</v>
      </c>
      <c r="AY395" t="str">
        <f t="shared" si="328"/>
        <v>1-0.000102691440677706i</v>
      </c>
      <c r="AZ395">
        <f t="shared" si="354"/>
        <v>1.000000005272766</v>
      </c>
      <c r="BA395">
        <f t="shared" si="355"/>
        <v>-1.0269144031672738E-4</v>
      </c>
      <c r="BB395" s="58" t="str">
        <f t="shared" si="356"/>
        <v>-0.00450945666053756+0.09363091779681i</v>
      </c>
      <c r="BC395">
        <f t="shared" si="357"/>
        <v>-20.561552235857924</v>
      </c>
      <c r="BD395" s="60">
        <f t="shared" si="358"/>
        <v>92.757351372844298</v>
      </c>
      <c r="BE395" s="58" t="str">
        <f t="shared" si="359"/>
        <v>0.00605625213236687-0.0110547373562363i</v>
      </c>
      <c r="BF395" s="37">
        <f t="shared" si="360"/>
        <v>-37.989159867248517</v>
      </c>
      <c r="BG395" s="60">
        <f t="shared" si="361"/>
        <v>-61.28421038952974</v>
      </c>
      <c r="BH395" s="58" t="str">
        <f t="shared" si="362"/>
        <v>0.0367517025682724+0.0260535507694526i</v>
      </c>
      <c r="BI395" s="37">
        <f t="shared" si="363"/>
        <v>-26.926162621887791</v>
      </c>
      <c r="BJ395" s="60">
        <f t="shared" si="364"/>
        <v>35.333106629146847</v>
      </c>
      <c r="BK395">
        <f t="shared" si="365"/>
        <v>-37.989159867248517</v>
      </c>
      <c r="BL395" s="60">
        <f t="shared" si="366"/>
        <v>-61.28421038952974</v>
      </c>
      <c r="BN395">
        <f t="shared" si="367"/>
        <v>0</v>
      </c>
      <c r="BO395">
        <f t="shared" si="368"/>
        <v>0</v>
      </c>
    </row>
    <row r="396" spans="13:67" ht="14.25" x14ac:dyDescent="0.2">
      <c r="M396" s="66">
        <v>78</v>
      </c>
      <c r="N396" s="36">
        <f t="shared" si="369"/>
        <v>60255.95860743591</v>
      </c>
      <c r="O396" s="91" t="str">
        <f t="shared" si="317"/>
        <v>99.7340425531915</v>
      </c>
      <c r="P396" s="67" t="str">
        <f t="shared" si="318"/>
        <v>1+10995.4918707753i</v>
      </c>
      <c r="Q396" s="67">
        <f t="shared" si="329"/>
        <v>10995.491916248482</v>
      </c>
      <c r="R396" s="67">
        <f t="shared" si="330"/>
        <v>1.5707053804316966</v>
      </c>
      <c r="S396" s="67" t="str">
        <f t="shared" si="319"/>
        <v>1+20.6715247170576i</v>
      </c>
      <c r="T396" s="67">
        <f t="shared" si="331"/>
        <v>20.695698445037397</v>
      </c>
      <c r="U396" s="67">
        <f t="shared" si="332"/>
        <v>1.5224582851215103</v>
      </c>
      <c r="V396" t="str">
        <f t="shared" si="320"/>
        <v>1-2.13530035538836i</v>
      </c>
      <c r="W396" s="67">
        <f t="shared" si="333"/>
        <v>2.3578608117786888</v>
      </c>
      <c r="X396" s="67">
        <f t="shared" si="334"/>
        <v>-1.1328138467064996</v>
      </c>
      <c r="Y396" t="str">
        <f t="shared" si="321"/>
        <v>0.140643657348867+3.30060975100948i</v>
      </c>
      <c r="Z396" s="67">
        <f t="shared" si="335"/>
        <v>3.3036049047686267</v>
      </c>
      <c r="AA396" s="67">
        <f t="shared" si="336"/>
        <v>1.5282106723853395</v>
      </c>
      <c r="AB396" s="92" t="str">
        <f t="shared" si="337"/>
        <v>-0.121652969585192-0.0561347254901198i</v>
      </c>
      <c r="AC396" s="37">
        <f t="shared" si="338"/>
        <v>-17.459221817940371</v>
      </c>
      <c r="AD396" s="60">
        <f t="shared" si="339"/>
        <v>-155.22982905983108</v>
      </c>
      <c r="AE396" t="str">
        <f t="shared" si="340"/>
        <v>118.329284003155</v>
      </c>
      <c r="AF396" t="str">
        <f t="shared" si="322"/>
        <v>1+8796.39349662025i</v>
      </c>
      <c r="AG396">
        <f t="shared" si="341"/>
        <v>8796.3935534617267</v>
      </c>
      <c r="AH396">
        <f t="shared" si="342"/>
        <v>1.5706826438410728</v>
      </c>
      <c r="AI396" t="str">
        <f t="shared" si="323"/>
        <v>1+20.6715247170576i</v>
      </c>
      <c r="AJ396">
        <f t="shared" si="343"/>
        <v>20.695698445037397</v>
      </c>
      <c r="AK396">
        <f t="shared" si="344"/>
        <v>1.5224582851215103</v>
      </c>
      <c r="AL396" t="str">
        <f t="shared" si="324"/>
        <v>1-1.43975009824303i</v>
      </c>
      <c r="AM396">
        <f t="shared" si="345"/>
        <v>1.7529633040628132</v>
      </c>
      <c r="AN396">
        <f t="shared" si="346"/>
        <v>-0.96372734734685539</v>
      </c>
      <c r="AO396" s="58" t="str">
        <f t="shared" si="347"/>
        <v>0.258753306231876-0.41377941267813i</v>
      </c>
      <c r="AP396">
        <f t="shared" si="348"/>
        <v>-6.2311900486120955</v>
      </c>
      <c r="AQ396" s="60">
        <f t="shared" si="349"/>
        <v>-57.98056182866889</v>
      </c>
      <c r="AR396" t="str">
        <f t="shared" si="325"/>
        <v>-1.94444444444444</v>
      </c>
      <c r="AS396" t="str">
        <f t="shared" si="326"/>
        <v>1+21.2015638123667i</v>
      </c>
      <c r="AT396">
        <f t="shared" si="350"/>
        <v>21.225133876841795</v>
      </c>
      <c r="AU396">
        <f t="shared" si="351"/>
        <v>1.5236649244698897</v>
      </c>
      <c r="AV396" t="str">
        <f t="shared" si="327"/>
        <v>1+21.2015638123667i</v>
      </c>
      <c r="AW396">
        <f t="shared" si="352"/>
        <v>21.225133876841795</v>
      </c>
      <c r="AX396">
        <f t="shared" si="353"/>
        <v>1.5236649244698897</v>
      </c>
      <c r="AY396" t="str">
        <f t="shared" si="328"/>
        <v>1-0.000100353898103829i</v>
      </c>
      <c r="AZ396">
        <f t="shared" si="354"/>
        <v>1.0000000050354523</v>
      </c>
      <c r="BA396">
        <f t="shared" si="355"/>
        <v>-1.0035389776694414E-4</v>
      </c>
      <c r="BB396" s="58" t="str">
        <f t="shared" si="356"/>
        <v>-0.00430694819087458+0.0915091694850311i</v>
      </c>
      <c r="BC396">
        <f t="shared" si="357"/>
        <v>-20.761097935782299</v>
      </c>
      <c r="BD396" s="60">
        <f t="shared" si="358"/>
        <v>92.694680580956245</v>
      </c>
      <c r="BE396" s="58" t="str">
        <f t="shared" si="359"/>
        <v>0.00566079514614053-0.0108905928577338i</v>
      </c>
      <c r="BF396" s="37">
        <f t="shared" si="360"/>
        <v>-38.220319753722642</v>
      </c>
      <c r="BG396" s="60">
        <f t="shared" si="361"/>
        <v>-62.535148478874916</v>
      </c>
      <c r="BH396" s="58" t="str">
        <f t="shared" si="362"/>
        <v>0.0367501733200214+0.0254604266476401i</v>
      </c>
      <c r="BI396" s="37">
        <f t="shared" si="363"/>
        <v>-26.992287984394395</v>
      </c>
      <c r="BJ396" s="60">
        <f t="shared" si="364"/>
        <v>34.714118752287369</v>
      </c>
      <c r="BK396">
        <f t="shared" si="365"/>
        <v>-38.220319753722642</v>
      </c>
      <c r="BL396" s="60">
        <f t="shared" si="366"/>
        <v>-62.535148478874916</v>
      </c>
      <c r="BN396">
        <f t="shared" si="367"/>
        <v>0</v>
      </c>
      <c r="BO396">
        <f t="shared" si="368"/>
        <v>0</v>
      </c>
    </row>
    <row r="397" spans="13:67" ht="14.25" x14ac:dyDescent="0.2">
      <c r="M397" s="66">
        <v>79</v>
      </c>
      <c r="N397" s="36">
        <f t="shared" si="369"/>
        <v>61659.500186148245</v>
      </c>
      <c r="O397" s="91" t="str">
        <f t="shared" si="317"/>
        <v>99.7340425531915</v>
      </c>
      <c r="P397" s="67" t="str">
        <f t="shared" si="318"/>
        <v>1+11251.6097780444i</v>
      </c>
      <c r="Q397" s="67">
        <f t="shared" si="329"/>
        <v>11251.609822482485</v>
      </c>
      <c r="R397" s="67">
        <f t="shared" si="330"/>
        <v>1.570707450623656</v>
      </c>
      <c r="S397" s="67" t="str">
        <f t="shared" si="319"/>
        <v>1+21.1530263827234i</v>
      </c>
      <c r="T397" s="67">
        <f t="shared" si="331"/>
        <v>21.176650470463745</v>
      </c>
      <c r="U397" s="67">
        <f t="shared" si="332"/>
        <v>1.5235569380686262</v>
      </c>
      <c r="V397" t="str">
        <f t="shared" si="320"/>
        <v>1-2.18503789008351i</v>
      </c>
      <c r="W397" s="67">
        <f t="shared" si="333"/>
        <v>2.402996167516835</v>
      </c>
      <c r="X397" s="67">
        <f t="shared" si="334"/>
        <v>-1.1415923118781428</v>
      </c>
      <c r="Y397" t="str">
        <f t="shared" si="321"/>
        <v>0.100143440661391+3.37749082846152i</v>
      </c>
      <c r="Z397" s="67">
        <f t="shared" si="335"/>
        <v>3.3789751412298354</v>
      </c>
      <c r="AA397" s="67">
        <f t="shared" si="336"/>
        <v>1.5411547630992564</v>
      </c>
      <c r="AB397" s="92" t="str">
        <f t="shared" si="337"/>
        <v>-0.122337602130326-0.0534184648459251i</v>
      </c>
      <c r="AC397" s="37">
        <f t="shared" si="338"/>
        <v>-17.490917816442856</v>
      </c>
      <c r="AD397" s="60">
        <f t="shared" si="339"/>
        <v>-156.41161026855337</v>
      </c>
      <c r="AE397" t="str">
        <f t="shared" si="340"/>
        <v>118.329284003155</v>
      </c>
      <c r="AF397" t="str">
        <f t="shared" si="322"/>
        <v>1+9001.28782243548i</v>
      </c>
      <c r="AG397">
        <f t="shared" si="341"/>
        <v>9001.2878779830862</v>
      </c>
      <c r="AH397">
        <f t="shared" si="342"/>
        <v>1.5706852315810103</v>
      </c>
      <c r="AI397" t="str">
        <f t="shared" si="323"/>
        <v>1+21.1530263827234i</v>
      </c>
      <c r="AJ397">
        <f t="shared" si="343"/>
        <v>21.176650470463745</v>
      </c>
      <c r="AK397">
        <f t="shared" si="344"/>
        <v>1.5235569380686262</v>
      </c>
      <c r="AL397" t="str">
        <f t="shared" si="324"/>
        <v>1-1.47328618616762i</v>
      </c>
      <c r="AM397">
        <f t="shared" si="345"/>
        <v>1.7806100601626207</v>
      </c>
      <c r="AN397">
        <f t="shared" si="346"/>
        <v>-0.97447167163701132</v>
      </c>
      <c r="AO397" s="58" t="str">
        <f t="shared" si="347"/>
        <v>0.258753237554091-0.422799384844283i</v>
      </c>
      <c r="AP397">
        <f t="shared" si="348"/>
        <v>-6.0957264722117763</v>
      </c>
      <c r="AQ397" s="60">
        <f t="shared" si="349"/>
        <v>-58.533366353772387</v>
      </c>
      <c r="AR397" t="str">
        <f t="shared" si="325"/>
        <v>-1.94444444444444</v>
      </c>
      <c r="AS397" t="str">
        <f t="shared" si="326"/>
        <v>1+21.695411674588i</v>
      </c>
      <c r="AT397">
        <f t="shared" si="350"/>
        <v>21.718445794527963</v>
      </c>
      <c r="AU397">
        <f t="shared" si="351"/>
        <v>1.5247362318080746</v>
      </c>
      <c r="AV397" t="str">
        <f t="shared" si="327"/>
        <v>1+21.695411674588i</v>
      </c>
      <c r="AW397">
        <f t="shared" si="352"/>
        <v>21.718445794527963</v>
      </c>
      <c r="AX397">
        <f t="shared" si="353"/>
        <v>1.5247362318080746</v>
      </c>
      <c r="AY397" t="str">
        <f t="shared" si="328"/>
        <v>1-0.000098069564495069i</v>
      </c>
      <c r="AZ397">
        <f t="shared" si="354"/>
        <v>1.0000000048088198</v>
      </c>
      <c r="BA397">
        <f t="shared" si="355"/>
        <v>-9.8069564180669765E-5</v>
      </c>
      <c r="BB397" s="58" t="str">
        <f t="shared" si="356"/>
        <v>-0.00411351454751118+0.0894350823575131i</v>
      </c>
      <c r="BC397">
        <f t="shared" si="357"/>
        <v>-20.960664038210734</v>
      </c>
      <c r="BD397" s="60">
        <f t="shared" si="358"/>
        <v>92.633430074590351</v>
      </c>
      <c r="BE397" s="58" t="str">
        <f t="shared" si="359"/>
        <v>0.00528072230897796-0.0107215358896969i</v>
      </c>
      <c r="BF397" s="37">
        <f t="shared" si="360"/>
        <v>-38.451581854653625</v>
      </c>
      <c r="BG397" s="60">
        <f t="shared" si="361"/>
        <v>-63.778180193962918</v>
      </c>
      <c r="BH397" s="58" t="str">
        <f t="shared" si="362"/>
        <v>0.03674871259736+0.024880808531159i</v>
      </c>
      <c r="BI397" s="37">
        <f t="shared" si="363"/>
        <v>-27.05639051042251</v>
      </c>
      <c r="BJ397" s="60">
        <f t="shared" si="364"/>
        <v>34.100063720817914</v>
      </c>
      <c r="BK397">
        <f t="shared" si="365"/>
        <v>-38.451581854653625</v>
      </c>
      <c r="BL397" s="60">
        <f t="shared" si="366"/>
        <v>-63.778180193962918</v>
      </c>
      <c r="BN397">
        <f t="shared" si="367"/>
        <v>0</v>
      </c>
      <c r="BO397">
        <f t="shared" si="368"/>
        <v>0</v>
      </c>
    </row>
    <row r="398" spans="13:67" ht="14.25" x14ac:dyDescent="0.2">
      <c r="M398" s="66">
        <v>80</v>
      </c>
      <c r="N398" s="36">
        <f t="shared" si="369"/>
        <v>63095.734448019342</v>
      </c>
      <c r="O398" s="91" t="str">
        <f t="shared" si="317"/>
        <v>99.7340425531915</v>
      </c>
      <c r="P398" s="67" t="str">
        <f t="shared" si="318"/>
        <v>1+11513.6934377504i</v>
      </c>
      <c r="Q398" s="67">
        <f t="shared" si="329"/>
        <v>11513.693481176952</v>
      </c>
      <c r="R398" s="67">
        <f t="shared" si="330"/>
        <v>1.570709473692294</v>
      </c>
      <c r="S398" s="67" t="str">
        <f t="shared" si="319"/>
        <v>1+21.6457436629707i</v>
      </c>
      <c r="T398" s="67">
        <f t="shared" si="331"/>
        <v>21.668830580422103</v>
      </c>
      <c r="U398" s="67">
        <f t="shared" si="332"/>
        <v>1.5246306929094793</v>
      </c>
      <c r="V398" t="str">
        <f t="shared" si="320"/>
        <v>1-2.23593396079038i</v>
      </c>
      <c r="W398" s="67">
        <f t="shared" si="333"/>
        <v>2.4493674034361925</v>
      </c>
      <c r="X398" s="67">
        <f t="shared" si="334"/>
        <v>-1.1502396542770654</v>
      </c>
      <c r="Y398" t="str">
        <f t="shared" si="321"/>
        <v>0.057734507565687+3.45616269625718i</v>
      </c>
      <c r="Z398" s="67">
        <f t="shared" si="335"/>
        <v>3.4566448843298248</v>
      </c>
      <c r="AA398" s="67">
        <f t="shared" si="336"/>
        <v>1.5540930800846227</v>
      </c>
      <c r="AB398" s="92" t="str">
        <f t="shared" si="337"/>
        <v>-0.122956424639367-0.050711692510745i</v>
      </c>
      <c r="AC398" s="37">
        <f t="shared" si="338"/>
        <v>-17.522731953211025</v>
      </c>
      <c r="AD398" s="60">
        <f t="shared" si="339"/>
        <v>-157.58697174196206</v>
      </c>
      <c r="AE398" t="str">
        <f t="shared" si="340"/>
        <v>118.329284003155</v>
      </c>
      <c r="AF398" t="str">
        <f t="shared" si="322"/>
        <v>1+9210.95475020031i</v>
      </c>
      <c r="AG398">
        <f t="shared" si="341"/>
        <v>9210.9548044834974</v>
      </c>
      <c r="AH398">
        <f t="shared" si="342"/>
        <v>1.5706877604167968</v>
      </c>
      <c r="AI398" t="str">
        <f t="shared" si="323"/>
        <v>1+21.6457436629707i</v>
      </c>
      <c r="AJ398">
        <f t="shared" si="343"/>
        <v>21.668830580422103</v>
      </c>
      <c r="AK398">
        <f t="shared" si="344"/>
        <v>1.5246306929094793</v>
      </c>
      <c r="AL398" t="str">
        <f t="shared" si="324"/>
        <v>1-1.50760342992936i</v>
      </c>
      <c r="AM398">
        <f t="shared" si="345"/>
        <v>1.8091069901845966</v>
      </c>
      <c r="AN398">
        <f t="shared" si="346"/>
        <v>-0.98512505462641564</v>
      </c>
      <c r="AO398" s="58" t="str">
        <f t="shared" si="347"/>
        <v>0.258753171967316-0.432043530840002i</v>
      </c>
      <c r="AP398">
        <f t="shared" si="348"/>
        <v>-5.958253779383142</v>
      </c>
      <c r="AQ398" s="60">
        <f t="shared" si="349"/>
        <v>-59.082383507606728</v>
      </c>
      <c r="AR398" t="str">
        <f t="shared" si="325"/>
        <v>-1.94444444444444</v>
      </c>
      <c r="AS398" t="str">
        <f t="shared" si="326"/>
        <v>1+22.2007627312519i</v>
      </c>
      <c r="AT398">
        <f t="shared" si="350"/>
        <v>22.223273067875116</v>
      </c>
      <c r="AU398">
        <f t="shared" si="351"/>
        <v>1.5257832554580428</v>
      </c>
      <c r="AV398" t="str">
        <f t="shared" si="327"/>
        <v>1+22.2007627312519i</v>
      </c>
      <c r="AW398">
        <f t="shared" si="352"/>
        <v>22.223273067875116</v>
      </c>
      <c r="AX398">
        <f t="shared" si="353"/>
        <v>1.5257832554580428</v>
      </c>
      <c r="AY398" t="str">
        <f t="shared" si="328"/>
        <v>1-0.000095837228667508i</v>
      </c>
      <c r="AZ398">
        <f t="shared" si="354"/>
        <v>1.0000000045923871</v>
      </c>
      <c r="BA398">
        <f t="shared" si="355"/>
        <v>-9.5837228374093559E-5</v>
      </c>
      <c r="BB398" s="58" t="str">
        <f t="shared" si="356"/>
        <v>-0.0039287507656805+0.0874076137459505i</v>
      </c>
      <c r="BC398">
        <f t="shared" si="357"/>
        <v>-21.160249628775119</v>
      </c>
      <c r="BD398" s="60">
        <f t="shared" si="358"/>
        <v>92.573567941816961</v>
      </c>
      <c r="BE398" s="58" t="str">
        <f t="shared" si="359"/>
        <v>0.00491565317882986-0.0105480940716803i</v>
      </c>
      <c r="BF398" s="37">
        <f t="shared" si="360"/>
        <v>-38.682981581986155</v>
      </c>
      <c r="BG398" s="60">
        <f t="shared" si="361"/>
        <v>-65.01340380014507</v>
      </c>
      <c r="BH398" s="58" t="str">
        <f t="shared" si="362"/>
        <v>0.0367473173426107+0.0243143886634536i</v>
      </c>
      <c r="BI398" s="37">
        <f t="shared" si="363"/>
        <v>-27.118503408158261</v>
      </c>
      <c r="BJ398" s="60">
        <f t="shared" si="364"/>
        <v>33.49118443421019</v>
      </c>
      <c r="BK398">
        <f t="shared" si="365"/>
        <v>-38.682981581986155</v>
      </c>
      <c r="BL398" s="60">
        <f t="shared" si="366"/>
        <v>-65.01340380014507</v>
      </c>
      <c r="BN398">
        <f t="shared" si="367"/>
        <v>0</v>
      </c>
      <c r="BO398">
        <f t="shared" si="368"/>
        <v>0</v>
      </c>
    </row>
    <row r="399" spans="13:67" ht="14.25" x14ac:dyDescent="0.2">
      <c r="M399" s="66">
        <v>81</v>
      </c>
      <c r="N399" s="36">
        <f t="shared" si="369"/>
        <v>64565.422903465682</v>
      </c>
      <c r="O399" s="91" t="str">
        <f t="shared" si="317"/>
        <v>99.7340425531915</v>
      </c>
      <c r="P399" s="67" t="str">
        <f t="shared" si="318"/>
        <v>1+11781.8818101189i</v>
      </c>
      <c r="Q399" s="67">
        <f t="shared" si="329"/>
        <v>11781.881852556944</v>
      </c>
      <c r="R399" s="67">
        <f t="shared" si="330"/>
        <v>1.5707114507102682</v>
      </c>
      <c r="S399" s="67" t="str">
        <f t="shared" si="319"/>
        <v>1+22.1499378030235i</v>
      </c>
      <c r="T399" s="67">
        <f t="shared" si="331"/>
        <v>22.172499739041822</v>
      </c>
      <c r="U399" s="67">
        <f t="shared" si="332"/>
        <v>1.5256801090535856</v>
      </c>
      <c r="V399" t="str">
        <f t="shared" si="320"/>
        <v>1-2.28801555327935i</v>
      </c>
      <c r="W399" s="67">
        <f t="shared" si="333"/>
        <v>2.4970012358924074</v>
      </c>
      <c r="X399" s="67">
        <f t="shared" si="334"/>
        <v>-1.1587552848557536</v>
      </c>
      <c r="Y399" t="str">
        <f t="shared" si="321"/>
        <v>0.013326903028786+3.53666706726214i</v>
      </c>
      <c r="Z399" s="67">
        <f t="shared" si="335"/>
        <v>3.5366921764554129</v>
      </c>
      <c r="AA399" s="67">
        <f t="shared" si="336"/>
        <v>1.5670281349640458</v>
      </c>
      <c r="AB399" s="92" t="str">
        <f t="shared" si="337"/>
        <v>-0.123510008413404-0.0480155468872003i</v>
      </c>
      <c r="AC399" s="37">
        <f t="shared" si="338"/>
        <v>-17.554701730255356</v>
      </c>
      <c r="AD399" s="60">
        <f t="shared" si="339"/>
        <v>-158.75599164515029</v>
      </c>
      <c r="AE399" t="str">
        <f t="shared" si="340"/>
        <v>118.329284003155</v>
      </c>
      <c r="AF399" t="str">
        <f t="shared" si="322"/>
        <v>1+9425.50544809512i</v>
      </c>
      <c r="AG399">
        <f t="shared" si="341"/>
        <v>9425.5055011426739</v>
      </c>
      <c r="AH399">
        <f t="shared" si="342"/>
        <v>1.5706902316892544</v>
      </c>
      <c r="AI399" t="str">
        <f t="shared" si="323"/>
        <v>1+22.1499378030235i</v>
      </c>
      <c r="AJ399">
        <f t="shared" si="343"/>
        <v>22.172499739041822</v>
      </c>
      <c r="AK399">
        <f t="shared" si="344"/>
        <v>1.5256801090535856</v>
      </c>
      <c r="AL399" t="str">
        <f t="shared" si="324"/>
        <v>1-1.54272002498515i</v>
      </c>
      <c r="AM399">
        <f t="shared" si="345"/>
        <v>1.8384735721489665</v>
      </c>
      <c r="AN399">
        <f t="shared" si="346"/>
        <v>-0.99568347200439278</v>
      </c>
      <c r="AO399" s="58" t="str">
        <f t="shared" si="347"/>
        <v>0.258753109332432-0.441516752033908i</v>
      </c>
      <c r="AP399">
        <f t="shared" si="348"/>
        <v>-5.8188072960754447</v>
      </c>
      <c r="AQ399" s="60">
        <f t="shared" si="349"/>
        <v>-59.62735073917414</v>
      </c>
      <c r="AR399" t="str">
        <f t="shared" si="325"/>
        <v>-1.94444444444444</v>
      </c>
      <c r="AS399" t="str">
        <f t="shared" si="326"/>
        <v>1+22.7178849261779i</v>
      </c>
      <c r="AT399">
        <f t="shared" si="350"/>
        <v>22.739883366434864</v>
      </c>
      <c r="AU399">
        <f t="shared" si="351"/>
        <v>1.5268065413778991</v>
      </c>
      <c r="AV399" t="str">
        <f t="shared" si="327"/>
        <v>1+22.7178849261779i</v>
      </c>
      <c r="AW399">
        <f t="shared" si="352"/>
        <v>22.739883366434864</v>
      </c>
      <c r="AX399">
        <f t="shared" si="353"/>
        <v>1.5268065413778991</v>
      </c>
      <c r="AY399" t="str">
        <f t="shared" si="328"/>
        <v>1-0.0000936557070071418i</v>
      </c>
      <c r="AZ399">
        <f t="shared" si="354"/>
        <v>1.0000000043856956</v>
      </c>
      <c r="BA399">
        <f t="shared" si="355"/>
        <v>-9.3655706733311518E-5</v>
      </c>
      <c r="BB399" s="58" t="str">
        <f t="shared" si="356"/>
        <v>-0.00375226980312965+0.0854257419186521i</v>
      </c>
      <c r="BC399">
        <f t="shared" si="357"/>
        <v>-21.359853833918923</v>
      </c>
      <c r="BD399" s="60">
        <f t="shared" si="358"/>
        <v>92.515062969356961</v>
      </c>
      <c r="BE399" s="58" t="str">
        <f t="shared" si="359"/>
        <v>0.00456520659142282-0.0103707668164284i</v>
      </c>
      <c r="BF399" s="37">
        <f t="shared" si="360"/>
        <v>-38.914555564174272</v>
      </c>
      <c r="BG399" s="60">
        <f t="shared" si="361"/>
        <v>-66.240928675793327</v>
      </c>
      <c r="BH399" s="58" t="str">
        <f t="shared" si="362"/>
        <v>0.0367459846333962+0.0237608663147138i</v>
      </c>
      <c r="BI399" s="37">
        <f t="shared" si="363"/>
        <v>-27.17866112999436</v>
      </c>
      <c r="BJ399" s="60">
        <f t="shared" si="364"/>
        <v>32.887712230182771</v>
      </c>
      <c r="BK399">
        <f t="shared" si="365"/>
        <v>-38.914555564174272</v>
      </c>
      <c r="BL399" s="60">
        <f t="shared" si="366"/>
        <v>-66.240928675793327</v>
      </c>
      <c r="BN399">
        <f t="shared" si="367"/>
        <v>0</v>
      </c>
      <c r="BO399">
        <f t="shared" si="368"/>
        <v>0</v>
      </c>
    </row>
    <row r="400" spans="13:67" ht="14.25" x14ac:dyDescent="0.2">
      <c r="M400" s="66">
        <v>82</v>
      </c>
      <c r="N400" s="36">
        <f t="shared" si="369"/>
        <v>66069.344800759733</v>
      </c>
      <c r="O400" s="91" t="str">
        <f t="shared" si="317"/>
        <v>99.7340425531915</v>
      </c>
      <c r="P400" s="67" t="str">
        <f t="shared" si="318"/>
        <v>1+12056.3170921748i</v>
      </c>
      <c r="Q400" s="67">
        <f t="shared" si="329"/>
        <v>12056.317133646835</v>
      </c>
      <c r="R400" s="67">
        <f t="shared" si="330"/>
        <v>1.5707133827258197</v>
      </c>
      <c r="S400" s="67" t="str">
        <f t="shared" si="319"/>
        <v>1+22.6658761332886i</v>
      </c>
      <c r="T400" s="67">
        <f t="shared" si="331"/>
        <v>22.687925001850253</v>
      </c>
      <c r="U400" s="67">
        <f t="shared" si="332"/>
        <v>1.5267057336644552</v>
      </c>
      <c r="V400" t="str">
        <f t="shared" si="320"/>
        <v>1-2.34131028190014i</v>
      </c>
      <c r="W400" s="67">
        <f t="shared" si="333"/>
        <v>2.5459249470735217</v>
      </c>
      <c r="X400" s="67">
        <f t="shared" si="334"/>
        <v>-1.1671387775149704</v>
      </c>
      <c r="Y400" t="str">
        <f t="shared" si="321"/>
        <v>-0.0331735674323499+3.61904662595948i</v>
      </c>
      <c r="Z400" s="67">
        <f t="shared" si="335"/>
        <v>3.6191986635780142</v>
      </c>
      <c r="AA400" s="67">
        <f t="shared" si="336"/>
        <v>1.5799624530701692</v>
      </c>
      <c r="AB400" s="92" t="str">
        <f t="shared" si="337"/>
        <v>-0.123998919688423-0.0453311315483974i</v>
      </c>
      <c r="AC400" s="37">
        <f t="shared" si="338"/>
        <v>-17.58686577644573</v>
      </c>
      <c r="AD400" s="60">
        <f t="shared" si="339"/>
        <v>-159.91875896523234</v>
      </c>
      <c r="AE400" t="str">
        <f t="shared" si="340"/>
        <v>118.329284003155</v>
      </c>
      <c r="AF400" t="str">
        <f t="shared" si="322"/>
        <v>1+9645.05367373981i</v>
      </c>
      <c r="AG400">
        <f t="shared" si="341"/>
        <v>9645.0537255798536</v>
      </c>
      <c r="AH400">
        <f t="shared" si="342"/>
        <v>1.5706926467086841</v>
      </c>
      <c r="AI400" t="str">
        <f t="shared" si="323"/>
        <v>1+22.6658761332886i</v>
      </c>
      <c r="AJ400">
        <f t="shared" si="343"/>
        <v>22.687925001850253</v>
      </c>
      <c r="AK400">
        <f t="shared" si="344"/>
        <v>1.5267057336644552</v>
      </c>
      <c r="AL400" t="str">
        <f t="shared" si="324"/>
        <v>1-1.5786545906185i</v>
      </c>
      <c r="AM400">
        <f t="shared" si="345"/>
        <v>1.8687295996159701</v>
      </c>
      <c r="AN400">
        <f t="shared" si="346"/>
        <v>-1.0061431053901375</v>
      </c>
      <c r="AO400" s="58" t="str">
        <f t="shared" si="347"/>
        <v>0.258753049516585-0.45122407125331i</v>
      </c>
      <c r="AP400">
        <f t="shared" si="348"/>
        <v>-5.6774234391543157</v>
      </c>
      <c r="AQ400" s="60">
        <f t="shared" si="349"/>
        <v>-60.168017996284483</v>
      </c>
      <c r="AR400" t="str">
        <f t="shared" si="325"/>
        <v>-1.94444444444444</v>
      </c>
      <c r="AS400" t="str">
        <f t="shared" si="326"/>
        <v>1+23.2470524443984i</v>
      </c>
      <c r="AT400">
        <f t="shared" si="350"/>
        <v>23.268550607044901</v>
      </c>
      <c r="AU400">
        <f t="shared" si="351"/>
        <v>1.5278066235505257</v>
      </c>
      <c r="AV400" t="str">
        <f t="shared" si="327"/>
        <v>1+23.2470524443984i</v>
      </c>
      <c r="AW400">
        <f t="shared" si="352"/>
        <v>23.268550607044901</v>
      </c>
      <c r="AX400">
        <f t="shared" si="353"/>
        <v>1.5278066235505257</v>
      </c>
      <c r="AY400" t="str">
        <f t="shared" si="328"/>
        <v>1-0.0000915238428423109i</v>
      </c>
      <c r="AZ400">
        <f t="shared" si="354"/>
        <v>1.0000000041883068</v>
      </c>
      <c r="BA400">
        <f t="shared" si="355"/>
        <v>-9.1523842586757606E-5</v>
      </c>
      <c r="BB400" s="58" t="str">
        <f t="shared" si="356"/>
        <v>-0.00358370176003484+0.0834884657883617i</v>
      </c>
      <c r="BC400">
        <f t="shared" si="357"/>
        <v>-21.559475819090167</v>
      </c>
      <c r="BD400" s="60">
        <f t="shared" si="358"/>
        <v>92.457884628517263</v>
      </c>
      <c r="BE400" s="58" t="str">
        <f t="shared" si="359"/>
        <v>0.00422900177215592-0.0101900263082864i</v>
      </c>
      <c r="BF400" s="37">
        <f t="shared" si="360"/>
        <v>-39.146341595535858</v>
      </c>
      <c r="BG400" s="60">
        <f t="shared" si="361"/>
        <v>-67.460874336715165</v>
      </c>
      <c r="BH400" s="58" t="str">
        <f t="shared" si="362"/>
        <v>0.0367447116767503+0.0232199476205202i</v>
      </c>
      <c r="BI400" s="37">
        <f t="shared" si="363"/>
        <v>-27.236899258244481</v>
      </c>
      <c r="BJ400" s="60">
        <f t="shared" si="364"/>
        <v>32.28986663223273</v>
      </c>
      <c r="BK400">
        <f t="shared" si="365"/>
        <v>-39.146341595535858</v>
      </c>
      <c r="BL400" s="60">
        <f t="shared" si="366"/>
        <v>-67.460874336715165</v>
      </c>
      <c r="BN400">
        <f t="shared" si="367"/>
        <v>0</v>
      </c>
      <c r="BO400">
        <f t="shared" si="368"/>
        <v>0</v>
      </c>
    </row>
    <row r="401" spans="13:67" ht="14.25" x14ac:dyDescent="0.2">
      <c r="M401" s="66">
        <v>83</v>
      </c>
      <c r="N401" s="36">
        <f t="shared" si="369"/>
        <v>67608.297539198305</v>
      </c>
      <c r="O401" s="91" t="str">
        <f t="shared" si="317"/>
        <v>99.7340425531915</v>
      </c>
      <c r="P401" s="67" t="str">
        <f t="shared" si="318"/>
        <v>1+12337.1447931371i</v>
      </c>
      <c r="Q401" s="67">
        <f t="shared" si="329"/>
        <v>12337.144833665116</v>
      </c>
      <c r="R401" s="67">
        <f t="shared" si="330"/>
        <v>1.5707152707633287</v>
      </c>
      <c r="S401" s="67" t="str">
        <f t="shared" si="319"/>
        <v>1+23.1938322110978i</v>
      </c>
      <c r="T401" s="67">
        <f t="shared" si="331"/>
        <v>23.2153796573857</v>
      </c>
      <c r="U401" s="67">
        <f t="shared" si="332"/>
        <v>1.5277081019060348</v>
      </c>
      <c r="V401" t="str">
        <f t="shared" si="320"/>
        <v>1-2.39584640422329i</v>
      </c>
      <c r="W401" s="67">
        <f t="shared" si="333"/>
        <v>2.5961664031085658</v>
      </c>
      <c r="X401" s="67">
        <f t="shared" si="334"/>
        <v>-1.1753898625100958</v>
      </c>
      <c r="Y401" t="str">
        <f t="shared" si="321"/>
        <v>-0.0818655375500099+3.70334505108164i</v>
      </c>
      <c r="Z401" s="67">
        <f t="shared" si="335"/>
        <v>3.7042497936301793</v>
      </c>
      <c r="AA401" s="67">
        <f t="shared" si="336"/>
        <v>1.5928985628294261</v>
      </c>
      <c r="AB401" s="92" t="str">
        <f t="shared" si="337"/>
        <v>-0.124423717890511-0.0426595193392374i</v>
      </c>
      <c r="AC401" s="37">
        <f t="shared" si="338"/>
        <v>-17.619263799420516</v>
      </c>
      <c r="AD401" s="60">
        <f t="shared" si="339"/>
        <v>-161.07537251120044</v>
      </c>
      <c r="AE401" t="str">
        <f t="shared" si="340"/>
        <v>118.329284003155</v>
      </c>
      <c r="AF401" t="str">
        <f t="shared" si="322"/>
        <v>1+9869.71583450969i</v>
      </c>
      <c r="AG401">
        <f t="shared" si="341"/>
        <v>9869.7158851697113</v>
      </c>
      <c r="AH401">
        <f t="shared" si="342"/>
        <v>1.5706950067555616</v>
      </c>
      <c r="AI401" t="str">
        <f t="shared" si="323"/>
        <v>1+23.1938322110978i</v>
      </c>
      <c r="AJ401">
        <f t="shared" si="343"/>
        <v>23.2153796573857</v>
      </c>
      <c r="AK401">
        <f t="shared" si="344"/>
        <v>1.5277081019060348</v>
      </c>
      <c r="AL401" t="str">
        <f t="shared" si="324"/>
        <v>1-1.61542617981175i</v>
      </c>
      <c r="AM401">
        <f t="shared" si="345"/>
        <v>1.8998951924833078</v>
      </c>
      <c r="AN401">
        <f t="shared" si="346"/>
        <v>-1.0165003457696105</v>
      </c>
      <c r="AO401" s="58" t="str">
        <f t="shared" si="347"/>
        <v>0.258752992392892-0.461170635447384i</v>
      </c>
      <c r="AP401">
        <f t="shared" si="348"/>
        <v>-5.5341396035053911</v>
      </c>
      <c r="AQ401" s="60">
        <f t="shared" si="349"/>
        <v>-60.704147908395832</v>
      </c>
      <c r="AR401" t="str">
        <f t="shared" si="325"/>
        <v>-1.94444444444444</v>
      </c>
      <c r="AS401" t="str">
        <f t="shared" si="326"/>
        <v>1+23.7885458575361i</v>
      </c>
      <c r="AT401">
        <f t="shared" si="350"/>
        <v>23.809555099079404</v>
      </c>
      <c r="AU401">
        <f t="shared" si="351"/>
        <v>1.5287840242261996</v>
      </c>
      <c r="AV401" t="str">
        <f t="shared" si="327"/>
        <v>1+23.7885458575361i</v>
      </c>
      <c r="AW401">
        <f t="shared" si="352"/>
        <v>23.809555099079404</v>
      </c>
      <c r="AX401">
        <f t="shared" si="353"/>
        <v>1.5287840242261996</v>
      </c>
      <c r="AY401" t="str">
        <f t="shared" si="328"/>
        <v>1-0.0000894405058304162i</v>
      </c>
      <c r="AZ401">
        <f t="shared" si="354"/>
        <v>1.000000003999802</v>
      </c>
      <c r="BA401">
        <f t="shared" si="355"/>
        <v>-8.9440505591919999E-5</v>
      </c>
      <c r="BB401" s="58" t="str">
        <f t="shared" si="356"/>
        <v>-0.00342269313171171+0.081594804614668i</v>
      </c>
      <c r="BC401">
        <f t="shared" si="357"/>
        <v>-21.759114787013601</v>
      </c>
      <c r="BD401" s="60">
        <f t="shared" si="358"/>
        <v>92.402003061325033</v>
      </c>
      <c r="BE401" s="58" t="str">
        <f t="shared" si="359"/>
        <v>0.00390665935008661-0.0100063185068623i</v>
      </c>
      <c r="BF401" s="37">
        <f t="shared" si="360"/>
        <v>-39.37837858643411</v>
      </c>
      <c r="BG401" s="60">
        <f t="shared" si="361"/>
        <v>-68.673369449875437</v>
      </c>
      <c r="BH401" s="58" t="str">
        <f t="shared" si="362"/>
        <v>0.0367434958034786+0.0226913454242516i</v>
      </c>
      <c r="BI401" s="37">
        <f t="shared" si="363"/>
        <v>-27.293254390518989</v>
      </c>
      <c r="BJ401" s="60">
        <f t="shared" si="364"/>
        <v>31.697855152929215</v>
      </c>
      <c r="BK401">
        <f t="shared" si="365"/>
        <v>-39.37837858643411</v>
      </c>
      <c r="BL401" s="60">
        <f t="shared" si="366"/>
        <v>-68.673369449875437</v>
      </c>
      <c r="BN401">
        <f t="shared" si="367"/>
        <v>0</v>
      </c>
      <c r="BO401">
        <f t="shared" si="368"/>
        <v>0</v>
      </c>
    </row>
    <row r="402" spans="13:67" ht="14.25" x14ac:dyDescent="0.2">
      <c r="M402" s="66">
        <v>84</v>
      </c>
      <c r="N402" s="36">
        <f t="shared" si="369"/>
        <v>69183.097091893651</v>
      </c>
      <c r="O402" s="91" t="str">
        <f t="shared" si="317"/>
        <v>99.7340425531915</v>
      </c>
      <c r="P402" s="67" t="str">
        <f t="shared" si="318"/>
        <v>1+12624.5138115702i</v>
      </c>
      <c r="Q402" s="67">
        <f t="shared" si="329"/>
        <v>12624.513851175685</v>
      </c>
      <c r="R402" s="67">
        <f t="shared" si="330"/>
        <v>1.5707171158238578</v>
      </c>
      <c r="S402" s="67" t="str">
        <f t="shared" si="319"/>
        <v>1+23.7340859657519i</v>
      </c>
      <c r="T402" s="67">
        <f t="shared" si="331"/>
        <v>23.755143372114201</v>
      </c>
      <c r="U402" s="67">
        <f t="shared" si="332"/>
        <v>1.5286877371856735</v>
      </c>
      <c r="V402" t="str">
        <f t="shared" si="320"/>
        <v>1-2.45165283602272i</v>
      </c>
      <c r="W402" s="67">
        <f t="shared" si="333"/>
        <v>2.6477540724882753</v>
      </c>
      <c r="X402" s="67">
        <f t="shared" si="334"/>
        <v>-1.1835084197268537</v>
      </c>
      <c r="Y402" t="str">
        <f t="shared" si="321"/>
        <v>-0.13285228952104+3.78960703876944i</v>
      </c>
      <c r="Z402" s="67">
        <f t="shared" si="335"/>
        <v>3.7919350256988666</v>
      </c>
      <c r="AA402" s="67">
        <f t="shared" si="336"/>
        <v>1.6058389851431598</v>
      </c>
      <c r="AB402" s="92" t="str">
        <f t="shared" si="337"/>
        <v>-0.124784954325042-0.0400017565153845i</v>
      </c>
      <c r="AC402" s="37">
        <f t="shared" si="338"/>
        <v>-17.65193653817386</v>
      </c>
      <c r="AD402" s="60">
        <f t="shared" si="339"/>
        <v>-162.22593990634599</v>
      </c>
      <c r="AE402" t="str">
        <f t="shared" si="340"/>
        <v>118.329284003155</v>
      </c>
      <c r="AF402" t="str">
        <f t="shared" si="322"/>
        <v>1+10099.6110492561i</v>
      </c>
      <c r="AG402">
        <f t="shared" si="341"/>
        <v>10099.611098762958</v>
      </c>
      <c r="AH402">
        <f t="shared" si="342"/>
        <v>1.5706973130812145</v>
      </c>
      <c r="AI402" t="str">
        <f t="shared" si="323"/>
        <v>1+23.7340859657519i</v>
      </c>
      <c r="AJ402">
        <f t="shared" si="343"/>
        <v>23.755143372114201</v>
      </c>
      <c r="AK402">
        <f t="shared" si="344"/>
        <v>1.5286877371856735</v>
      </c>
      <c r="AL402" t="str">
        <f t="shared" si="324"/>
        <v>1-1.65305428934823i</v>
      </c>
      <c r="AM402">
        <f t="shared" si="345"/>
        <v>1.9319908083457802</v>
      </c>
      <c r="AN402">
        <f t="shared" si="346"/>
        <v>-1.0267517959806582</v>
      </c>
      <c r="AO402" s="58" t="str">
        <f t="shared" si="347"/>
        <v>0.258752937840189-0.471361718416168i</v>
      </c>
      <c r="AP402">
        <f t="shared" si="348"/>
        <v>-5.3889940494097726</v>
      </c>
      <c r="AQ402" s="60">
        <f t="shared" si="349"/>
        <v>-61.235515915118079</v>
      </c>
      <c r="AR402" t="str">
        <f t="shared" si="325"/>
        <v>-1.94444444444444</v>
      </c>
      <c r="AS402" t="str">
        <f t="shared" si="326"/>
        <v>1+24.342652272566i</v>
      </c>
      <c r="AT402">
        <f t="shared" si="350"/>
        <v>24.363183693086224</v>
      </c>
      <c r="AU402">
        <f t="shared" si="351"/>
        <v>1.5297392541616588</v>
      </c>
      <c r="AV402" t="str">
        <f t="shared" si="327"/>
        <v>1+24.342652272566i</v>
      </c>
      <c r="AW402">
        <f t="shared" si="352"/>
        <v>24.363183693086224</v>
      </c>
      <c r="AX402">
        <f t="shared" si="353"/>
        <v>1.5297392541616588</v>
      </c>
      <c r="AY402" t="str">
        <f t="shared" si="328"/>
        <v>1-0.0000874045913585982i</v>
      </c>
      <c r="AZ402">
        <f t="shared" si="354"/>
        <v>1.0000000038197812</v>
      </c>
      <c r="BA402">
        <f t="shared" si="355"/>
        <v>-8.7404591136020591E-5</v>
      </c>
      <c r="BB402" s="58" t="str">
        <f t="shared" si="356"/>
        <v>-0.00326890609284631+0.0797437977019162i</v>
      </c>
      <c r="BC402">
        <f t="shared" si="357"/>
        <v>-21.958769976037566</v>
      </c>
      <c r="BD402" s="60">
        <f t="shared" si="358"/>
        <v>92.347389066864437</v>
      </c>
      <c r="BE402" s="58" t="str">
        <f t="shared" si="359"/>
        <v>0.00359780227677281-0.00982006416834131i</v>
      </c>
      <c r="BF402" s="37">
        <f t="shared" si="360"/>
        <v>-39.610706514211422</v>
      </c>
      <c r="BG402" s="60">
        <f t="shared" si="361"/>
        <v>-69.878550839481548</v>
      </c>
      <c r="BH402" s="58" t="str">
        <f t="shared" si="362"/>
        <v>0.0367423344627588+0.0221747791231696i</v>
      </c>
      <c r="BI402" s="37">
        <f t="shared" si="363"/>
        <v>-27.347764025447347</v>
      </c>
      <c r="BJ402" s="60">
        <f t="shared" si="364"/>
        <v>31.111873151746327</v>
      </c>
      <c r="BK402">
        <f t="shared" si="365"/>
        <v>-39.610706514211422</v>
      </c>
      <c r="BL402" s="60">
        <f t="shared" si="366"/>
        <v>-69.878550839481548</v>
      </c>
      <c r="BN402">
        <f t="shared" si="367"/>
        <v>0</v>
      </c>
      <c r="BO402">
        <f t="shared" si="368"/>
        <v>0</v>
      </c>
    </row>
    <row r="403" spans="13:67" ht="14.25" x14ac:dyDescent="0.2">
      <c r="M403" s="66">
        <v>85</v>
      </c>
      <c r="N403" s="36">
        <f t="shared" si="369"/>
        <v>70794.578438413781</v>
      </c>
      <c r="O403" s="91" t="str">
        <f t="shared" ref="O403:O466" si="370">COMPLEX(adc,0)</f>
        <v>99.7340425531915</v>
      </c>
      <c r="P403" s="67" t="str">
        <f t="shared" ref="P403:P466" si="371">IMSUM(COMPLEX(1,0),IMDIV(COMPLEX(0,2*PI()*N403),COMPLEX(wp_lf,0)))</f>
        <v>1+12918.5765143313i</v>
      </c>
      <c r="Q403" s="67">
        <f t="shared" si="329"/>
        <v>12918.576553035253</v>
      </c>
      <c r="R403" s="67">
        <f t="shared" si="330"/>
        <v>1.570718918885682</v>
      </c>
      <c r="S403" s="67" t="str">
        <f t="shared" ref="S403:S466" si="372">IMSUM(COMPLEX(1,0),IMDIV(COMPLEX(0,2*PI()*N403),COMPLEX(wz_esr,0)))</f>
        <v>1+24.2869238469429i</v>
      </c>
      <c r="T403" s="67">
        <f t="shared" si="331"/>
        <v>24.3075023387267</v>
      </c>
      <c r="U403" s="67">
        <f t="shared" si="332"/>
        <v>1.5296451513935465</v>
      </c>
      <c r="V403" t="str">
        <f t="shared" ref="V403:V466" si="373">IMSUB(COMPLEX(1,0),IMDIV(COMPLEX(0,2*PI()*N403),COMPLEX(wz_rhp,0)))</f>
        <v>1-2.50875916660729i</v>
      </c>
      <c r="W403" s="67">
        <f t="shared" si="333"/>
        <v>2.7007170447931239</v>
      </c>
      <c r="X403" s="67">
        <f t="shared" si="334"/>
        <v>-1.1914944718680323</v>
      </c>
      <c r="Y403" t="str">
        <f t="shared" ref="Y403:Y466" si="374">IMSUM(COMPLEX(1,0),IMDIV(COMPLEX(0,2*PI()*N403),COMPLEX(Q*(wsl/2),0)),IMDIV(IMPOWER(COMPLEX(0,2*PI()*N403),2),IMPOWER(COMPLEX(wsl/2,0),2)))</f>
        <v>-0.1862419730823+3.87787832627059i</v>
      </c>
      <c r="Z403" s="67">
        <f t="shared" si="335"/>
        <v>3.8823480505870132</v>
      </c>
      <c r="AA403" s="67">
        <f t="shared" si="336"/>
        <v>1.6187862227751171</v>
      </c>
      <c r="AB403" s="92" t="str">
        <f t="shared" si="337"/>
        <v>-0.125083171294942-0.0373588668871183i</v>
      </c>
      <c r="AC403" s="37">
        <f t="shared" si="338"/>
        <v>-17.684925716214501</v>
      </c>
      <c r="AD403" s="60">
        <f t="shared" si="339"/>
        <v>-163.37057657614676</v>
      </c>
      <c r="AE403" t="str">
        <f t="shared" si="340"/>
        <v>118.329284003155</v>
      </c>
      <c r="AF403" t="str">
        <f t="shared" ref="AF403:AF466" si="375">IMSUM(COMPLEX(1,0),IMDIV(COMPLEX(0,2*PI()*N403),COMPLEX(wp_lf_DCM,0)))</f>
        <v>1+10334.8612114651i</v>
      </c>
      <c r="AG403">
        <f t="shared" si="341"/>
        <v>10334.861259845044</v>
      </c>
      <c r="AH403">
        <f t="shared" si="342"/>
        <v>1.5706995669084871</v>
      </c>
      <c r="AI403" t="str">
        <f t="shared" ref="AI403:AI466" si="376">IMSUM(COMPLEX(1,0),IMDIV(COMPLEX(0,2*PI()*N403),COMPLEX(wz1_dcm,0)))</f>
        <v>1+24.2869238469429i</v>
      </c>
      <c r="AJ403">
        <f t="shared" si="343"/>
        <v>24.3075023387267</v>
      </c>
      <c r="AK403">
        <f t="shared" si="344"/>
        <v>1.5296451513935465</v>
      </c>
      <c r="AL403" t="str">
        <f t="shared" ref="AL403:AL466" si="377">IMSUB(COMPLEX(1,0),IMDIV(COMPLEX(0,2*PI()*N403),COMPLEX(wz2_dcm,0)))</f>
        <v>1-1.69155887014968i</v>
      </c>
      <c r="AM403">
        <f t="shared" si="345"/>
        <v>1.9650372544005528</v>
      </c>
      <c r="AN403">
        <f t="shared" si="346"/>
        <v>-1.036894272274469</v>
      </c>
      <c r="AO403" s="58" t="str">
        <f t="shared" si="347"/>
        <v>0.258752885742761-0.481802723606775i</v>
      </c>
      <c r="AP403">
        <f t="shared" si="348"/>
        <v>-5.2420257908438126</v>
      </c>
      <c r="AQ403" s="60">
        <f t="shared" si="349"/>
        <v>-61.761910341998352</v>
      </c>
      <c r="AR403" t="str">
        <f t="shared" ref="AR403:AR466" si="378">COMPLEX(adc_ea,0)</f>
        <v>-1.94444444444444</v>
      </c>
      <c r="AS403" t="str">
        <f t="shared" ref="AS403:AS466" si="379">IMSUM(COMPLEX(1,0), IMDIV(COMPLEX(0,2*PI()*N403), COMPLEX(wp0_ea,0)))</f>
        <v>1+24.9096654840439i</v>
      </c>
      <c r="AT403">
        <f t="shared" si="350"/>
        <v>24.929729932892734</v>
      </c>
      <c r="AU403">
        <f t="shared" si="351"/>
        <v>1.53067281285558</v>
      </c>
      <c r="AV403" t="str">
        <f t="shared" ref="AV403:AV466" si="380">IMSUM(COMPLEX(1,0),IMDIV(COMPLEX(0,2*PI()*N403),COMPLEX(wp1_ea,0)))</f>
        <v>1+24.9096654840439i</v>
      </c>
      <c r="AW403">
        <f t="shared" si="352"/>
        <v>24.929729932892734</v>
      </c>
      <c r="AX403">
        <f t="shared" si="353"/>
        <v>1.53067281285558</v>
      </c>
      <c r="AY403" t="str">
        <f t="shared" ref="AY403:AY466" si="381">IMSUM(COMPLEX(1,0),IMDIV(COMPLEX(wz_ea,0),COMPLEX(0,2*PI()*N403)))</f>
        <v>1-0.0000854150199580548i</v>
      </c>
      <c r="AZ403">
        <f t="shared" si="354"/>
        <v>1.0000000036478627</v>
      </c>
      <c r="BA403">
        <f t="shared" si="355"/>
        <v>-8.5415019750333281E-5</v>
      </c>
      <c r="BB403" s="58" t="str">
        <f t="shared" si="356"/>
        <v>-0.00312201781201057+0.0779345040934396i</v>
      </c>
      <c r="BC403">
        <f t="shared" si="357"/>
        <v>-22.158440658553662</v>
      </c>
      <c r="BD403" s="60">
        <f t="shared" si="358"/>
        <v>92.294014087818439</v>
      </c>
      <c r="BE403" s="58" t="str">
        <f t="shared" si="359"/>
        <v>0.00330205665310596-0.00963165987744795i</v>
      </c>
      <c r="BF403" s="37">
        <f t="shared" si="360"/>
        <v>-39.843366374768166</v>
      </c>
      <c r="BG403" s="60">
        <f t="shared" si="361"/>
        <v>-71.076562488328364</v>
      </c>
      <c r="BH403" s="58" t="str">
        <f t="shared" si="362"/>
        <v>0.0367412252169645+0.0216699745180841i</v>
      </c>
      <c r="BI403" s="37">
        <f t="shared" si="363"/>
        <v>-27.400466449397477</v>
      </c>
      <c r="BJ403" s="60">
        <f t="shared" si="364"/>
        <v>30.532103745820141</v>
      </c>
      <c r="BK403">
        <f t="shared" si="365"/>
        <v>-39.843366374768166</v>
      </c>
      <c r="BL403" s="60">
        <f t="shared" si="366"/>
        <v>-71.076562488328364</v>
      </c>
      <c r="BN403">
        <f t="shared" si="367"/>
        <v>0</v>
      </c>
      <c r="BO403">
        <f t="shared" si="368"/>
        <v>0</v>
      </c>
    </row>
    <row r="404" spans="13:67" ht="14.25" x14ac:dyDescent="0.2">
      <c r="M404" s="66">
        <v>86</v>
      </c>
      <c r="N404" s="36">
        <f t="shared" si="369"/>
        <v>72443.596007499116</v>
      </c>
      <c r="O404" s="91" t="str">
        <f t="shared" si="370"/>
        <v>99.7340425531915</v>
      </c>
      <c r="P404" s="67" t="str">
        <f t="shared" si="371"/>
        <v>1+13219.488817358i</v>
      </c>
      <c r="Q404" s="67">
        <f t="shared" ref="Q404:Q467" si="382">IMABS(P404)</f>
        <v>13219.488855180944</v>
      </c>
      <c r="R404" s="67">
        <f t="shared" ref="R404:R467" si="383">IMARGUMENT(P404)</f>
        <v>1.5707206809048089</v>
      </c>
      <c r="S404" s="67" t="str">
        <f t="shared" si="372"/>
        <v>1+24.8526389766331i</v>
      </c>
      <c r="T404" s="67">
        <f t="shared" ref="T404:T467" si="384">IMABS(S404)</f>
        <v>24.872749427895233</v>
      </c>
      <c r="U404" s="67">
        <f t="shared" ref="U404:U467" si="385">IMARGUMENT(S404)</f>
        <v>1.5305808451384901</v>
      </c>
      <c r="V404" t="str">
        <f t="shared" si="373"/>
        <v>1-2.56719567450935i</v>
      </c>
      <c r="W404" s="67">
        <f t="shared" ref="W404:W467" si="386">IMABS(V404)</f>
        <v>2.7550850497252379</v>
      </c>
      <c r="X404" s="67">
        <f t="shared" ref="X404:X467" si="387">IMARGUMENT(V404)</f>
        <v>-1.1993481775899679</v>
      </c>
      <c r="Y404" t="str">
        <f t="shared" si="374"/>
        <v>-0.24214783491071+3.96820571619012i</v>
      </c>
      <c r="Z404" s="67">
        <f t="shared" ref="Z404:Z467" si="388">IMABS(Y404)</f>
        <v>3.9755870233156623</v>
      </c>
      <c r="AA404" s="67">
        <f t="shared" ref="AA404:AA467" si="389">IMARGUMENT(Y404)</f>
        <v>1.6317427497543873</v>
      </c>
      <c r="AB404" s="92" t="str">
        <f t="shared" ref="AB404:AB467" si="390">(IMDIV(IMPRODUCT(O404,S404,V404),IMPRODUCT(P404,Y404)))</f>
        <v>-0.125318901641603-0.0347318559361566i</v>
      </c>
      <c r="AC404" s="37">
        <f t="shared" ref="AC404:AC467" si="391">20*LOG(IMABS(AB404))</f>
        <v>-17.71827399515297</v>
      </c>
      <c r="AD404" s="60">
        <f t="shared" ref="AD404:AD467" si="392">(180/PI())*IMARGUMENT(AB404)</f>
        <v>-164.50940473436827</v>
      </c>
      <c r="AE404" t="str">
        <f t="shared" ref="AE404:AE467" si="393">COMPLEX($B$67,0)</f>
        <v>118.329284003155</v>
      </c>
      <c r="AF404" t="str">
        <f t="shared" si="375"/>
        <v>1+10575.5910538864i</v>
      </c>
      <c r="AG404">
        <f t="shared" ref="AG404:AG467" si="394">IMABS(AF404)</f>
        <v>10575.591101165079</v>
      </c>
      <c r="AH404">
        <f t="shared" ref="AH404:AH467" si="395">IMARGUMENT(AF404)</f>
        <v>1.5707017694323886</v>
      </c>
      <c r="AI404" t="str">
        <f t="shared" si="376"/>
        <v>1+24.8526389766331i</v>
      </c>
      <c r="AJ404">
        <f t="shared" ref="AJ404:AJ467" si="396">IMABS(AI404)</f>
        <v>24.872749427895233</v>
      </c>
      <c r="AK404">
        <f t="shared" ref="AK404:AK467" si="397">IMARGUMENT(AI404)</f>
        <v>1.5305808451384901</v>
      </c>
      <c r="AL404" t="str">
        <f t="shared" si="377"/>
        <v>1-1.73096033785452i</v>
      </c>
      <c r="AM404">
        <f t="shared" ref="AM404:AM467" si="398">IMABS(AL404)</f>
        <v>1.9990556998806797</v>
      </c>
      <c r="AN404">
        <f t="shared" ref="AN404:AN467" si="399">IMARGUMENT(AL404)</f>
        <v>-1.0469248049874895</v>
      </c>
      <c r="AO404" s="58" t="str">
        <f t="shared" ref="AO404:AO467" si="400">(IMDIV(IMPRODUCT(AE404,AI404,AL404),IMPRODUCT(AF404)))</f>
        <v>0.258752835990105-0.492499186978405i</v>
      </c>
      <c r="AP404">
        <f t="shared" ref="AP404:AP467" si="401">20*LOG(IMABS(AO404))</f>
        <v>-5.0932744853099612</v>
      </c>
      <c r="AQ404" s="60">
        <f t="shared" ref="AQ404:AQ467" si="402">(180/PI())*IMARGUMENT(AO404)</f>
        <v>-62.283132425544167</v>
      </c>
      <c r="AR404" t="str">
        <f t="shared" si="378"/>
        <v>-1.94444444444444</v>
      </c>
      <c r="AS404" t="str">
        <f t="shared" si="379"/>
        <v>1+25.48988612988i</v>
      </c>
      <c r="AT404">
        <f t="shared" ref="AT404:AT467" si="403">IMABS(AS404)</f>
        <v>25.509494211258851</v>
      </c>
      <c r="AU404">
        <f t="shared" ref="AU404:AU467" si="404">IMARGUMENT(AS404)</f>
        <v>1.5315851887804202</v>
      </c>
      <c r="AV404" t="str">
        <f t="shared" si="380"/>
        <v>1+25.48988612988i</v>
      </c>
      <c r="AW404">
        <f t="shared" ref="AW404:AW467" si="405">IMABS(AV404)</f>
        <v>25.509494211258851</v>
      </c>
      <c r="AX404">
        <f t="shared" ref="AX404:AX467" si="406">IMARGUMENT(AV404)</f>
        <v>1.5315851887804202</v>
      </c>
      <c r="AY404" t="str">
        <f t="shared" si="381"/>
        <v>1-0.0000834707367316945i</v>
      </c>
      <c r="AZ404">
        <f t="shared" ref="AZ404:AZ467" si="407">IMABS(AY404)</f>
        <v>1.0000000034836818</v>
      </c>
      <c r="BA404">
        <f t="shared" ref="BA404:BA467" si="408">IMARGUMENT(AY404)</f>
        <v>-8.3470736537837501E-5</v>
      </c>
      <c r="BB404" s="58" t="str">
        <f t="shared" ref="BB404:BB467" si="409">IMDIV(IMPRODUCT(AR404,AY404), AS404)</f>
        <v>-0.00298171979526741+0.076166002262887i</v>
      </c>
      <c r="BC404">
        <f t="shared" ref="BC404:BC467" si="410">20*LOG(IMABS(BB404))</f>
        <v>-22.358126139485254</v>
      </c>
      <c r="BD404" s="60">
        <f t="shared" ref="BD404:BD467" si="411">(180/PI())*IMARGUMENT(BB404)</f>
        <v>92.241850197218014</v>
      </c>
      <c r="BE404" s="58" t="str">
        <f t="shared" ref="BE404:BE467" si="412">IMPRODUCT(AB404,BB404)</f>
        <v>0.00301905246757351-0.00944147908364563i</v>
      </c>
      <c r="BF404" s="37">
        <f t="shared" ref="BF404:BF467" si="413">20*LOG(IMABS(BE404))</f>
        <v>-40.076400134638234</v>
      </c>
      <c r="BG404" s="60">
        <f t="shared" ref="BG404:BG467" si="414">(180/PI())*IMARGUMENT(BE404)</f>
        <v>-72.267554537150247</v>
      </c>
      <c r="BH404" s="58" t="str">
        <f t="shared" ref="BH404:BH467" si="415">IMPRODUCT(AO404,BB404)</f>
        <v>0.0367401657367139+0.0211766636665174i</v>
      </c>
      <c r="BI404" s="37">
        <f t="shared" ref="BI404:BI467" si="416">20*LOG(IMABS(BH404))</f>
        <v>-27.451400624795216</v>
      </c>
      <c r="BJ404" s="60">
        <f t="shared" ref="BJ404:BJ467" si="417">(180/PI())*IMARGUMENT(BH404)</f>
        <v>29.958717771673882</v>
      </c>
      <c r="BK404">
        <f t="shared" ref="BK404:BK467" si="418">IF($B$19=0,BF404,BI404)</f>
        <v>-40.076400134638234</v>
      </c>
      <c r="BL404" s="60">
        <f t="shared" ref="BL404:BL467" si="419">IF($B$19=0,BG404,BJ404)</f>
        <v>-72.267554537150247</v>
      </c>
      <c r="BN404">
        <f t="shared" si="367"/>
        <v>0</v>
      </c>
      <c r="BO404">
        <f t="shared" si="368"/>
        <v>0</v>
      </c>
    </row>
    <row r="405" spans="13:67" ht="14.25" x14ac:dyDescent="0.2">
      <c r="M405" s="66">
        <v>87</v>
      </c>
      <c r="N405" s="36">
        <f t="shared" si="369"/>
        <v>74131.024130091857</v>
      </c>
      <c r="O405" s="91" t="str">
        <f t="shared" si="370"/>
        <v>99.7340425531915</v>
      </c>
      <c r="P405" s="67" t="str">
        <f t="shared" si="371"/>
        <v>1+13527.4102683363i</v>
      </c>
      <c r="Q405" s="67">
        <f t="shared" si="382"/>
        <v>13527.410305298288</v>
      </c>
      <c r="R405" s="67">
        <f t="shared" si="383"/>
        <v>1.5707224028154843</v>
      </c>
      <c r="S405" s="67" t="str">
        <f t="shared" si="372"/>
        <v>1+25.4315313044722i</v>
      </c>
      <c r="T405" s="67">
        <f t="shared" si="384"/>
        <v>25.451184343569345</v>
      </c>
      <c r="U405" s="67">
        <f t="shared" si="385"/>
        <v>1.5314953079802072</v>
      </c>
      <c r="V405" t="str">
        <f t="shared" si="373"/>
        <v>1-2.62699334353888i</v>
      </c>
      <c r="W405" s="67">
        <f t="shared" si="386"/>
        <v>2.8108884764425617</v>
      </c>
      <c r="X405" s="67">
        <f t="shared" si="387"/>
        <v>-1.2070698246247298</v>
      </c>
      <c r="Y405" t="str">
        <f t="shared" si="374"/>
        <v>-0.30068845883462+4.06063710130579i</v>
      </c>
      <c r="Z405" s="67">
        <f t="shared" si="388"/>
        <v>4.0717548081604118</v>
      </c>
      <c r="AA405" s="67">
        <f t="shared" si="389"/>
        <v>1.6447110008034762</v>
      </c>
      <c r="AB405" s="92" t="str">
        <f t="shared" si="390"/>
        <v>-0.125492668700551-0.0321217148743247i</v>
      </c>
      <c r="AC405" s="37">
        <f t="shared" si="391"/>
        <v>-17.75202492854168</v>
      </c>
      <c r="AD405" s="60">
        <f t="shared" si="392"/>
        <v>-165.64255236999122</v>
      </c>
      <c r="AE405" t="str">
        <f t="shared" si="393"/>
        <v>118.329284003155</v>
      </c>
      <c r="AF405" t="str">
        <f t="shared" si="375"/>
        <v>1+10821.928214669i</v>
      </c>
      <c r="AG405">
        <f t="shared" si="394"/>
        <v>10821.928260871486</v>
      </c>
      <c r="AH405">
        <f t="shared" si="395"/>
        <v>1.5707039218207259</v>
      </c>
      <c r="AI405" t="str">
        <f t="shared" si="376"/>
        <v>1+25.4315313044722i</v>
      </c>
      <c r="AJ405">
        <f t="shared" si="396"/>
        <v>25.451184343569345</v>
      </c>
      <c r="AK405">
        <f t="shared" si="397"/>
        <v>1.5314953079802072</v>
      </c>
      <c r="AL405" t="str">
        <f t="shared" si="377"/>
        <v>1-1.77127958364246i</v>
      </c>
      <c r="AM405">
        <f t="shared" si="398"/>
        <v>2.0340676889987233</v>
      </c>
      <c r="AN405">
        <f t="shared" si="399"/>
        <v>-1.0568406383630946</v>
      </c>
      <c r="AO405" s="58" t="str">
        <f t="shared" si="400"/>
        <v>0.258752788476687-0.503456779937542i</v>
      </c>
      <c r="AP405">
        <f t="shared" si="401"/>
        <v>-4.9427803257625786</v>
      </c>
      <c r="AQ405" s="60">
        <f t="shared" si="402"/>
        <v>-62.798996289736941</v>
      </c>
      <c r="AR405" t="str">
        <f t="shared" si="378"/>
        <v>-1.94444444444444</v>
      </c>
      <c r="AS405" t="str">
        <f t="shared" si="379"/>
        <v>1+26.0836218507406i</v>
      </c>
      <c r="AT405">
        <f t="shared" si="403"/>
        <v>26.10278392916036</v>
      </c>
      <c r="AU405">
        <f t="shared" si="404"/>
        <v>1.532476859610594</v>
      </c>
      <c r="AV405" t="str">
        <f t="shared" si="380"/>
        <v>1+26.0836218507406i</v>
      </c>
      <c r="AW405">
        <f t="shared" si="405"/>
        <v>26.10278392916036</v>
      </c>
      <c r="AX405">
        <f t="shared" si="406"/>
        <v>1.532476859610594</v>
      </c>
      <c r="AY405" t="str">
        <f t="shared" si="381"/>
        <v>1-0.0000815707107948151i</v>
      </c>
      <c r="AZ405">
        <f t="shared" si="407"/>
        <v>1.0000000033268903</v>
      </c>
      <c r="BA405">
        <f t="shared" si="408"/>
        <v>-8.1570710613897227E-5</v>
      </c>
      <c r="BB405" s="58" t="str">
        <f t="shared" si="409"/>
        <v>-0.0028477172577092+0.074437389803349i</v>
      </c>
      <c r="BC405">
        <f t="shared" si="410"/>
        <v>-22.557825754842028</v>
      </c>
      <c r="BD405" s="60">
        <f t="shared" si="411"/>
        <v>92.190870085400547</v>
      </c>
      <c r="BE405" s="58" t="str">
        <f t="shared" si="412"/>
        <v>0.00274842424962668-0.00924987313573062i</v>
      </c>
      <c r="BF405" s="37">
        <f t="shared" si="413"/>
        <v>-40.309850683383708</v>
      </c>
      <c r="BG405" s="60">
        <f t="shared" si="414"/>
        <v>-73.451682284590703</v>
      </c>
      <c r="BH405" s="58" t="str">
        <f t="shared" si="415"/>
        <v>0.0367391537961243+0.0206945847392815i</v>
      </c>
      <c r="BI405" s="37">
        <f t="shared" si="416"/>
        <v>-27.500606080604605</v>
      </c>
      <c r="BJ405" s="60">
        <f t="shared" si="417"/>
        <v>29.391873795663589</v>
      </c>
      <c r="BK405">
        <f t="shared" si="418"/>
        <v>-40.309850683383708</v>
      </c>
      <c r="BL405" s="60">
        <f t="shared" si="419"/>
        <v>-73.451682284590703</v>
      </c>
      <c r="BN405">
        <f t="shared" ref="BN405:BN468" si="420">SUM((BK406&lt;0)*(BK405&gt;0))*N405</f>
        <v>0</v>
      </c>
      <c r="BO405">
        <f t="shared" ref="BO405:BO468" si="421">IF(BN405&gt;0,BL405,0)</f>
        <v>0</v>
      </c>
    </row>
    <row r="406" spans="13:67" ht="14.25" x14ac:dyDescent="0.2">
      <c r="M406" s="66">
        <v>88</v>
      </c>
      <c r="N406" s="36">
        <f t="shared" si="369"/>
        <v>75857.757502918481</v>
      </c>
      <c r="O406" s="91" t="str">
        <f t="shared" si="370"/>
        <v>99.7340425531915</v>
      </c>
      <c r="P406" s="67" t="str">
        <f t="shared" si="371"/>
        <v>1+13842.5041312952i</v>
      </c>
      <c r="Q406" s="67">
        <f t="shared" si="382"/>
        <v>13842.504167415831</v>
      </c>
      <c r="R406" s="67">
        <f t="shared" si="383"/>
        <v>1.5707240855306879</v>
      </c>
      <c r="S406" s="67" t="str">
        <f t="shared" si="372"/>
        <v>1+26.0239077668349i</v>
      </c>
      <c r="T406" s="67">
        <f t="shared" si="384"/>
        <v>26.043113781895009</v>
      </c>
      <c r="U406" s="67">
        <f t="shared" si="385"/>
        <v>1.5323890186578113</v>
      </c>
      <c r="V406" t="str">
        <f t="shared" si="373"/>
        <v>1-2.68818387921152i</v>
      </c>
      <c r="W406" s="67">
        <f t="shared" si="386"/>
        <v>2.8681583931946117</v>
      </c>
      <c r="X406" s="67">
        <f t="shared" si="387"/>
        <v>-1.2146598229209387</v>
      </c>
      <c r="Y406" t="str">
        <f t="shared" si="374"/>
        <v>-0.36198801736606+4.15522148996144i</v>
      </c>
      <c r="Z406" s="67">
        <f t="shared" si="388"/>
        <v>4.1709592368367714</v>
      </c>
      <c r="AA406" s="67">
        <f t="shared" si="389"/>
        <v>1.6576933608019648</v>
      </c>
      <c r="AB406" s="92" t="str">
        <f t="shared" si="390"/>
        <v>-0.125604986662546-0.0295294246136714i</v>
      </c>
      <c r="AC406" s="37">
        <f t="shared" si="391"/>
        <v>-17.786222915764284</v>
      </c>
      <c r="AD406" s="60">
        <f t="shared" si="392"/>
        <v>-166.77015223745508</v>
      </c>
      <c r="AE406" t="str">
        <f t="shared" si="393"/>
        <v>118.329284003155</v>
      </c>
      <c r="AF406" t="str">
        <f t="shared" si="375"/>
        <v>1+11074.0033050361i</v>
      </c>
      <c r="AG406">
        <f t="shared" si="394"/>
        <v>11074.003350186889</v>
      </c>
      <c r="AH406">
        <f t="shared" si="395"/>
        <v>1.570706025214724</v>
      </c>
      <c r="AI406" t="str">
        <f t="shared" si="376"/>
        <v>1+26.0239077668349i</v>
      </c>
      <c r="AJ406">
        <f t="shared" si="396"/>
        <v>26.043113781895009</v>
      </c>
      <c r="AK406">
        <f t="shared" si="397"/>
        <v>1.5323890186578113</v>
      </c>
      <c r="AL406" t="str">
        <f t="shared" si="377"/>
        <v>1-1.8125379853113i</v>
      </c>
      <c r="AM406">
        <f t="shared" si="398"/>
        <v>2.0700951543821233</v>
      </c>
      <c r="AN406">
        <f t="shared" si="399"/>
        <v>-1.0666392295668452</v>
      </c>
      <c r="AO406" s="58" t="str">
        <f t="shared" si="400"/>
        <v>0.258752743101725-0.514681312345045i</v>
      </c>
      <c r="AP406">
        <f t="shared" si="401"/>
        <v>-4.7905839351386854</v>
      </c>
      <c r="AQ406" s="60">
        <f t="shared" si="402"/>
        <v>-63.309328876552115</v>
      </c>
      <c r="AR406" t="str">
        <f t="shared" si="378"/>
        <v>-1.94444444444444</v>
      </c>
      <c r="AS406" t="str">
        <f t="shared" si="379"/>
        <v>1+26.691187453164i</v>
      </c>
      <c r="AT406">
        <f t="shared" si="403"/>
        <v>26.709913658788555</v>
      </c>
      <c r="AU406">
        <f t="shared" si="404"/>
        <v>1.5333482924469679</v>
      </c>
      <c r="AV406" t="str">
        <f t="shared" si="380"/>
        <v>1+26.691187453164i</v>
      </c>
      <c r="AW406">
        <f t="shared" si="405"/>
        <v>26.709913658788555</v>
      </c>
      <c r="AX406">
        <f t="shared" si="406"/>
        <v>1.5333482924469679</v>
      </c>
      <c r="AY406" t="str">
        <f t="shared" si="381"/>
        <v>1-0.0000797139347285154i</v>
      </c>
      <c r="AZ406">
        <f t="shared" si="407"/>
        <v>1.0000000031771556</v>
      </c>
      <c r="BA406">
        <f t="shared" si="408"/>
        <v>-7.9713934559673017E-5</v>
      </c>
      <c r="BB406" s="58" t="str">
        <f t="shared" si="409"/>
        <v>-0.00271972852181194+0.0727477831149267i</v>
      </c>
      <c r="BC406">
        <f t="shared" si="410"/>
        <v>-22.757538870338468</v>
      </c>
      <c r="BD406" s="60">
        <f t="shared" si="411"/>
        <v>92.141047047178603</v>
      </c>
      <c r="BE406" s="58" t="str">
        <f t="shared" si="412"/>
        <v>0.00248981164201188-0.00905717230952566i</v>
      </c>
      <c r="BF406" s="37">
        <f t="shared" si="413"/>
        <v>-40.543761786102749</v>
      </c>
      <c r="BG406" s="60">
        <f t="shared" si="414"/>
        <v>-74.629105190276462</v>
      </c>
      <c r="BH406" s="58" t="str">
        <f t="shared" si="415"/>
        <v>0.0367381872682723+0.0202234818803851i</v>
      </c>
      <c r="BI406" s="37">
        <f t="shared" si="416"/>
        <v>-27.548122805477156</v>
      </c>
      <c r="BJ406" s="60">
        <f t="shared" si="417"/>
        <v>28.83171817062658</v>
      </c>
      <c r="BK406">
        <f t="shared" si="418"/>
        <v>-40.543761786102749</v>
      </c>
      <c r="BL406" s="60">
        <f t="shared" si="419"/>
        <v>-74.629105190276462</v>
      </c>
      <c r="BN406">
        <f t="shared" si="420"/>
        <v>0</v>
      </c>
      <c r="BO406">
        <f t="shared" si="421"/>
        <v>0</v>
      </c>
    </row>
    <row r="407" spans="13:67" ht="14.25" x14ac:dyDescent="0.2">
      <c r="M407" s="66">
        <v>89</v>
      </c>
      <c r="N407" s="36">
        <f t="shared" si="369"/>
        <v>77624.711662869129</v>
      </c>
      <c r="O407" s="91" t="str">
        <f t="shared" si="370"/>
        <v>99.7340425531915</v>
      </c>
      <c r="P407" s="67" t="str">
        <f t="shared" si="371"/>
        <v>1+14164.9374731717i</v>
      </c>
      <c r="Q407" s="67">
        <f t="shared" si="382"/>
        <v>14164.937508470126</v>
      </c>
      <c r="R407" s="67">
        <f t="shared" si="383"/>
        <v>1.5707257299426174</v>
      </c>
      <c r="S407" s="67" t="str">
        <f t="shared" si="372"/>
        <v>1+26.6300824495629i</v>
      </c>
      <c r="T407" s="67">
        <f t="shared" si="384"/>
        <v>26.648851593840174</v>
      </c>
      <c r="U407" s="67">
        <f t="shared" si="385"/>
        <v>1.5332624453146879</v>
      </c>
      <c r="V407" t="str">
        <f t="shared" si="373"/>
        <v>1-2.75079972555924i</v>
      </c>
      <c r="W407" s="67">
        <f t="shared" si="386"/>
        <v>2.926926567260749</v>
      </c>
      <c r="X407" s="67">
        <f t="shared" si="387"/>
        <v>-1.2221186978332632</v>
      </c>
      <c r="Y407" t="str">
        <f t="shared" si="374"/>
        <v>-0.42617653508724+4.25200903205193i</v>
      </c>
      <c r="Z407" s="67">
        <f t="shared" si="388"/>
        <v>4.2733133804707277</v>
      </c>
      <c r="AA407" s="67">
        <f t="shared" si="389"/>
        <v>1.6706921542972286</v>
      </c>
      <c r="AB407" s="92" t="str">
        <f t="shared" si="390"/>
        <v>-0.125656361329354-0.0269559596183085i</v>
      </c>
      <c r="AC407" s="37">
        <f t="shared" si="391"/>
        <v>-17.820913155747725</v>
      </c>
      <c r="AD407" s="60">
        <f t="shared" si="392"/>
        <v>-167.89234085259818</v>
      </c>
      <c r="AE407" t="str">
        <f t="shared" si="393"/>
        <v>118.329284003155</v>
      </c>
      <c r="AF407" t="str">
        <f t="shared" si="375"/>
        <v>1+11331.9499785374i</v>
      </c>
      <c r="AG407">
        <f t="shared" si="394"/>
        <v>11331.950022660432</v>
      </c>
      <c r="AH407">
        <f t="shared" si="395"/>
        <v>1.5707080807296301</v>
      </c>
      <c r="AI407" t="str">
        <f t="shared" si="376"/>
        <v>1+26.6300824495629i</v>
      </c>
      <c r="AJ407">
        <f t="shared" si="396"/>
        <v>26.648851593840174</v>
      </c>
      <c r="AK407">
        <f t="shared" si="397"/>
        <v>1.5332624453146879</v>
      </c>
      <c r="AL407" t="str">
        <f t="shared" si="377"/>
        <v>1-1.85475741861173i</v>
      </c>
      <c r="AM407">
        <f t="shared" si="398"/>
        <v>2.1071604309817626</v>
      </c>
      <c r="AN407">
        <f t="shared" si="399"/>
        <v>-1.0763182469428509</v>
      </c>
      <c r="AO407" s="58" t="str">
        <f t="shared" si="400"/>
        <v>0.258752699768972-0.526178735596596i</v>
      </c>
      <c r="AP407">
        <f t="shared" si="401"/>
        <v>-4.6367262639562217</v>
      </c>
      <c r="AQ407" s="60">
        <f t="shared" si="402"/>
        <v>-63.813969833206635</v>
      </c>
      <c r="AR407" t="str">
        <f t="shared" si="378"/>
        <v>-1.94444444444444</v>
      </c>
      <c r="AS407" t="str">
        <f t="shared" si="379"/>
        <v>1+27.3129050764746i</v>
      </c>
      <c r="AT407">
        <f t="shared" si="403"/>
        <v>27.331205310350146</v>
      </c>
      <c r="AU407">
        <f t="shared" si="404"/>
        <v>1.5341999440376497</v>
      </c>
      <c r="AV407" t="str">
        <f t="shared" si="380"/>
        <v>1+27.3129050764746i</v>
      </c>
      <c r="AW407">
        <f t="shared" si="405"/>
        <v>27.331205310350146</v>
      </c>
      <c r="AX407">
        <f t="shared" si="406"/>
        <v>1.5341999440376497</v>
      </c>
      <c r="AY407" t="str">
        <f t="shared" si="381"/>
        <v>1-0.0000778994240455474i</v>
      </c>
      <c r="AZ407">
        <f t="shared" si="407"/>
        <v>1.00000000303416</v>
      </c>
      <c r="BA407">
        <f t="shared" si="408"/>
        <v>-7.7899423887974506E-5</v>
      </c>
      <c r="BB407" s="58" t="str">
        <f t="shared" si="409"/>
        <v>-0.00259748444152664+0.0710963170913475i</v>
      </c>
      <c r="BC407">
        <f t="shared" si="410"/>
        <v>-22.95726488007249</v>
      </c>
      <c r="BD407" s="60">
        <f t="shared" si="411"/>
        <v>92.09235496922031</v>
      </c>
      <c r="BE407" s="58" t="str">
        <f t="shared" si="412"/>
        <v>0.00224285989605667-0.00886368682390171i</v>
      </c>
      <c r="BF407" s="37">
        <f t="shared" si="413"/>
        <v>-40.778178035820218</v>
      </c>
      <c r="BG407" s="60">
        <f t="shared" si="414"/>
        <v>-75.799985883377857</v>
      </c>
      <c r="BH407" s="58" t="str">
        <f t="shared" si="415"/>
        <v>0.036737264120847+0.0197631050701914i</v>
      </c>
      <c r="BI407" s="37">
        <f t="shared" si="416"/>
        <v>-27.59399114402871</v>
      </c>
      <c r="BJ407" s="60">
        <f t="shared" si="417"/>
        <v>28.278385136013664</v>
      </c>
      <c r="BK407">
        <f t="shared" si="418"/>
        <v>-40.778178035820218</v>
      </c>
      <c r="BL407" s="60">
        <f t="shared" si="419"/>
        <v>-75.799985883377857</v>
      </c>
      <c r="BN407">
        <f t="shared" si="420"/>
        <v>0</v>
      </c>
      <c r="BO407">
        <f t="shared" si="421"/>
        <v>0</v>
      </c>
    </row>
    <row r="408" spans="13:67" ht="14.25" x14ac:dyDescent="0.2">
      <c r="M408" s="66">
        <v>90</v>
      </c>
      <c r="N408" s="36">
        <f t="shared" si="369"/>
        <v>79432.823472428237</v>
      </c>
      <c r="O408" s="91" t="str">
        <f t="shared" si="370"/>
        <v>99.7340425531915</v>
      </c>
      <c r="P408" s="67" t="str">
        <f t="shared" si="371"/>
        <v>1+14494.8812523917i</v>
      </c>
      <c r="Q408" s="67">
        <f t="shared" si="382"/>
        <v>14494.881286886637</v>
      </c>
      <c r="R408" s="67">
        <f t="shared" si="383"/>
        <v>1.5707273369231618</v>
      </c>
      <c r="S408" s="67" t="str">
        <f t="shared" si="372"/>
        <v>1+27.2503767544964i</v>
      </c>
      <c r="T408" s="67">
        <f t="shared" si="384"/>
        <v>27.268718951611895</v>
      </c>
      <c r="U408" s="67">
        <f t="shared" si="385"/>
        <v>1.534116045719653</v>
      </c>
      <c r="V408" t="str">
        <f t="shared" si="373"/>
        <v>1-2.8148740823326i</v>
      </c>
      <c r="W408" s="67">
        <f t="shared" si="386"/>
        <v>2.9872254851932079</v>
      </c>
      <c r="X408" s="67">
        <f t="shared" si="387"/>
        <v>-1.2294470833877376</v>
      </c>
      <c r="Y408" t="str">
        <f t="shared" si="374"/>
        <v>-0.49339016445016+4.35105104561322i</v>
      </c>
      <c r="Z408" s="67">
        <f t="shared" si="388"/>
        <v>4.3789358360117649</v>
      </c>
      <c r="AA408" s="67">
        <f t="shared" si="389"/>
        <v>1.6837096350751326</v>
      </c>
      <c r="AB408" s="92" t="str">
        <f t="shared" si="390"/>
        <v>-0.125647291252047-0.024402291608883i</v>
      </c>
      <c r="AC408" s="37">
        <f t="shared" si="391"/>
        <v>-17.856141600246843</v>
      </c>
      <c r="AD408" s="60">
        <f t="shared" si="392"/>
        <v>-169.00925749658853</v>
      </c>
      <c r="AE408" t="str">
        <f t="shared" si="393"/>
        <v>118.329284003155</v>
      </c>
      <c r="AF408" t="str">
        <f t="shared" si="375"/>
        <v>1+11595.9050019134i</v>
      </c>
      <c r="AG408">
        <f t="shared" si="394"/>
        <v>11595.905045032068</v>
      </c>
      <c r="AH408">
        <f t="shared" si="395"/>
        <v>1.570710089455305</v>
      </c>
      <c r="AI408" t="str">
        <f t="shared" si="376"/>
        <v>1+27.2503767544964i</v>
      </c>
      <c r="AJ408">
        <f t="shared" si="396"/>
        <v>27.268718951611895</v>
      </c>
      <c r="AK408">
        <f t="shared" si="397"/>
        <v>1.534116045719653</v>
      </c>
      <c r="AL408" t="str">
        <f t="shared" si="377"/>
        <v>1-1.89796026884613i</v>
      </c>
      <c r="AM408">
        <f t="shared" si="398"/>
        <v>2.1452862704353639</v>
      </c>
      <c r="AN408">
        <f t="shared" si="399"/>
        <v>-1.0858755675617389</v>
      </c>
      <c r="AO408" s="58" t="str">
        <f t="shared" si="400"/>
        <v>0.258752658386513-0.537955145778215i</v>
      </c>
      <c r="AP408">
        <f t="shared" si="401"/>
        <v>-4.4812484913865394</v>
      </c>
      <c r="AQ408" s="60">
        <f t="shared" si="402"/>
        <v>-64.312771359030549</v>
      </c>
      <c r="AR408" t="str">
        <f t="shared" si="378"/>
        <v>-1.94444444444444</v>
      </c>
      <c r="AS408" t="str">
        <f t="shared" si="379"/>
        <v>1+27.949104363586i</v>
      </c>
      <c r="AT408">
        <f t="shared" si="403"/>
        <v>27.966988302758342</v>
      </c>
      <c r="AU408">
        <f t="shared" si="404"/>
        <v>1.5350322609950711</v>
      </c>
      <c r="AV408" t="str">
        <f t="shared" si="380"/>
        <v>1+27.949104363586i</v>
      </c>
      <c r="AW408">
        <f t="shared" si="405"/>
        <v>27.966988302758342</v>
      </c>
      <c r="AX408">
        <f t="shared" si="406"/>
        <v>1.5350322609950711</v>
      </c>
      <c r="AY408" t="str">
        <f t="shared" si="381"/>
        <v>1-0.0000761262166683288i</v>
      </c>
      <c r="AZ408">
        <f t="shared" si="407"/>
        <v>1.0000000028976004</v>
      </c>
      <c r="BA408">
        <f t="shared" si="408"/>
        <v>-7.6126216521273224E-5</v>
      </c>
      <c r="BB408" s="58" t="str">
        <f t="shared" si="409"/>
        <v>-0.00248072785106572+0.0694821448061676i</v>
      </c>
      <c r="BC408">
        <f t="shared" si="410"/>
        <v>-23.157003205262594</v>
      </c>
      <c r="BD408" s="60">
        <f t="shared" si="411"/>
        <v>92.0447683176412</v>
      </c>
      <c r="BE408" s="58" t="str">
        <f t="shared" si="412"/>
        <v>0.00200722029399066-0.00866970784085346i</v>
      </c>
      <c r="BF408" s="37">
        <f t="shared" si="413"/>
        <v>-41.013144805509434</v>
      </c>
      <c r="BG408" s="60">
        <f t="shared" si="414"/>
        <v>-76.964489178947304</v>
      </c>
      <c r="BH408" s="58" t="str">
        <f t="shared" si="415"/>
        <v>0.0367363824119882+0.0193132099917487i</v>
      </c>
      <c r="BI408" s="37">
        <f t="shared" si="416"/>
        <v>-27.638251696649128</v>
      </c>
      <c r="BJ408" s="60">
        <f t="shared" si="417"/>
        <v>27.731996958610726</v>
      </c>
      <c r="BK408">
        <f t="shared" si="418"/>
        <v>-41.013144805509434</v>
      </c>
      <c r="BL408" s="60">
        <f t="shared" si="419"/>
        <v>-76.964489178947304</v>
      </c>
      <c r="BN408">
        <f t="shared" si="420"/>
        <v>0</v>
      </c>
      <c r="BO408">
        <f t="shared" si="421"/>
        <v>0</v>
      </c>
    </row>
    <row r="409" spans="13:67" ht="14.25" x14ac:dyDescent="0.2">
      <c r="M409" s="66">
        <v>91</v>
      </c>
      <c r="N409" s="36">
        <f t="shared" si="369"/>
        <v>81283.051616410012</v>
      </c>
      <c r="O409" s="91" t="str">
        <f t="shared" si="370"/>
        <v>99.7340425531915</v>
      </c>
      <c r="P409" s="67" t="str">
        <f t="shared" si="371"/>
        <v>1+14832.5104095141i</v>
      </c>
      <c r="Q409" s="67">
        <f t="shared" si="382"/>
        <v>14832.510443223835</v>
      </c>
      <c r="R409" s="67">
        <f t="shared" si="383"/>
        <v>1.5707289073243635</v>
      </c>
      <c r="S409" s="67" t="str">
        <f t="shared" si="372"/>
        <v>1+27.8851195698865i</v>
      </c>
      <c r="T409" s="67">
        <f t="shared" si="384"/>
        <v>27.903044518956474</v>
      </c>
      <c r="U409" s="67">
        <f t="shared" si="385"/>
        <v>1.5349502674844031</v>
      </c>
      <c r="V409" t="str">
        <f t="shared" si="373"/>
        <v>1-2.88044092260366i</v>
      </c>
      <c r="W409" s="67">
        <f t="shared" si="386"/>
        <v>3.0490883733683125</v>
      </c>
      <c r="X409" s="67">
        <f t="shared" si="387"/>
        <v>-1.2366457156471899</v>
      </c>
      <c r="Y409" t="str">
        <f t="shared" si="374"/>
        <v>-0.56377147457419+4.45240004403185i</v>
      </c>
      <c r="Z409" s="67">
        <f t="shared" si="388"/>
        <v>4.48795102776739</v>
      </c>
      <c r="AA409" s="67">
        <f t="shared" si="389"/>
        <v>1.6967479758051316</v>
      </c>
      <c r="AB409" s="92" t="str">
        <f t="shared" si="390"/>
        <v>-0.125578269238186-0.0218693930911812i</v>
      </c>
      <c r="AC409" s="37">
        <f t="shared" si="391"/>
        <v>-17.891954906437601</v>
      </c>
      <c r="AD409" s="60">
        <f t="shared" si="392"/>
        <v>-170.12104323006719</v>
      </c>
      <c r="AE409" t="str">
        <f t="shared" si="393"/>
        <v>118.329284003155</v>
      </c>
      <c r="AF409" t="str">
        <f t="shared" si="375"/>
        <v>1+11866.0083276113i</v>
      </c>
      <c r="AG409">
        <f t="shared" si="394"/>
        <v>11866.00836974847</v>
      </c>
      <c r="AH409">
        <f t="shared" si="395"/>
        <v>1.5707120524568021</v>
      </c>
      <c r="AI409" t="str">
        <f t="shared" si="376"/>
        <v>1+27.8851195698865i</v>
      </c>
      <c r="AJ409">
        <f t="shared" si="396"/>
        <v>27.903044518956474</v>
      </c>
      <c r="AK409">
        <f t="shared" si="397"/>
        <v>1.5349502674844031</v>
      </c>
      <c r="AL409" t="str">
        <f t="shared" si="377"/>
        <v>1-1.94216944273753i</v>
      </c>
      <c r="AM409">
        <f t="shared" si="398"/>
        <v>2.1844958558677581</v>
      </c>
      <c r="AN409">
        <f t="shared" si="399"/>
        <v>-1.0953092741129806</v>
      </c>
      <c r="AO409" s="58" t="str">
        <f t="shared" si="400"/>
        <v>0.258752618866574-0.550016786898481i</v>
      </c>
      <c r="AP409">
        <f t="shared" si="401"/>
        <v>-4.3241919301562852</v>
      </c>
      <c r="AQ409" s="60">
        <f t="shared" si="402"/>
        <v>-64.805598014984383</v>
      </c>
      <c r="AR409" t="str">
        <f t="shared" si="378"/>
        <v>-1.94444444444444</v>
      </c>
      <c r="AS409" t="str">
        <f t="shared" si="379"/>
        <v>1+28.600122635781i</v>
      </c>
      <c r="AT409">
        <f t="shared" si="403"/>
        <v>28.617599738302872</v>
      </c>
      <c r="AU409">
        <f t="shared" si="404"/>
        <v>1.5358456800093545</v>
      </c>
      <c r="AV409" t="str">
        <f t="shared" si="380"/>
        <v>1+28.600122635781i</v>
      </c>
      <c r="AW409">
        <f t="shared" si="405"/>
        <v>28.617599738302872</v>
      </c>
      <c r="AX409">
        <f t="shared" si="406"/>
        <v>1.5358456800093545</v>
      </c>
      <c r="AY409" t="str">
        <f t="shared" si="381"/>
        <v>1-0.0000743933724188376i</v>
      </c>
      <c r="AZ409">
        <f t="shared" si="407"/>
        <v>1.0000000027671869</v>
      </c>
      <c r="BA409">
        <f t="shared" si="408"/>
        <v>-7.4393372281597345E-5</v>
      </c>
      <c r="BB409" s="58" t="str">
        <f t="shared" si="409"/>
        <v>-0.00236921303738022+0.0679044371990689i</v>
      </c>
      <c r="BC409">
        <f t="shared" si="410"/>
        <v>-23.356753293039958</v>
      </c>
      <c r="BD409" s="60">
        <f t="shared" si="411"/>
        <v>91.998262125808552</v>
      </c>
      <c r="BE409" s="58" t="str">
        <f t="shared" si="412"/>
        <v>0.00178255050243262-0.00847550844582095i</v>
      </c>
      <c r="BF409" s="37">
        <f t="shared" si="413"/>
        <v>-41.248708199477555</v>
      </c>
      <c r="BG409" s="60">
        <f t="shared" si="414"/>
        <v>-78.122781104258607</v>
      </c>
      <c r="BH409" s="58" t="str">
        <f t="shared" si="415"/>
        <v>0.0367355402863066+0.0188735579002177i</v>
      </c>
      <c r="BI409" s="37">
        <f t="shared" si="416"/>
        <v>-27.680945223196247</v>
      </c>
      <c r="BJ409" s="60">
        <f t="shared" si="417"/>
        <v>27.192664110824118</v>
      </c>
      <c r="BK409">
        <f t="shared" si="418"/>
        <v>-41.248708199477555</v>
      </c>
      <c r="BL409" s="60">
        <f t="shared" si="419"/>
        <v>-78.122781104258607</v>
      </c>
      <c r="BN409">
        <f t="shared" si="420"/>
        <v>0</v>
      </c>
      <c r="BO409">
        <f t="shared" si="421"/>
        <v>0</v>
      </c>
    </row>
    <row r="410" spans="13:67" ht="14.25" x14ac:dyDescent="0.2">
      <c r="M410" s="66">
        <v>92</v>
      </c>
      <c r="N410" s="36">
        <f t="shared" si="369"/>
        <v>83176.377110267174</v>
      </c>
      <c r="O410" s="91" t="str">
        <f t="shared" si="370"/>
        <v>99.7340425531915</v>
      </c>
      <c r="P410" s="67" t="str">
        <f t="shared" si="371"/>
        <v>1+15178.0039599871i</v>
      </c>
      <c r="Q410" s="67">
        <f t="shared" si="382"/>
        <v>15178.003992929509</v>
      </c>
      <c r="R410" s="67">
        <f t="shared" si="383"/>
        <v>1.5707304419788701</v>
      </c>
      <c r="S410" s="67" t="str">
        <f t="shared" si="372"/>
        <v>1+28.5346474447758i</v>
      </c>
      <c r="T410" s="67">
        <f t="shared" si="384"/>
        <v>28.552164625429892</v>
      </c>
      <c r="U410" s="67">
        <f t="shared" si="385"/>
        <v>1.5357655482772563</v>
      </c>
      <c r="V410" t="str">
        <f t="shared" si="373"/>
        <v>1-2.94753501077904i</v>
      </c>
      <c r="W410" s="67">
        <f t="shared" si="386"/>
        <v>3.1125492188507149</v>
      </c>
      <c r="X410" s="67">
        <f t="shared" si="387"/>
        <v>-1.2437154261983514</v>
      </c>
      <c r="Y410" t="str">
        <f t="shared" si="374"/>
        <v>-0.63746975365429+4.55610976388832i</v>
      </c>
      <c r="Z410" s="67">
        <f t="shared" si="388"/>
        <v>4.6004895247595714</v>
      </c>
      <c r="AA410" s="67">
        <f t="shared" si="389"/>
        <v>1.7098092577761033</v>
      </c>
      <c r="AB410" s="92" t="str">
        <f t="shared" si="390"/>
        <v>-0.125449784212695-0.0193582406809488i</v>
      </c>
      <c r="AC410" s="37">
        <f t="shared" si="391"/>
        <v>-17.928400388544095</v>
      </c>
      <c r="AD410" s="60">
        <f t="shared" si="392"/>
        <v>-171.22783991967248</v>
      </c>
      <c r="AE410" t="str">
        <f t="shared" si="393"/>
        <v>118.329284003155</v>
      </c>
      <c r="AF410" t="str">
        <f t="shared" si="375"/>
        <v>1+12142.4031679897i</v>
      </c>
      <c r="AG410">
        <f t="shared" si="394"/>
        <v>12142.403209167711</v>
      </c>
      <c r="AH410">
        <f t="shared" si="395"/>
        <v>1.5707139707749305</v>
      </c>
      <c r="AI410" t="str">
        <f t="shared" si="376"/>
        <v>1+28.5346474447758i</v>
      </c>
      <c r="AJ410">
        <f t="shared" si="396"/>
        <v>28.552164625429892</v>
      </c>
      <c r="AK410">
        <f t="shared" si="397"/>
        <v>1.5357655482772563</v>
      </c>
      <c r="AL410" t="str">
        <f t="shared" si="377"/>
        <v>1-1.98740838057514i</v>
      </c>
      <c r="AM410">
        <f t="shared" si="398"/>
        <v>2.2248128171107564</v>
      </c>
      <c r="AN410">
        <f t="shared" si="399"/>
        <v>-1.1046176511958945</v>
      </c>
      <c r="AO410" s="58" t="str">
        <f t="shared" si="400"/>
        <v>0.258752581125324-0.562370054199199i</v>
      </c>
      <c r="AP410">
        <f t="shared" si="401"/>
        <v>-4.1655979355802533</v>
      </c>
      <c r="AQ410" s="60">
        <f t="shared" si="402"/>
        <v>-65.29232649893568</v>
      </c>
      <c r="AR410" t="str">
        <f t="shared" si="378"/>
        <v>-1.94444444444444</v>
      </c>
      <c r="AS410" t="str">
        <f t="shared" si="379"/>
        <v>1+29.2663050715648i</v>
      </c>
      <c r="AT410">
        <f t="shared" si="403"/>
        <v>29.283384581395293</v>
      </c>
      <c r="AU410">
        <f t="shared" si="404"/>
        <v>1.5366406280579763</v>
      </c>
      <c r="AV410" t="str">
        <f t="shared" si="380"/>
        <v>1+29.2663050715648i</v>
      </c>
      <c r="AW410">
        <f t="shared" si="405"/>
        <v>29.283384581395293</v>
      </c>
      <c r="AX410">
        <f t="shared" si="406"/>
        <v>1.5366406280579763</v>
      </c>
      <c r="AY410" t="str">
        <f t="shared" si="381"/>
        <v>1-0.0000726999725201155i</v>
      </c>
      <c r="AZ410">
        <f t="shared" si="407"/>
        <v>1.000000002642643</v>
      </c>
      <c r="BA410">
        <f t="shared" si="408"/>
        <v>-7.2699972392035439E-5</v>
      </c>
      <c r="BB410" s="58" t="str">
        <f t="shared" si="409"/>
        <v>-0.00226270523535821+0.0663623827626983i</v>
      </c>
      <c r="BC410">
        <f t="shared" si="410"/>
        <v>-23.55651461529456</v>
      </c>
      <c r="BD410" s="60">
        <f t="shared" si="411"/>
        <v>91.952811982357062</v>
      </c>
      <c r="BE410" s="58" t="str">
        <f t="shared" si="412"/>
        <v>0.00156851486119418-0.00828134460488467i</v>
      </c>
      <c r="BF410" s="37">
        <f t="shared" si="413"/>
        <v>-41.484915003838651</v>
      </c>
      <c r="BG410" s="60">
        <f t="shared" si="414"/>
        <v>-79.275027937315471</v>
      </c>
      <c r="BH410" s="58" t="str">
        <f t="shared" si="415"/>
        <v>0.0367347359710719+0.0184439154953201i</v>
      </c>
      <c r="BI410" s="37">
        <f t="shared" si="416"/>
        <v>-27.722112550874819</v>
      </c>
      <c r="BJ410" s="60">
        <f t="shared" si="417"/>
        <v>26.66048548342139</v>
      </c>
      <c r="BK410">
        <f t="shared" si="418"/>
        <v>-41.484915003838651</v>
      </c>
      <c r="BL410" s="60">
        <f t="shared" si="419"/>
        <v>-79.275027937315471</v>
      </c>
      <c r="BN410">
        <f t="shared" si="420"/>
        <v>0</v>
      </c>
      <c r="BO410">
        <f t="shared" si="421"/>
        <v>0</v>
      </c>
    </row>
    <row r="411" spans="13:67" ht="14.25" x14ac:dyDescent="0.2">
      <c r="M411" s="66">
        <v>93</v>
      </c>
      <c r="N411" s="36">
        <f t="shared" si="369"/>
        <v>85113.803820237721</v>
      </c>
      <c r="O411" s="91" t="str">
        <f t="shared" si="370"/>
        <v>99.7340425531915</v>
      </c>
      <c r="P411" s="67" t="str">
        <f t="shared" si="371"/>
        <v>1+15531.5450890644i</v>
      </c>
      <c r="Q411" s="67">
        <f t="shared" si="382"/>
        <v>15531.545121256948</v>
      </c>
      <c r="R411" s="67">
        <f t="shared" si="383"/>
        <v>1.5707319417003756</v>
      </c>
      <c r="S411" s="67" t="str">
        <f t="shared" si="372"/>
        <v>1+29.199304767441i</v>
      </c>
      <c r="T411" s="67">
        <f t="shared" si="384"/>
        <v>29.216423444732285</v>
      </c>
      <c r="U411" s="67">
        <f t="shared" si="385"/>
        <v>1.5365623160331787</v>
      </c>
      <c r="V411" t="str">
        <f t="shared" si="373"/>
        <v>1-3.01619192103237i</v>
      </c>
      <c r="W411" s="67">
        <f t="shared" si="386"/>
        <v>3.1776427905762064</v>
      </c>
      <c r="X411" s="67">
        <f t="shared" si="387"/>
        <v>-1.2506571357794978</v>
      </c>
      <c r="Y411" t="str">
        <f t="shared" si="374"/>
        <v>-0.71464132562128+4.66223519344883i</v>
      </c>
      <c r="Z411" s="67">
        <f t="shared" si="388"/>
        <v>4.7166883746245727</v>
      </c>
      <c r="AA411" s="67">
        <f t="shared" si="389"/>
        <v>1.7228954607412861</v>
      </c>
      <c r="AB411" s="92" t="str">
        <f t="shared" si="390"/>
        <v>-0.125262323415674-0.0168698181976136i</v>
      </c>
      <c r="AC411" s="37">
        <f t="shared" si="391"/>
        <v>-17.965525968213697</v>
      </c>
      <c r="AD411" s="60">
        <f t="shared" si="392"/>
        <v>-172.32978927908053</v>
      </c>
      <c r="AE411" t="str">
        <f t="shared" si="393"/>
        <v>118.329284003155</v>
      </c>
      <c r="AF411" t="str">
        <f t="shared" si="375"/>
        <v>1+12425.2360712515i</v>
      </c>
      <c r="AG411">
        <f t="shared" si="394"/>
        <v>12425.236111492184</v>
      </c>
      <c r="AH411">
        <f t="shared" si="395"/>
        <v>1.5707158454268078</v>
      </c>
      <c r="AI411" t="str">
        <f t="shared" si="376"/>
        <v>1+29.199304767441i</v>
      </c>
      <c r="AJ411">
        <f t="shared" si="396"/>
        <v>29.216423444732285</v>
      </c>
      <c r="AK411">
        <f t="shared" si="397"/>
        <v>1.5365623160331787</v>
      </c>
      <c r="AL411" t="str">
        <f t="shared" si="377"/>
        <v>1-2.03370106864258i</v>
      </c>
      <c r="AM411">
        <f t="shared" si="398"/>
        <v>2.2662612463257568</v>
      </c>
      <c r="AN411">
        <f t="shared" si="399"/>
        <v>-1.113799181064431</v>
      </c>
      <c r="AO411" s="58" t="str">
        <f t="shared" si="400"/>
        <v>0.258752545082711-0.575021497546216i</v>
      </c>
      <c r="AP411">
        <f t="shared" si="401"/>
        <v>-4.0055078189756053</v>
      </c>
      <c r="AQ411" s="60">
        <f t="shared" si="402"/>
        <v>-65.772845389850175</v>
      </c>
      <c r="AR411" t="str">
        <f t="shared" si="378"/>
        <v>-1.94444444444444</v>
      </c>
      <c r="AS411" t="str">
        <f t="shared" si="379"/>
        <v>1+29.948004889683i</v>
      </c>
      <c r="AT411">
        <f t="shared" si="403"/>
        <v>29.964695841481134</v>
      </c>
      <c r="AU411">
        <f t="shared" si="404"/>
        <v>1.5374175226117273</v>
      </c>
      <c r="AV411" t="str">
        <f t="shared" si="380"/>
        <v>1+29.948004889683i</v>
      </c>
      <c r="AW411">
        <f t="shared" si="405"/>
        <v>29.964695841481134</v>
      </c>
      <c r="AX411">
        <f t="shared" si="406"/>
        <v>1.5374175226117273</v>
      </c>
      <c r="AY411" t="str">
        <f t="shared" si="381"/>
        <v>1-0.0000710451191091215i</v>
      </c>
      <c r="AZ411">
        <f t="shared" si="407"/>
        <v>1.0000000025237044</v>
      </c>
      <c r="BA411">
        <f t="shared" si="408"/>
        <v>-7.1045118989590243E-5</v>
      </c>
      <c r="BB411" s="58" t="str">
        <f t="shared" si="409"/>
        <v>-0.00216098014481142+0.0648551872304769i</v>
      </c>
      <c r="BC411">
        <f t="shared" si="410"/>
        <v>-23.756286667571644</v>
      </c>
      <c r="BD411" s="60">
        <f t="shared" si="411"/>
        <v>91.908394019416107</v>
      </c>
      <c r="BE411" s="58" t="str">
        <f t="shared" si="412"/>
        <v>0.00136478461154455-0.00808745609587647i</v>
      </c>
      <c r="BF411" s="37">
        <f t="shared" si="413"/>
        <v>-41.721812635785334</v>
      </c>
      <c r="BG411" s="60">
        <f t="shared" si="414"/>
        <v>-80.42139525966445</v>
      </c>
      <c r="BH411" s="58" t="str">
        <f t="shared" si="415"/>
        <v>0.0367339677725659+0.0180240547967387i</v>
      </c>
      <c r="BI411" s="37">
        <f t="shared" si="416"/>
        <v>-27.761794486547249</v>
      </c>
      <c r="BJ411" s="60">
        <f t="shared" si="417"/>
        <v>26.135548629565886</v>
      </c>
      <c r="BK411">
        <f t="shared" si="418"/>
        <v>-41.721812635785334</v>
      </c>
      <c r="BL411" s="60">
        <f t="shared" si="419"/>
        <v>-80.42139525966445</v>
      </c>
      <c r="BN411">
        <f t="shared" si="420"/>
        <v>0</v>
      </c>
      <c r="BO411">
        <f t="shared" si="421"/>
        <v>0</v>
      </c>
    </row>
    <row r="412" spans="13:67" ht="14.25" x14ac:dyDescent="0.2">
      <c r="M412" s="66">
        <v>94</v>
      </c>
      <c r="N412" s="36">
        <f t="shared" si="369"/>
        <v>87096.358995608127</v>
      </c>
      <c r="O412" s="91" t="str">
        <f t="shared" si="370"/>
        <v>99.7340425531915</v>
      </c>
      <c r="P412" s="67" t="str">
        <f t="shared" si="371"/>
        <v>1+15893.3212489321i</v>
      </c>
      <c r="Q412" s="67">
        <f t="shared" si="382"/>
        <v>15893.321280391854</v>
      </c>
      <c r="R412" s="67">
        <f t="shared" si="383"/>
        <v>1.570733407284052</v>
      </c>
      <c r="S412" s="67" t="str">
        <f t="shared" si="372"/>
        <v>1+29.8794439479924i</v>
      </c>
      <c r="T412" s="67">
        <f t="shared" si="384"/>
        <v>29.896173177201451</v>
      </c>
      <c r="U412" s="67">
        <f t="shared" si="385"/>
        <v>1.5373409891601166</v>
      </c>
      <c r="V412" t="str">
        <f t="shared" si="373"/>
        <v>1-3.08644805616625i</v>
      </c>
      <c r="W412" s="67">
        <f t="shared" si="386"/>
        <v>3.2444046608603596</v>
      </c>
      <c r="X412" s="67">
        <f t="shared" si="387"/>
        <v>-1.2574718480650262</v>
      </c>
      <c r="Y412" t="str">
        <f t="shared" si="374"/>
        <v>-0.79544988172589+4.7708326018209i</v>
      </c>
      <c r="Z412" s="67">
        <f t="shared" si="388"/>
        <v>4.8366914547999551</v>
      </c>
      <c r="AA412" s="67">
        <f t="shared" si="389"/>
        <v>1.7360084528929365</v>
      </c>
      <c r="AB412" s="92" t="str">
        <f t="shared" si="390"/>
        <v>-0.125016374918661-0.0144051195002189i</v>
      </c>
      <c r="AC412" s="37">
        <f t="shared" si="391"/>
        <v>-18.003380123354134</v>
      </c>
      <c r="AD412" s="60">
        <f t="shared" si="392"/>
        <v>-173.42703192668037</v>
      </c>
      <c r="AE412" t="str">
        <f t="shared" si="393"/>
        <v>118.329284003155</v>
      </c>
      <c r="AF412" t="str">
        <f t="shared" si="375"/>
        <v>1+12714.6569991457i</v>
      </c>
      <c r="AG412">
        <f t="shared" si="394"/>
        <v>12714.657038470394</v>
      </c>
      <c r="AH412">
        <f t="shared" si="395"/>
        <v>1.5707176774063991</v>
      </c>
      <c r="AI412" t="str">
        <f t="shared" si="376"/>
        <v>1+29.8794439479924i</v>
      </c>
      <c r="AJ412">
        <f t="shared" si="396"/>
        <v>29.896173177201451</v>
      </c>
      <c r="AK412">
        <f t="shared" si="397"/>
        <v>1.5373409891601166</v>
      </c>
      <c r="AL412" t="str">
        <f t="shared" si="377"/>
        <v>1-2.08107205193583i</v>
      </c>
      <c r="AM412">
        <f t="shared" si="398"/>
        <v>2.3088657140137898</v>
      </c>
      <c r="AN412">
        <f t="shared" si="399"/>
        <v>-1.12285253888127</v>
      </c>
      <c r="AO412" s="58" t="str">
        <f t="shared" si="400"/>
        <v>0.258752510662282-0.587977824902282i</v>
      </c>
      <c r="AP412">
        <f t="shared" si="401"/>
        <v>-3.8439627656561544</v>
      </c>
      <c r="AQ412" s="60">
        <f t="shared" si="402"/>
        <v>-66.247054864081804</v>
      </c>
      <c r="AR412" t="str">
        <f t="shared" si="378"/>
        <v>-1.94444444444444</v>
      </c>
      <c r="AS412" t="str">
        <f t="shared" si="379"/>
        <v>1+30.6455835364024i</v>
      </c>
      <c r="AT412">
        <f t="shared" si="403"/>
        <v>30.661894760216917</v>
      </c>
      <c r="AU412">
        <f t="shared" si="404"/>
        <v>1.5381767718369876</v>
      </c>
      <c r="AV412" t="str">
        <f t="shared" si="380"/>
        <v>1+30.6455835364024i</v>
      </c>
      <c r="AW412">
        <f t="shared" si="405"/>
        <v>30.661894760216917</v>
      </c>
      <c r="AX412">
        <f t="shared" si="406"/>
        <v>1.5381767718369876</v>
      </c>
      <c r="AY412" t="str">
        <f t="shared" si="381"/>
        <v>1-0.0000694279347606724i</v>
      </c>
      <c r="AZ412">
        <f t="shared" si="407"/>
        <v>1.000000002410119</v>
      </c>
      <c r="BA412">
        <f t="shared" si="408"/>
        <v>-6.9427934649119341E-5</v>
      </c>
      <c r="BB412" s="58" t="str">
        <f t="shared" si="409"/>
        <v>-0.00206382346835043+0.0633820732657556i</v>
      </c>
      <c r="BC412">
        <f t="shared" si="410"/>
        <v>-23.956068968016911</v>
      </c>
      <c r="BD412" s="60">
        <f t="shared" si="411"/>
        <v>91.864984901047521</v>
      </c>
      <c r="BE412" s="58" t="str">
        <f t="shared" si="412"/>
        <v>0.00117103806805007-0.0078940674108248i</v>
      </c>
      <c r="BF412" s="37">
        <f t="shared" si="413"/>
        <v>-41.959449091371042</v>
      </c>
      <c r="BG412" s="60">
        <f t="shared" si="414"/>
        <v>-81.56204702563285</v>
      </c>
      <c r="BH412" s="58" t="str">
        <f t="shared" si="415"/>
        <v>0.0367332340725966+0.0176137530223979i</v>
      </c>
      <c r="BI412" s="37">
        <f t="shared" si="416"/>
        <v>-27.80003173367308</v>
      </c>
      <c r="BJ412" s="60">
        <f t="shared" si="417"/>
        <v>25.617930036965703</v>
      </c>
      <c r="BK412">
        <f t="shared" si="418"/>
        <v>-41.959449091371042</v>
      </c>
      <c r="BL412" s="60">
        <f t="shared" si="419"/>
        <v>-81.56204702563285</v>
      </c>
      <c r="BN412">
        <f t="shared" si="420"/>
        <v>0</v>
      </c>
      <c r="BO412">
        <f t="shared" si="421"/>
        <v>0</v>
      </c>
    </row>
    <row r="413" spans="13:67" ht="14.25" x14ac:dyDescent="0.2">
      <c r="M413" s="66">
        <v>95</v>
      </c>
      <c r="N413" s="36">
        <f t="shared" si="369"/>
        <v>89125.093813374609</v>
      </c>
      <c r="O413" s="91" t="str">
        <f t="shared" si="370"/>
        <v>99.7340425531915</v>
      </c>
      <c r="P413" s="67" t="str">
        <f t="shared" si="371"/>
        <v>1+16263.5242580991i</v>
      </c>
      <c r="Q413" s="67">
        <f t="shared" si="382"/>
        <v>16263.524288842742</v>
      </c>
      <c r="R413" s="67">
        <f t="shared" si="383"/>
        <v>1.5707348395069711</v>
      </c>
      <c r="S413" s="67" t="str">
        <f t="shared" si="372"/>
        <v>1+30.5754256052262i</v>
      </c>
      <c r="T413" s="67">
        <f t="shared" si="384"/>
        <v>30.591774236561076</v>
      </c>
      <c r="U413" s="67">
        <f t="shared" si="385"/>
        <v>1.5381019767416357</v>
      </c>
      <c r="V413" t="str">
        <f t="shared" si="373"/>
        <v>1-3.15834066691348i</v>
      </c>
      <c r="W413" s="67">
        <f t="shared" si="386"/>
        <v>3.3128712272407279</v>
      </c>
      <c r="X413" s="67">
        <f t="shared" si="387"/>
        <v>-1.2641606436208921</v>
      </c>
      <c r="Y413" t="str">
        <f t="shared" si="374"/>
        <v>-0.88006682774978+4.88195956878789i</v>
      </c>
      <c r="Z413" s="67">
        <f t="shared" si="388"/>
        <v>4.9606498417631935</v>
      </c>
      <c r="AA413" s="67">
        <f t="shared" si="389"/>
        <v>1.7491499809897273</v>
      </c>
      <c r="AB413" s="92" t="str">
        <f t="shared" si="390"/>
        <v>-0.12471243043906-0.011965151039581i</v>
      </c>
      <c r="AC413" s="37">
        <f t="shared" si="391"/>
        <v>-18.042011835147044</v>
      </c>
      <c r="AD413" s="60">
        <f t="shared" si="392"/>
        <v>-174.51970646200172</v>
      </c>
      <c r="AE413" t="str">
        <f t="shared" si="393"/>
        <v>118.329284003155</v>
      </c>
      <c r="AF413" t="str">
        <f t="shared" si="375"/>
        <v>1+13010.8194064792i</v>
      </c>
      <c r="AG413">
        <f t="shared" si="394"/>
        <v>13010.819444908755</v>
      </c>
      <c r="AH413">
        <f t="shared" si="395"/>
        <v>1.5707194676850442</v>
      </c>
      <c r="AI413" t="str">
        <f t="shared" si="376"/>
        <v>1+30.5754256052262i</v>
      </c>
      <c r="AJ413">
        <f t="shared" si="396"/>
        <v>30.591774236561076</v>
      </c>
      <c r="AK413">
        <f t="shared" si="397"/>
        <v>1.5381019767416357</v>
      </c>
      <c r="AL413" t="str">
        <f t="shared" si="377"/>
        <v>1-2.12954644717727i</v>
      </c>
      <c r="AM413">
        <f t="shared" si="398"/>
        <v>2.3526512853981001</v>
      </c>
      <c r="AN413">
        <f t="shared" si="399"/>
        <v>-1.1317765875362911</v>
      </c>
      <c r="AO413" s="58" t="str">
        <f t="shared" si="400"/>
        <v>0.258752477791028-0.601245905883677i</v>
      </c>
      <c r="AP413">
        <f t="shared" si="401"/>
        <v>-3.6810037576594663</v>
      </c>
      <c r="AQ413" s="60">
        <f t="shared" si="402"/>
        <v>-66.714866386911524</v>
      </c>
      <c r="AR413" t="str">
        <f t="shared" si="378"/>
        <v>-1.94444444444444</v>
      </c>
      <c r="AS413" t="str">
        <f t="shared" si="379"/>
        <v>1+31.359410877155i</v>
      </c>
      <c r="AT413">
        <f t="shared" si="403"/>
        <v>31.375351003012337</v>
      </c>
      <c r="AU413">
        <f t="shared" si="404"/>
        <v>1.5389187747943338</v>
      </c>
      <c r="AV413" t="str">
        <f t="shared" si="380"/>
        <v>1+31.359410877155i</v>
      </c>
      <c r="AW413">
        <f t="shared" si="405"/>
        <v>31.375351003012337</v>
      </c>
      <c r="AX413">
        <f t="shared" si="406"/>
        <v>1.5389187747943338</v>
      </c>
      <c r="AY413" t="str">
        <f t="shared" si="381"/>
        <v>1-0.0000678475620222208i</v>
      </c>
      <c r="AZ413">
        <f t="shared" si="407"/>
        <v>1.0000000023016458</v>
      </c>
      <c r="BA413">
        <f t="shared" si="408"/>
        <v>-6.7847561918113429E-5</v>
      </c>
      <c r="BB413" s="58" t="str">
        <f t="shared" si="409"/>
        <v>-0.0019710304692824+0.0619422801526616i</v>
      </c>
      <c r="BC413">
        <f t="shared" si="410"/>
        <v>-24.155861056368572</v>
      </c>
      <c r="BD413" s="60">
        <f t="shared" si="411"/>
        <v>91.822561811892896</v>
      </c>
      <c r="BE413" s="58" t="str">
        <f t="shared" si="412"/>
        <v>0.000986960738056286-0.007701388627507i</v>
      </c>
      <c r="BF413" s="37">
        <f t="shared" si="413"/>
        <v>-42.197872891515615</v>
      </c>
      <c r="BG413" s="60">
        <f t="shared" si="414"/>
        <v>-82.697144650108825</v>
      </c>
      <c r="BH413" s="58" t="str">
        <f t="shared" si="415"/>
        <v>0.0367325333251591+0.0172127924695552i</v>
      </c>
      <c r="BI413" s="37">
        <f t="shared" si="416"/>
        <v>-27.83686481402804</v>
      </c>
      <c r="BJ413" s="60">
        <f t="shared" si="417"/>
        <v>25.10769542498133</v>
      </c>
      <c r="BK413">
        <f t="shared" si="418"/>
        <v>-42.197872891515615</v>
      </c>
      <c r="BL413" s="60">
        <f t="shared" si="419"/>
        <v>-82.697144650108825</v>
      </c>
      <c r="BN413">
        <f t="shared" si="420"/>
        <v>0</v>
      </c>
      <c r="BO413">
        <f t="shared" si="421"/>
        <v>0</v>
      </c>
    </row>
    <row r="414" spans="13:67" ht="14.25" x14ac:dyDescent="0.2">
      <c r="M414" s="66">
        <v>96</v>
      </c>
      <c r="N414" s="36">
        <f t="shared" si="369"/>
        <v>91201.083935591028</v>
      </c>
      <c r="O414" s="91" t="str">
        <f t="shared" si="370"/>
        <v>99.7340425531915</v>
      </c>
      <c r="P414" s="67" t="str">
        <f t="shared" si="371"/>
        <v>1+16642.3504031008i</v>
      </c>
      <c r="Q414" s="67">
        <f t="shared" si="382"/>
        <v>16642.350433144631</v>
      </c>
      <c r="R414" s="67">
        <f t="shared" si="383"/>
        <v>1.5707362391285169</v>
      </c>
      <c r="S414" s="67" t="str">
        <f t="shared" si="372"/>
        <v>1+31.2876187578295i</v>
      </c>
      <c r="T414" s="67">
        <f t="shared" si="384"/>
        <v>31.303595441023777</v>
      </c>
      <c r="U414" s="67">
        <f t="shared" si="385"/>
        <v>1.5388456787358933</v>
      </c>
      <c r="V414" t="str">
        <f t="shared" si="373"/>
        <v>1-3.23190787168789i</v>
      </c>
      <c r="W414" s="67">
        <f t="shared" si="386"/>
        <v>3.3830797346616208</v>
      </c>
      <c r="X414" s="67">
        <f t="shared" si="387"/>
        <v>-1.2707246740426086</v>
      </c>
      <c r="Y414" t="str">
        <f t="shared" si="374"/>
        <v>-0.96867164758029+4.99567501533862i</v>
      </c>
      <c r="Z414" s="67">
        <f t="shared" si="388"/>
        <v>5.0887221991089699</v>
      </c>
      <c r="AA414" s="67">
        <f t="shared" si="389"/>
        <v>1.7623216606625154</v>
      </c>
      <c r="AB414" s="92" t="str">
        <f t="shared" si="390"/>
        <v>-0.124350988430559-0.00955093410146926i</v>
      </c>
      <c r="AC414" s="37">
        <f t="shared" si="391"/>
        <v>-18.081470532957262</v>
      </c>
      <c r="AD414" s="60">
        <f t="shared" si="392"/>
        <v>-175.60794856303167</v>
      </c>
      <c r="AE414" t="str">
        <f t="shared" si="393"/>
        <v>118.329284003155</v>
      </c>
      <c r="AF414" t="str">
        <f t="shared" si="375"/>
        <v>1+13313.8803224807i</v>
      </c>
      <c r="AG414">
        <f t="shared" si="394"/>
        <v>13313.880360035491</v>
      </c>
      <c r="AH414">
        <f t="shared" si="395"/>
        <v>1.5707212172119727</v>
      </c>
      <c r="AI414" t="str">
        <f t="shared" si="376"/>
        <v>1+31.2876187578295i</v>
      </c>
      <c r="AJ414">
        <f t="shared" si="396"/>
        <v>31.303595441023777</v>
      </c>
      <c r="AK414">
        <f t="shared" si="397"/>
        <v>1.5388456787358933</v>
      </c>
      <c r="AL414" t="str">
        <f t="shared" si="377"/>
        <v>1-2.17914995613288i</v>
      </c>
      <c r="AM414">
        <f t="shared" si="398"/>
        <v>2.3976435371660094</v>
      </c>
      <c r="AN414">
        <f t="shared" si="399"/>
        <v>-1.1405703720837796</v>
      </c>
      <c r="AO414" s="58" t="str">
        <f t="shared" si="400"/>
        <v>0.258752446399222-0.614832775402568i</v>
      </c>
      <c r="AP414">
        <f t="shared" si="401"/>
        <v>-3.5166715013115417</v>
      </c>
      <c r="AQ414" s="60">
        <f t="shared" si="402"/>
        <v>-67.176202382452701</v>
      </c>
      <c r="AR414" t="str">
        <f t="shared" si="378"/>
        <v>-1.94444444444444</v>
      </c>
      <c r="AS414" t="str">
        <f t="shared" si="379"/>
        <v>1+32.0898653926456i</v>
      </c>
      <c r="AT414">
        <f t="shared" si="403"/>
        <v>32.105442855038049</v>
      </c>
      <c r="AU414">
        <f t="shared" si="404"/>
        <v>1.5396439216335005</v>
      </c>
      <c r="AV414" t="str">
        <f t="shared" si="380"/>
        <v>1+32.0898653926456i</v>
      </c>
      <c r="AW414">
        <f t="shared" si="405"/>
        <v>32.105442855038049</v>
      </c>
      <c r="AX414">
        <f t="shared" si="406"/>
        <v>1.5396439216335005</v>
      </c>
      <c r="AY414" t="str">
        <f t="shared" si="381"/>
        <v>1-0.0000663031629592221i</v>
      </c>
      <c r="AZ414">
        <f t="shared" si="407"/>
        <v>1.0000000021980546</v>
      </c>
      <c r="BA414">
        <f t="shared" si="408"/>
        <v>-6.6303162862063454E-5</v>
      </c>
      <c r="BB414" s="58" t="str">
        <f t="shared" si="409"/>
        <v>-0.00188240554869798+0.0605350634889525i</v>
      </c>
      <c r="BC414">
        <f t="shared" si="410"/>
        <v>-24.355662492993815</v>
      </c>
      <c r="BD414" s="60">
        <f t="shared" si="411"/>
        <v>91.781102446029195</v>
      </c>
      <c r="BE414" s="58" t="str">
        <f t="shared" si="412"/>
        <v>0.000812245392819006-0.00750961624821003i</v>
      </c>
      <c r="BF414" s="37">
        <f t="shared" si="413"/>
        <v>-42.437133025951077</v>
      </c>
      <c r="BG414" s="60">
        <f t="shared" si="414"/>
        <v>-83.826846117002447</v>
      </c>
      <c r="BH414" s="58" t="str">
        <f t="shared" si="415"/>
        <v>0.0367318640532423+0.0168209603986379i</v>
      </c>
      <c r="BI414" s="37">
        <f t="shared" si="416"/>
        <v>-27.87233399430534</v>
      </c>
      <c r="BJ414" s="60">
        <f t="shared" si="417"/>
        <v>24.604900063576533</v>
      </c>
      <c r="BK414">
        <f t="shared" si="418"/>
        <v>-42.437133025951077</v>
      </c>
      <c r="BL414" s="60">
        <f t="shared" si="419"/>
        <v>-83.826846117002447</v>
      </c>
      <c r="BN414">
        <f t="shared" si="420"/>
        <v>0</v>
      </c>
      <c r="BO414">
        <f t="shared" si="421"/>
        <v>0</v>
      </c>
    </row>
    <row r="415" spans="13:67" ht="14.25" x14ac:dyDescent="0.2">
      <c r="M415" s="66">
        <v>97</v>
      </c>
      <c r="N415" s="36">
        <f t="shared" si="369"/>
        <v>93325.430079699145</v>
      </c>
      <c r="O415" s="91" t="str">
        <f t="shared" si="370"/>
        <v>99.7340425531915</v>
      </c>
      <c r="P415" s="67" t="str">
        <f t="shared" si="371"/>
        <v>1+17030.0005425739i</v>
      </c>
      <c r="Q415" s="67">
        <f t="shared" si="382"/>
        <v>17030.000571933851</v>
      </c>
      <c r="R415" s="67">
        <f t="shared" si="383"/>
        <v>1.5707376068907868</v>
      </c>
      <c r="S415" s="67" t="str">
        <f t="shared" si="372"/>
        <v>1+32.0164010200388i</v>
      </c>
      <c r="T415" s="67">
        <f t="shared" si="384"/>
        <v>32.032014208849581</v>
      </c>
      <c r="U415" s="67">
        <f t="shared" si="385"/>
        <v>1.5395724861709605</v>
      </c>
      <c r="V415" t="str">
        <f t="shared" si="373"/>
        <v>1-3.30718867679522i</v>
      </c>
      <c r="W415" s="67">
        <f t="shared" si="386"/>
        <v>3.4550682980112732</v>
      </c>
      <c r="X415" s="67">
        <f t="shared" si="387"/>
        <v>-1.2771651562853779</v>
      </c>
      <c r="Y415" t="str">
        <f t="shared" si="374"/>
        <v>-1.06145228391973+5.11203923490806i</v>
      </c>
      <c r="Z415" s="67">
        <f t="shared" si="388"/>
        <v>5.2210751852734125</v>
      </c>
      <c r="AA415" s="67">
        <f t="shared" si="389"/>
        <v>1.7755249669266295</v>
      </c>
      <c r="AB415" s="92" t="str">
        <f t="shared" si="390"/>
        <v>-0.12393255742532-0.0071635067165433i</v>
      </c>
      <c r="AC415" s="37">
        <f t="shared" si="391"/>
        <v>-18.121806036869618</v>
      </c>
      <c r="AD415" s="60">
        <f t="shared" si="392"/>
        <v>-176.69189010658098</v>
      </c>
      <c r="AE415" t="str">
        <f t="shared" si="393"/>
        <v>118.329284003155</v>
      </c>
      <c r="AF415" t="str">
        <f t="shared" si="375"/>
        <v>1+13624.0004340591i</v>
      </c>
      <c r="AG415">
        <f t="shared" si="394"/>
        <v>13624.00047075904</v>
      </c>
      <c r="AH415">
        <f t="shared" si="395"/>
        <v>1.5707229269148069</v>
      </c>
      <c r="AI415" t="str">
        <f t="shared" si="376"/>
        <v>1+32.0164010200388i</v>
      </c>
      <c r="AJ415">
        <f t="shared" si="396"/>
        <v>32.032014208849581</v>
      </c>
      <c r="AK415">
        <f t="shared" si="397"/>
        <v>1.5395724861709605</v>
      </c>
      <c r="AL415" t="str">
        <f t="shared" si="377"/>
        <v>1-2.22990887923969i</v>
      </c>
      <c r="AM415">
        <f t="shared" si="398"/>
        <v>2.4438685745579711</v>
      </c>
      <c r="AN415">
        <f t="shared" si="399"/>
        <v>-1.1492331138514336</v>
      </c>
      <c r="AO415" s="58" t="str">
        <f t="shared" si="400"/>
        <v>0.258752416420282-0.628745637397044i</v>
      </c>
      <c r="AP415">
        <f t="shared" si="401"/>
        <v>-3.3510063596915183</v>
      </c>
      <c r="AQ415" s="60">
        <f t="shared" si="402"/>
        <v>-67.630995884959518</v>
      </c>
      <c r="AR415" t="str">
        <f t="shared" si="378"/>
        <v>-1.94444444444444</v>
      </c>
      <c r="AS415" t="str">
        <f t="shared" si="379"/>
        <v>1+32.8373343795269i</v>
      </c>
      <c r="AT415">
        <f t="shared" si="403"/>
        <v>32.852557421802942</v>
      </c>
      <c r="AU415">
        <f t="shared" si="404"/>
        <v>1.5403525937847173</v>
      </c>
      <c r="AV415" t="str">
        <f t="shared" si="380"/>
        <v>1+32.8373343795269i</v>
      </c>
      <c r="AW415">
        <f t="shared" si="405"/>
        <v>32.852557421802942</v>
      </c>
      <c r="AX415">
        <f t="shared" si="406"/>
        <v>1.5403525937847173</v>
      </c>
      <c r="AY415" t="str">
        <f t="shared" si="381"/>
        <v>1-0.0000647939187108505i</v>
      </c>
      <c r="AZ415">
        <f t="shared" si="407"/>
        <v>1.000000002099126</v>
      </c>
      <c r="BA415">
        <f t="shared" si="408"/>
        <v>-6.4793918620176781E-5</v>
      </c>
      <c r="BB415" s="58" t="str">
        <f t="shared" si="409"/>
        <v>-0.00179776184094579+0.0591596948811618i</v>
      </c>
      <c r="BC415">
        <f t="shared" si="410"/>
        <v>-24.555472857967786</v>
      </c>
      <c r="BD415" s="60">
        <f t="shared" si="411"/>
        <v>91.740584996031316</v>
      </c>
      <c r="BE415" s="58" t="str">
        <f t="shared" si="412"/>
        <v>0.000646592094219918-0.00731893400410163i</v>
      </c>
      <c r="BF415" s="37">
        <f t="shared" si="413"/>
        <v>-42.677278894837407</v>
      </c>
      <c r="BG415" s="60">
        <f t="shared" si="414"/>
        <v>-84.951305110549669</v>
      </c>
      <c r="BH415" s="58" t="str">
        <f t="shared" si="415"/>
        <v>0.0367312248457778+0.0164380489197608i</v>
      </c>
      <c r="BI415" s="37">
        <f t="shared" si="416"/>
        <v>-27.906479217659303</v>
      </c>
      <c r="BJ415" s="60">
        <f t="shared" si="417"/>
        <v>24.109589111071891</v>
      </c>
      <c r="BK415">
        <f t="shared" si="418"/>
        <v>-42.677278894837407</v>
      </c>
      <c r="BL415" s="60">
        <f t="shared" si="419"/>
        <v>-84.951305110549669</v>
      </c>
      <c r="BN415">
        <f t="shared" si="420"/>
        <v>0</v>
      </c>
      <c r="BO415">
        <f t="shared" si="421"/>
        <v>0</v>
      </c>
    </row>
    <row r="416" spans="13:67" ht="14.25" x14ac:dyDescent="0.2">
      <c r="M416" s="66">
        <v>98</v>
      </c>
      <c r="N416" s="36">
        <f t="shared" si="369"/>
        <v>95499.258602143804</v>
      </c>
      <c r="O416" s="91" t="str">
        <f t="shared" si="370"/>
        <v>99.7340425531915</v>
      </c>
      <c r="P416" s="67" t="str">
        <f t="shared" si="371"/>
        <v>1+17426.6802137533i</v>
      </c>
      <c r="Q416" s="67">
        <f t="shared" si="382"/>
        <v>17426.680242444938</v>
      </c>
      <c r="R416" s="67">
        <f t="shared" si="383"/>
        <v>1.5707389435189865</v>
      </c>
      <c r="S416" s="67" t="str">
        <f t="shared" si="372"/>
        <v>1+32.7621588018562i</v>
      </c>
      <c r="T416" s="67">
        <f t="shared" si="384"/>
        <v>32.777416758464106</v>
      </c>
      <c r="U416" s="67">
        <f t="shared" si="385"/>
        <v>1.540282781336521</v>
      </c>
      <c r="V416" t="str">
        <f t="shared" si="373"/>
        <v>1-3.38422299711481i</v>
      </c>
      <c r="W416" s="67">
        <f t="shared" si="386"/>
        <v>3.5288759250221235</v>
      </c>
      <c r="X416" s="67">
        <f t="shared" si="387"/>
        <v>-1.2834833671939594</v>
      </c>
      <c r="Y416" t="str">
        <f t="shared" si="374"/>
        <v>-1.15860553693708+5.23111392534569i</v>
      </c>
      <c r="Z416" s="67">
        <f t="shared" si="388"/>
        <v>5.3578838817360408</v>
      </c>
      <c r="AA416" s="67">
        <f t="shared" si="389"/>
        <v>1.7887612249316664</v>
      </c>
      <c r="AB416" s="92" t="str">
        <f t="shared" si="390"/>
        <v>-0.123457659601677-0.00480392521385434i</v>
      </c>
      <c r="AC416" s="37">
        <f t="shared" si="391"/>
        <v>-18.163068497595493</v>
      </c>
      <c r="AD416" s="60">
        <f t="shared" si="392"/>
        <v>-177.77165831391056</v>
      </c>
      <c r="AE416" t="str">
        <f t="shared" si="393"/>
        <v>118.329284003155</v>
      </c>
      <c r="AF416" t="str">
        <f t="shared" si="375"/>
        <v>1+13941.3441710026i</v>
      </c>
      <c r="AG416">
        <f t="shared" si="394"/>
        <v>13941.344206867147</v>
      </c>
      <c r="AH416">
        <f t="shared" si="395"/>
        <v>1.5707245977000532</v>
      </c>
      <c r="AI416" t="str">
        <f t="shared" si="376"/>
        <v>1+32.7621588018562i</v>
      </c>
      <c r="AJ416">
        <f t="shared" si="396"/>
        <v>32.777416758464106</v>
      </c>
      <c r="AK416">
        <f t="shared" si="397"/>
        <v>1.540282781336521</v>
      </c>
      <c r="AL416" t="str">
        <f t="shared" si="377"/>
        <v>1-2.2818501295506i</v>
      </c>
      <c r="AM416">
        <f t="shared" si="398"/>
        <v>2.4913530487929822</v>
      </c>
      <c r="AN416">
        <f t="shared" si="399"/>
        <v>-1.1577642042725533</v>
      </c>
      <c r="AO416" s="58" t="str">
        <f t="shared" si="400"/>
        <v>0.258752387790618-0.642991868650702i</v>
      </c>
      <c r="AP416">
        <f t="shared" si="401"/>
        <v>-3.1840482900206215</v>
      </c>
      <c r="AQ416" s="60">
        <f t="shared" si="402"/>
        <v>-68.079190174482051</v>
      </c>
      <c r="AR416" t="str">
        <f t="shared" si="378"/>
        <v>-1.94444444444444</v>
      </c>
      <c r="AS416" t="str">
        <f t="shared" si="379"/>
        <v>1+33.6022141557498i</v>
      </c>
      <c r="AT416">
        <f t="shared" si="403"/>
        <v>33.617090834408501</v>
      </c>
      <c r="AU416">
        <f t="shared" si="404"/>
        <v>1.5410451641464582</v>
      </c>
      <c r="AV416" t="str">
        <f t="shared" si="380"/>
        <v>1+33.6022141557498i</v>
      </c>
      <c r="AW416">
        <f t="shared" si="405"/>
        <v>33.617090834408501</v>
      </c>
      <c r="AX416">
        <f t="shared" si="406"/>
        <v>1.5410451641464582</v>
      </c>
      <c r="AY416" t="str">
        <f t="shared" si="381"/>
        <v>1-0.0000633190290558281i</v>
      </c>
      <c r="AZ416">
        <f t="shared" si="407"/>
        <v>1.0000000020046496</v>
      </c>
      <c r="BA416">
        <f t="shared" si="408"/>
        <v>-6.3319028971206451E-5</v>
      </c>
      <c r="BB416" s="58" t="str">
        <f t="shared" si="409"/>
        <v>-0.001716920826723+0.0578154616422885i</v>
      </c>
      <c r="BC416">
        <f t="shared" si="410"/>
        <v>-24.75529175019372</v>
      </c>
      <c r="BD416" s="60">
        <f t="shared" si="411"/>
        <v>91.700988142239865</v>
      </c>
      <c r="BE416" s="58" t="str">
        <f t="shared" si="412"/>
        <v>0.000489708180922616-0.00712951362389778i</v>
      </c>
      <c r="BF416" s="37">
        <f t="shared" si="413"/>
        <v>-42.918360247789224</v>
      </c>
      <c r="BG416" s="60">
        <f t="shared" si="414"/>
        <v>-86.070670171670699</v>
      </c>
      <c r="BH416" s="58" t="str">
        <f t="shared" si="415"/>
        <v>0.036730614354716+0.016063854881859i</v>
      </c>
      <c r="BI416" s="37">
        <f t="shared" si="416"/>
        <v>-27.939340040214347</v>
      </c>
      <c r="BJ416" s="60">
        <f t="shared" si="417"/>
        <v>23.621797967757892</v>
      </c>
      <c r="BK416">
        <f t="shared" si="418"/>
        <v>-42.918360247789224</v>
      </c>
      <c r="BL416" s="60">
        <f t="shared" si="419"/>
        <v>-86.070670171670699</v>
      </c>
      <c r="BN416">
        <f t="shared" si="420"/>
        <v>0</v>
      </c>
      <c r="BO416">
        <f t="shared" si="421"/>
        <v>0</v>
      </c>
    </row>
    <row r="417" spans="13:67" ht="14.25" x14ac:dyDescent="0.2">
      <c r="M417" s="66">
        <v>99</v>
      </c>
      <c r="N417" s="36">
        <f t="shared" si="369"/>
        <v>97723.722095581266</v>
      </c>
      <c r="O417" s="91" t="str">
        <f t="shared" si="370"/>
        <v>99.7340425531915</v>
      </c>
      <c r="P417" s="67" t="str">
        <f t="shared" si="371"/>
        <v>1+17832.5997414514i</v>
      </c>
      <c r="Q417" s="67">
        <f t="shared" si="382"/>
        <v>17832.599769489934</v>
      </c>
      <c r="R417" s="67">
        <f t="shared" si="383"/>
        <v>1.5707402497218141</v>
      </c>
      <c r="S417" s="67" t="str">
        <f t="shared" si="372"/>
        <v>1+33.5252875139286i</v>
      </c>
      <c r="T417" s="67">
        <f t="shared" si="384"/>
        <v>33.540198313241639</v>
      </c>
      <c r="U417" s="67">
        <f t="shared" si="385"/>
        <v>1.5409769379719727</v>
      </c>
      <c r="V417" t="str">
        <f t="shared" si="373"/>
        <v>1-3.46305167726296i</v>
      </c>
      <c r="W417" s="67">
        <f t="shared" si="386"/>
        <v>3.6045425395455939</v>
      </c>
      <c r="X417" s="67">
        <f t="shared" si="387"/>
        <v>-1.289680638238051</v>
      </c>
      <c r="Y417" t="str">
        <f t="shared" si="374"/>
        <v>-1.26033748170755+5.3529622216285i</v>
      </c>
      <c r="Z417" s="67">
        <f t="shared" si="388"/>
        <v>5.4993322425526223</v>
      </c>
      <c r="AA417" s="67">
        <f t="shared" si="389"/>
        <v>1.8020316009823905</v>
      </c>
      <c r="AB417" s="92" t="str">
        <f t="shared" si="390"/>
        <v>-0.122926834548786-0.00247326539601443i</v>
      </c>
      <c r="AC417" s="37">
        <f t="shared" si="391"/>
        <v>-18.205308333517664</v>
      </c>
      <c r="AD417" s="60">
        <f t="shared" si="392"/>
        <v>-178.84737492387043</v>
      </c>
      <c r="AE417" t="str">
        <f t="shared" si="393"/>
        <v>118.329284003155</v>
      </c>
      <c r="AF417" t="str">
        <f t="shared" si="375"/>
        <v>1+14266.0797931611i</v>
      </c>
      <c r="AG417">
        <f t="shared" si="394"/>
        <v>14266.079828209271</v>
      </c>
      <c r="AH417">
        <f t="shared" si="395"/>
        <v>1.5707262304535849</v>
      </c>
      <c r="AI417" t="str">
        <f t="shared" si="376"/>
        <v>1+33.5252875139286i</v>
      </c>
      <c r="AJ417">
        <f t="shared" si="396"/>
        <v>33.540198313241639</v>
      </c>
      <c r="AK417">
        <f t="shared" si="397"/>
        <v>1.5409769379719727</v>
      </c>
      <c r="AL417" t="str">
        <f t="shared" si="377"/>
        <v>1-2.33500124700406i</v>
      </c>
      <c r="AM417">
        <f t="shared" si="398"/>
        <v>2.5401241748210883</v>
      </c>
      <c r="AN417">
        <f t="shared" si="399"/>
        <v>-1.1661631984908294</v>
      </c>
      <c r="AO417" s="58" t="str">
        <f t="shared" si="400"/>
        <v>0.258752360449498-0.657579022703935i</v>
      </c>
      <c r="AP417">
        <f t="shared" si="401"/>
        <v>-3.0158367859598805</v>
      </c>
      <c r="AQ417" s="60">
        <f t="shared" si="402"/>
        <v>-68.520738399698089</v>
      </c>
      <c r="AR417" t="str">
        <f t="shared" si="378"/>
        <v>-1.94444444444444</v>
      </c>
      <c r="AS417" t="str">
        <f t="shared" si="379"/>
        <v>1+34.3849102706959i</v>
      </c>
      <c r="AT417">
        <f t="shared" si="403"/>
        <v>34.399448459587376</v>
      </c>
      <c r="AU417">
        <f t="shared" si="404"/>
        <v>1.5417219972696237</v>
      </c>
      <c r="AV417" t="str">
        <f t="shared" si="380"/>
        <v>1+34.3849102706959i</v>
      </c>
      <c r="AW417">
        <f t="shared" si="405"/>
        <v>34.399448459587376</v>
      </c>
      <c r="AX417">
        <f t="shared" si="406"/>
        <v>1.5417219972696237</v>
      </c>
      <c r="AY417" t="str">
        <f t="shared" si="381"/>
        <v>1-0.0000618777119881378i</v>
      </c>
      <c r="AZ417">
        <f t="shared" si="407"/>
        <v>1.0000000019144255</v>
      </c>
      <c r="BA417">
        <f t="shared" si="408"/>
        <v>-6.1877711909164287E-5</v>
      </c>
      <c r="BB417" s="58" t="str">
        <f t="shared" si="409"/>
        <v>-0.00163971196304117+0.0565016664922674i</v>
      </c>
      <c r="BC417">
        <f t="shared" si="410"/>
        <v>-24.955118786561581</v>
      </c>
      <c r="BD417" s="60">
        <f t="shared" si="411"/>
        <v>91.662291042232425</v>
      </c>
      <c r="BE417" s="58" t="str">
        <f t="shared" si="412"/>
        <v>0.0003413082177409-0.00694151556576802i</v>
      </c>
      <c r="BF417" s="37">
        <f t="shared" si="413"/>
        <v>-43.160427120079241</v>
      </c>
      <c r="BG417" s="60">
        <f t="shared" si="414"/>
        <v>-87.185083881638008</v>
      </c>
      <c r="BH417" s="58" t="str">
        <f t="shared" si="415"/>
        <v>0.0367300312922347+0.0156981797643771i</v>
      </c>
      <c r="BI417" s="37">
        <f t="shared" si="416"/>
        <v>-27.970955572521458</v>
      </c>
      <c r="BJ417" s="60">
        <f t="shared" si="417"/>
        <v>23.141552642534386</v>
      </c>
      <c r="BK417">
        <f t="shared" si="418"/>
        <v>-43.160427120079241</v>
      </c>
      <c r="BL417" s="60">
        <f t="shared" si="419"/>
        <v>-87.185083881638008</v>
      </c>
      <c r="BN417">
        <f t="shared" si="420"/>
        <v>0</v>
      </c>
      <c r="BO417">
        <f t="shared" si="421"/>
        <v>0</v>
      </c>
    </row>
    <row r="418" spans="13:67" ht="14.25" x14ac:dyDescent="0.2">
      <c r="M418" s="66">
        <v>100</v>
      </c>
      <c r="N418" s="36">
        <f t="shared" si="369"/>
        <v>100000</v>
      </c>
      <c r="O418" s="91" t="str">
        <f t="shared" si="370"/>
        <v>99.7340425531915</v>
      </c>
      <c r="P418" s="67" t="str">
        <f t="shared" si="371"/>
        <v>1+18247.9743495748i</v>
      </c>
      <c r="Q418" s="67">
        <f t="shared" si="382"/>
        <v>18247.974376975104</v>
      </c>
      <c r="R418" s="67">
        <f t="shared" si="383"/>
        <v>1.5707415261918356</v>
      </c>
      <c r="S418" s="67" t="str">
        <f t="shared" si="372"/>
        <v>1+34.3061917772006i</v>
      </c>
      <c r="T418" s="67">
        <f t="shared" si="384"/>
        <v>34.32076331106385</v>
      </c>
      <c r="U418" s="67">
        <f t="shared" si="385"/>
        <v>1.5416553214509672</v>
      </c>
      <c r="V418" t="str">
        <f t="shared" si="373"/>
        <v>1-3.54371651324929i</v>
      </c>
      <c r="W418" s="67">
        <f t="shared" si="386"/>
        <v>3.6821090052136842</v>
      </c>
      <c r="X418" s="67">
        <f t="shared" si="387"/>
        <v>-1.2957583504573051</v>
      </c>
      <c r="Y418" t="str">
        <f t="shared" si="374"/>
        <v>-1.36686390532545+5.47764872933606i</v>
      </c>
      <c r="Z418" s="67">
        <f t="shared" si="388"/>
        <v>5.6456135660952294</v>
      </c>
      <c r="AA418" s="67">
        <f t="shared" si="389"/>
        <v>1.8153370938670241</v>
      </c>
      <c r="AB418" s="92" t="str">
        <f t="shared" si="390"/>
        <v>-0.12234064319754-0.000172623315654212i</v>
      </c>
      <c r="AC418" s="37">
        <f t="shared" si="391"/>
        <v>-18.248576164656932</v>
      </c>
      <c r="AD418" s="60">
        <f t="shared" si="392"/>
        <v>-179.91915539586682</v>
      </c>
      <c r="AE418" t="str">
        <f t="shared" si="393"/>
        <v>118.329284003155</v>
      </c>
      <c r="AF418" t="str">
        <f t="shared" si="375"/>
        <v>1+14598.3794796598i</v>
      </c>
      <c r="AG418">
        <f t="shared" si="394"/>
        <v>14598.379513910175</v>
      </c>
      <c r="AH418">
        <f t="shared" si="395"/>
        <v>1.5707278260411088</v>
      </c>
      <c r="AI418" t="str">
        <f t="shared" si="376"/>
        <v>1+34.3061917772006i</v>
      </c>
      <c r="AJ418">
        <f t="shared" si="396"/>
        <v>34.32076331106385</v>
      </c>
      <c r="AK418">
        <f t="shared" si="397"/>
        <v>1.5416553214509672</v>
      </c>
      <c r="AL418" t="str">
        <f t="shared" si="377"/>
        <v>1-2.38939041302608i</v>
      </c>
      <c r="AM418">
        <f t="shared" si="398"/>
        <v>2.5902097493950063</v>
      </c>
      <c r="AN418">
        <f t="shared" si="399"/>
        <v>-1.1744298087848366</v>
      </c>
      <c r="AO418" s="58" t="str">
        <f t="shared" si="400"/>
        <v>0.258752334338933-0.672514833858923i</v>
      </c>
      <c r="AP418">
        <f t="shared" si="401"/>
        <v>-2.8464108247704489</v>
      </c>
      <c r="AQ418" s="60">
        <f t="shared" si="402"/>
        <v>-68.955603190617268</v>
      </c>
      <c r="AR418" t="str">
        <f t="shared" si="378"/>
        <v>-1.94444444444444</v>
      </c>
      <c r="AS418" t="str">
        <f t="shared" si="379"/>
        <v>1+35.1858377202056i</v>
      </c>
      <c r="AT418">
        <f t="shared" si="403"/>
        <v>35.200045114639316</v>
      </c>
      <c r="AU418">
        <f t="shared" si="404"/>
        <v>1.5423834495382007</v>
      </c>
      <c r="AV418" t="str">
        <f t="shared" si="380"/>
        <v>1+35.1858377202056i</v>
      </c>
      <c r="AW418">
        <f t="shared" si="405"/>
        <v>35.200045114639316</v>
      </c>
      <c r="AX418">
        <f t="shared" si="406"/>
        <v>1.5423834495382007</v>
      </c>
      <c r="AY418" t="str">
        <f t="shared" si="381"/>
        <v>1-0.0000604692033023918i</v>
      </c>
      <c r="AZ418">
        <f t="shared" si="407"/>
        <v>1.0000000018282622</v>
      </c>
      <c r="BA418">
        <f t="shared" si="408"/>
        <v>-6.0469203228689424E-5</v>
      </c>
      <c r="BB418" s="58" t="str">
        <f t="shared" si="409"/>
        <v>-0.00156597232935444+0.0552176272614189i</v>
      </c>
      <c r="BC418">
        <f t="shared" si="410"/>
        <v>-25.154953601144499</v>
      </c>
      <c r="BD418" s="60">
        <f t="shared" si="411"/>
        <v>91.624473320496392</v>
      </c>
      <c r="BE418" s="58" t="str">
        <f t="shared" si="412"/>
        <v>0.000201113911903197-0.00675508971166829i</v>
      </c>
      <c r="BF418" s="37">
        <f t="shared" si="413"/>
        <v>-43.40352976580143</v>
      </c>
      <c r="BG418" s="60">
        <f t="shared" si="414"/>
        <v>-88.294682075370403</v>
      </c>
      <c r="BH418" s="58" t="str">
        <f t="shared" si="415"/>
        <v>0.0367294744280664+0.0153408295714527i</v>
      </c>
      <c r="BI418" s="37">
        <f t="shared" si="416"/>
        <v>-28.001364425914957</v>
      </c>
      <c r="BJ418" s="60">
        <f t="shared" si="417"/>
        <v>22.668870129879139</v>
      </c>
      <c r="BK418">
        <f t="shared" si="418"/>
        <v>-43.40352976580143</v>
      </c>
      <c r="BL418" s="60">
        <f t="shared" si="419"/>
        <v>-88.294682075370403</v>
      </c>
      <c r="BN418">
        <f t="shared" si="420"/>
        <v>0</v>
      </c>
      <c r="BO418">
        <f t="shared" si="421"/>
        <v>0</v>
      </c>
    </row>
    <row r="419" spans="13:67" ht="14.25" x14ac:dyDescent="0.2">
      <c r="M419" s="66">
        <v>1</v>
      </c>
      <c r="N419" s="36">
        <f>10^(5+(M419/100))</f>
        <v>102329.29922807543</v>
      </c>
      <c r="O419" s="91" t="str">
        <f t="shared" si="370"/>
        <v>99.7340425531915</v>
      </c>
      <c r="P419" s="67" t="str">
        <f t="shared" si="371"/>
        <v>1+18673.0242752388i</v>
      </c>
      <c r="Q419" s="67">
        <f t="shared" si="382"/>
        <v>18673.024302015394</v>
      </c>
      <c r="R419" s="67">
        <f t="shared" si="383"/>
        <v>1.5707427736058521</v>
      </c>
      <c r="S419" s="67" t="str">
        <f t="shared" si="372"/>
        <v>1+35.105285637449i</v>
      </c>
      <c r="T419" s="67">
        <f t="shared" si="384"/>
        <v>35.11952561876204</v>
      </c>
      <c r="U419" s="67">
        <f t="shared" si="385"/>
        <v>1.5423182889624163</v>
      </c>
      <c r="V419" t="str">
        <f t="shared" si="373"/>
        <v>1-3.62626027463759i</v>
      </c>
      <c r="W419" s="67">
        <f t="shared" si="386"/>
        <v>3.7616171495002901</v>
      </c>
      <c r="X419" s="67">
        <f t="shared" si="387"/>
        <v>-1.3017179296185741</v>
      </c>
      <c r="Y419" t="str">
        <f t="shared" si="374"/>
        <v>-1.47841076461752+5.60523955890517i</v>
      </c>
      <c r="Z419" s="67">
        <f t="shared" si="388"/>
        <v>5.7969309898990851</v>
      </c>
      <c r="AA419" s="67">
        <f t="shared" si="389"/>
        <v>1.828678526531802</v>
      </c>
      <c r="AB419" s="92" t="str">
        <f t="shared" si="390"/>
        <v>-0.121699671884658+0.00209688436543045i</v>
      </c>
      <c r="AC419" s="37">
        <f t="shared" si="391"/>
        <v>-18.292922743380178</v>
      </c>
      <c r="AD419" s="60">
        <f t="shared" si="392"/>
        <v>179.01289185497049</v>
      </c>
      <c r="AE419" t="str">
        <f t="shared" si="393"/>
        <v>118.329284003155</v>
      </c>
      <c r="AF419" t="str">
        <f t="shared" si="375"/>
        <v>1+14938.4194201911i</v>
      </c>
      <c r="AG419">
        <f t="shared" si="394"/>
        <v>14938.419453661842</v>
      </c>
      <c r="AH419">
        <f t="shared" si="395"/>
        <v>1.570729385308627</v>
      </c>
      <c r="AI419" t="str">
        <f t="shared" si="376"/>
        <v>1+35.105285637449i</v>
      </c>
      <c r="AJ419">
        <f t="shared" si="396"/>
        <v>35.11952561876204</v>
      </c>
      <c r="AK419">
        <f t="shared" si="397"/>
        <v>1.5423182889624163</v>
      </c>
      <c r="AL419" t="str">
        <f t="shared" si="377"/>
        <v>1-2.4450464654724i</v>
      </c>
      <c r="AM419">
        <f t="shared" si="398"/>
        <v>2.641638169454529</v>
      </c>
      <c r="AN419">
        <f t="shared" si="399"/>
        <v>-1.1825638978568598</v>
      </c>
      <c r="AO419" s="58" t="str">
        <f t="shared" si="400"/>
        <v>0.258752309403535-0.68780722128044i</v>
      </c>
      <c r="AP419">
        <f t="shared" si="401"/>
        <v>-2.6758088192599443</v>
      </c>
      <c r="AQ419" s="60">
        <f t="shared" si="402"/>
        <v>-69.383756263715242</v>
      </c>
      <c r="AR419" t="str">
        <f t="shared" si="378"/>
        <v>-1.94444444444444</v>
      </c>
      <c r="AS419" t="str">
        <f t="shared" si="379"/>
        <v>1+36.0054211666142i</v>
      </c>
      <c r="AT419">
        <f t="shared" si="403"/>
        <v>36.019305287377072</v>
      </c>
      <c r="AU419">
        <f t="shared" si="404"/>
        <v>1.5430298693464284</v>
      </c>
      <c r="AV419" t="str">
        <f t="shared" si="380"/>
        <v>1+36.0054211666142i</v>
      </c>
      <c r="AW419">
        <f t="shared" si="405"/>
        <v>36.019305287377072</v>
      </c>
      <c r="AX419">
        <f t="shared" si="406"/>
        <v>1.5430298693464284</v>
      </c>
      <c r="AY419" t="str">
        <f t="shared" si="381"/>
        <v>1-0.0000590927561886414i</v>
      </c>
      <c r="AZ419">
        <f t="shared" si="407"/>
        <v>1.0000000017459769</v>
      </c>
      <c r="BA419">
        <f t="shared" si="408"/>
        <v>-5.9092756119858337E-5</v>
      </c>
      <c r="BB419" s="58" t="str">
        <f t="shared" si="409"/>
        <v>-0.00149554628916607+0.0539626765970693i</v>
      </c>
      <c r="BC419">
        <f t="shared" si="410"/>
        <v>-25.354795844430512</v>
      </c>
      <c r="BD419" s="60">
        <f t="shared" si="411"/>
        <v>91.587515058301349</v>
      </c>
      <c r="BE419" s="58" t="str">
        <f t="shared" si="412"/>
        <v>0.0000688539998066543-0.00657037602351278i</v>
      </c>
      <c r="BF419" s="37">
        <f t="shared" si="413"/>
        <v>-43.647718587810687</v>
      </c>
      <c r="BG419" s="60">
        <f t="shared" si="414"/>
        <v>-89.39959308672816</v>
      </c>
      <c r="BH419" s="58" t="str">
        <f t="shared" si="415"/>
        <v>0.0367289425869437+0.0149916147285354i</v>
      </c>
      <c r="BI419" s="37">
        <f t="shared" si="416"/>
        <v>-28.030604663690447</v>
      </c>
      <c r="BJ419" s="60">
        <f t="shared" si="417"/>
        <v>22.20375879458614</v>
      </c>
      <c r="BK419">
        <f t="shared" si="418"/>
        <v>-43.647718587810687</v>
      </c>
      <c r="BL419" s="60">
        <f t="shared" si="419"/>
        <v>-89.39959308672816</v>
      </c>
      <c r="BN419">
        <f t="shared" si="420"/>
        <v>0</v>
      </c>
      <c r="BO419">
        <f t="shared" si="421"/>
        <v>0</v>
      </c>
    </row>
    <row r="420" spans="13:67" ht="14.25" x14ac:dyDescent="0.2">
      <c r="M420" s="66">
        <v>2</v>
      </c>
      <c r="N420" s="36">
        <f t="shared" ref="N420:N483" si="422">10^(5+(M420/100))</f>
        <v>104712.85480508996</v>
      </c>
      <c r="O420" s="91" t="str">
        <f t="shared" si="370"/>
        <v>99.7340425531915</v>
      </c>
      <c r="P420" s="67" t="str">
        <f t="shared" si="371"/>
        <v>1+19107.9748855403i</v>
      </c>
      <c r="Q420" s="67">
        <f t="shared" si="382"/>
        <v>19107.974911707384</v>
      </c>
      <c r="R420" s="67">
        <f t="shared" si="383"/>
        <v>1.5707439926252593</v>
      </c>
      <c r="S420" s="67" t="str">
        <f t="shared" si="372"/>
        <v>1+35.9229927848158i</v>
      </c>
      <c r="T420" s="67">
        <f t="shared" si="384"/>
        <v>35.936908751559699</v>
      </c>
      <c r="U420" s="67">
        <f t="shared" si="385"/>
        <v>1.5429661896880047</v>
      </c>
      <c r="V420" t="str">
        <f t="shared" si="373"/>
        <v>1-3.71072672722273i</v>
      </c>
      <c r="W420" s="67">
        <f t="shared" si="386"/>
        <v>3.8431097881956369</v>
      </c>
      <c r="X420" s="67">
        <f t="shared" si="387"/>
        <v>-1.3075608415865863</v>
      </c>
      <c r="Y420" t="str">
        <f t="shared" si="374"/>
        <v>-1.59521466542767+5.73580236068252i</v>
      </c>
      <c r="Z420" s="67">
        <f t="shared" si="388"/>
        <v>5.9534980095408345</v>
      </c>
      <c r="AA420" s="67">
        <f t="shared" si="389"/>
        <v>1.8420565381430904</v>
      </c>
      <c r="AB420" s="92" t="str">
        <f t="shared" si="390"/>
        <v>-0.121004536514635+0.00433412045096445i</v>
      </c>
      <c r="AC420" s="37">
        <f t="shared" si="391"/>
        <v>-18.338398881696236</v>
      </c>
      <c r="AD420" s="60">
        <f t="shared" si="392"/>
        <v>177.94866618798559</v>
      </c>
      <c r="AE420" t="str">
        <f t="shared" si="393"/>
        <v>118.329284003155</v>
      </c>
      <c r="AF420" t="str">
        <f t="shared" si="375"/>
        <v>1+15286.3799084322i</v>
      </c>
      <c r="AG420">
        <f t="shared" si="394"/>
        <v>15286.379941141055</v>
      </c>
      <c r="AH420">
        <f t="shared" si="395"/>
        <v>1.5707309090828834</v>
      </c>
      <c r="AI420" t="str">
        <f t="shared" si="376"/>
        <v>1+35.9229927848158i</v>
      </c>
      <c r="AJ420">
        <f t="shared" si="396"/>
        <v>35.936908751559699</v>
      </c>
      <c r="AK420">
        <f t="shared" si="397"/>
        <v>1.5429661896880047</v>
      </c>
      <c r="AL420" t="str">
        <f t="shared" si="377"/>
        <v>1-2.50199891391873i</v>
      </c>
      <c r="AM420">
        <f t="shared" si="398"/>
        <v>2.6944384508187427</v>
      </c>
      <c r="AN420">
        <f t="shared" si="399"/>
        <v>-1.1905654720279828</v>
      </c>
      <c r="AO420" s="58" t="str">
        <f t="shared" si="400"/>
        <v>0.258752285590418-0.703464293194745i</v>
      </c>
      <c r="AP420">
        <f t="shared" si="401"/>
        <v>-2.5040685744101623</v>
      </c>
      <c r="AQ420" s="60">
        <f t="shared" si="402"/>
        <v>-69.805178021895628</v>
      </c>
      <c r="AR420" t="str">
        <f t="shared" si="378"/>
        <v>-1.94444444444444</v>
      </c>
      <c r="AS420" t="str">
        <f t="shared" si="379"/>
        <v>1+36.8440951639135i</v>
      </c>
      <c r="AT420">
        <f t="shared" si="403"/>
        <v>36.857663361199585</v>
      </c>
      <c r="AU420">
        <f t="shared" si="404"/>
        <v>1.5436615972725123</v>
      </c>
      <c r="AV420" t="str">
        <f t="shared" si="380"/>
        <v>1+36.8440951639135i</v>
      </c>
      <c r="AW420">
        <f t="shared" si="405"/>
        <v>36.857663361199585</v>
      </c>
      <c r="AX420">
        <f t="shared" si="406"/>
        <v>1.5436615972725123</v>
      </c>
      <c r="AY420" t="str">
        <f t="shared" si="381"/>
        <v>1-0.0000577476408364071i</v>
      </c>
      <c r="AZ420">
        <f t="shared" si="407"/>
        <v>1.0000000016673949</v>
      </c>
      <c r="BA420">
        <f t="shared" si="408"/>
        <v>-5.7747640772215013E-5</v>
      </c>
      <c r="BB420" s="58" t="str">
        <f t="shared" si="409"/>
        <v>-0.00142828516645561+0.0527361616735006i</v>
      </c>
      <c r="BC420">
        <f t="shared" si="410"/>
        <v>-25.554645182588636</v>
      </c>
      <c r="BD420" s="60">
        <f t="shared" si="411"/>
        <v>91.551396783768553</v>
      </c>
      <c r="BE420" s="58" t="str">
        <f t="shared" si="412"/>
        <v>-0.0000557358922367972-0.00638750516081254i</v>
      </c>
      <c r="BF420" s="37">
        <f t="shared" si="413"/>
        <v>-43.893044064284872</v>
      </c>
      <c r="BG420" s="60">
        <f t="shared" si="414"/>
        <v>-90.499937028245839</v>
      </c>
      <c r="BH420" s="58" t="str">
        <f t="shared" si="415"/>
        <v>0.0367284346461576+0.0146503499813853i</v>
      </c>
      <c r="BI420" s="37">
        <f t="shared" si="416"/>
        <v>-28.058713756998802</v>
      </c>
      <c r="BJ420" s="60">
        <f t="shared" si="417"/>
        <v>21.746218761872928</v>
      </c>
      <c r="BK420">
        <f t="shared" si="418"/>
        <v>-43.893044064284872</v>
      </c>
      <c r="BL420" s="60">
        <f t="shared" si="419"/>
        <v>-90.499937028245839</v>
      </c>
      <c r="BN420">
        <f t="shared" si="420"/>
        <v>0</v>
      </c>
      <c r="BO420">
        <f t="shared" si="421"/>
        <v>0</v>
      </c>
    </row>
    <row r="421" spans="13:67" ht="14.25" x14ac:dyDescent="0.2">
      <c r="M421" s="66">
        <v>3</v>
      </c>
      <c r="N421" s="36">
        <f t="shared" si="422"/>
        <v>107151.93052376082</v>
      </c>
      <c r="O421" s="91" t="str">
        <f t="shared" si="370"/>
        <v>99.7340425531915</v>
      </c>
      <c r="P421" s="67" t="str">
        <f t="shared" si="371"/>
        <v>1+19553.0567970501i</v>
      </c>
      <c r="Q421" s="67">
        <f t="shared" si="382"/>
        <v>19553.056822621547</v>
      </c>
      <c r="R421" s="67">
        <f t="shared" si="383"/>
        <v>1.5707451838963971</v>
      </c>
      <c r="S421" s="67" t="str">
        <f t="shared" si="372"/>
        <v>1+36.7597467784541i</v>
      </c>
      <c r="T421" s="67">
        <f t="shared" si="384"/>
        <v>36.773346097629826</v>
      </c>
      <c r="U421" s="67">
        <f t="shared" si="385"/>
        <v>1.5435993649762456</v>
      </c>
      <c r="V421" t="str">
        <f t="shared" si="373"/>
        <v>1-3.79716065623592i</v>
      </c>
      <c r="W421" s="67">
        <f t="shared" si="386"/>
        <v>3.9266307503082083</v>
      </c>
      <c r="X421" s="67">
        <f t="shared" si="387"/>
        <v>-1.3132885879080549</v>
      </c>
      <c r="Y421" t="str">
        <f t="shared" si="374"/>
        <v>-1.71752336448968+5.86940636079384i</v>
      </c>
      <c r="Z421" s="67">
        <f t="shared" si="388"/>
        <v>6.1155390224979467</v>
      </c>
      <c r="AA421" s="67">
        <f t="shared" si="389"/>
        <v>1.8554715765805787</v>
      </c>
      <c r="AB421" s="92" t="str">
        <f t="shared" si="390"/>
        <v>-0.12025588678194+0.00653792773283613i</v>
      </c>
      <c r="AC421" s="37">
        <f t="shared" si="391"/>
        <v>-18.385055375025573</v>
      </c>
      <c r="AD421" s="60">
        <f t="shared" si="392"/>
        <v>176.88807543006982</v>
      </c>
      <c r="AE421" t="str">
        <f t="shared" si="393"/>
        <v>118.329284003155</v>
      </c>
      <c r="AF421" t="str">
        <f t="shared" si="375"/>
        <v>1+15642.44543764i</v>
      </c>
      <c r="AG421">
        <f t="shared" si="394"/>
        <v>15642.44546960431</v>
      </c>
      <c r="AH421">
        <f t="shared" si="395"/>
        <v>1.5707323981718035</v>
      </c>
      <c r="AI421" t="str">
        <f t="shared" si="376"/>
        <v>1+36.7597467784541i</v>
      </c>
      <c r="AJ421">
        <f t="shared" si="396"/>
        <v>36.773346097629826</v>
      </c>
      <c r="AK421">
        <f t="shared" si="397"/>
        <v>1.5435993649762456</v>
      </c>
      <c r="AL421" t="str">
        <f t="shared" si="377"/>
        <v>1-2.5602779553071i</v>
      </c>
      <c r="AM421">
        <f t="shared" si="398"/>
        <v>2.7486402471825051</v>
      </c>
      <c r="AN421">
        <f t="shared" si="399"/>
        <v>-1.1984346743785539</v>
      </c>
      <c r="AO421" s="58" t="str">
        <f t="shared" si="400"/>
        <v>0.258752262849066-0.719494351188612i</v>
      </c>
      <c r="AP421">
        <f t="shared" si="401"/>
        <v>-2.3312272485620795</v>
      </c>
      <c r="AQ421" s="60">
        <f t="shared" si="402"/>
        <v>-70.219857151520102</v>
      </c>
      <c r="AR421" t="str">
        <f t="shared" si="378"/>
        <v>-1.94444444444444</v>
      </c>
      <c r="AS421" t="str">
        <f t="shared" si="379"/>
        <v>1+37.7023043881579i</v>
      </c>
      <c r="AT421">
        <f t="shared" si="403"/>
        <v>37.715563845411488</v>
      </c>
      <c r="AU421">
        <f t="shared" si="404"/>
        <v>1.5442789662489251</v>
      </c>
      <c r="AV421" t="str">
        <f t="shared" si="380"/>
        <v>1+37.7023043881579i</v>
      </c>
      <c r="AW421">
        <f t="shared" si="405"/>
        <v>37.715563845411488</v>
      </c>
      <c r="AX421">
        <f t="shared" si="406"/>
        <v>1.5442789662489251</v>
      </c>
      <c r="AY421" t="str">
        <f t="shared" si="381"/>
        <v>1-0.0000564331440477247i</v>
      </c>
      <c r="AZ421">
        <f t="shared" si="407"/>
        <v>1.0000000015923498</v>
      </c>
      <c r="BA421">
        <f t="shared" si="408"/>
        <v>-5.6433143987817166E-5</v>
      </c>
      <c r="BB421" s="58" t="str">
        <f t="shared" si="409"/>
        <v>-0.0013640469362956+0.0515374439053772i</v>
      </c>
      <c r="BC421">
        <f t="shared" si="410"/>
        <v>-25.754501296767337</v>
      </c>
      <c r="BD421" s="60">
        <f t="shared" si="411"/>
        <v>91.516099462135713</v>
      </c>
      <c r="BE421" s="58" t="str">
        <f t="shared" si="412"/>
        <v>-0.000172913409852036-0.00620659905960932i</v>
      </c>
      <c r="BF421" s="37">
        <f t="shared" si="413"/>
        <v>-44.139556671792917</v>
      </c>
      <c r="BG421" s="60">
        <f t="shared" si="414"/>
        <v>-91.595825107794454</v>
      </c>
      <c r="BH421" s="58" t="str">
        <f t="shared" si="415"/>
        <v>0.03672794953322+0.014316854297394i</v>
      </c>
      <c r="BI421" s="37">
        <f t="shared" si="416"/>
        <v>-28.085728545329424</v>
      </c>
      <c r="BJ421" s="60">
        <f t="shared" si="417"/>
        <v>21.296242310615689</v>
      </c>
      <c r="BK421">
        <f t="shared" si="418"/>
        <v>-44.139556671792917</v>
      </c>
      <c r="BL421" s="60">
        <f t="shared" si="419"/>
        <v>-91.595825107794454</v>
      </c>
      <c r="BN421">
        <f t="shared" si="420"/>
        <v>0</v>
      </c>
      <c r="BO421">
        <f t="shared" si="421"/>
        <v>0</v>
      </c>
    </row>
    <row r="422" spans="13:67" ht="14.25" x14ac:dyDescent="0.2">
      <c r="M422" s="66">
        <v>4</v>
      </c>
      <c r="N422" s="36">
        <f t="shared" si="422"/>
        <v>109647.81961431868</v>
      </c>
      <c r="O422" s="91" t="str">
        <f t="shared" si="370"/>
        <v>99.7340425531915</v>
      </c>
      <c r="P422" s="67" t="str">
        <f t="shared" si="371"/>
        <v>1+20008.5059980889i</v>
      </c>
      <c r="Q422" s="67">
        <f t="shared" si="382"/>
        <v>20008.506023078269</v>
      </c>
      <c r="R422" s="67">
        <f t="shared" si="383"/>
        <v>1.5707463480508932</v>
      </c>
      <c r="S422" s="67" t="str">
        <f t="shared" si="372"/>
        <v>1+37.6159912764071i</v>
      </c>
      <c r="T422" s="67">
        <f t="shared" si="384"/>
        <v>37.629281147887149</v>
      </c>
      <c r="U422" s="67">
        <f t="shared" si="385"/>
        <v>1.5442181485131201</v>
      </c>
      <c r="V422" t="str">
        <f t="shared" si="373"/>
        <v>1-3.8856078900904i</v>
      </c>
      <c r="W422" s="67">
        <f t="shared" si="386"/>
        <v>4.0122249034086765</v>
      </c>
      <c r="X422" s="67">
        <f t="shared" si="387"/>
        <v>-1.318902701608073</v>
      </c>
      <c r="Y422" t="str">
        <f t="shared" si="374"/>
        <v>-1.84559629495247+6.00612239784842i</v>
      </c>
      <c r="Z422" s="67">
        <f t="shared" si="388"/>
        <v>6.2832898979657736</v>
      </c>
      <c r="AA422" s="67">
        <f t="shared" si="389"/>
        <v>1.8689238914070441</v>
      </c>
      <c r="AB422" s="92" t="str">
        <f t="shared" si="390"/>
        <v>-0.119454410413686+0.00870712997309066i</v>
      </c>
      <c r="AC422" s="37">
        <f t="shared" si="391"/>
        <v>-18.432942922368532</v>
      </c>
      <c r="AD422" s="60">
        <f t="shared" si="392"/>
        <v>175.83103652907005</v>
      </c>
      <c r="AE422" t="str">
        <f t="shared" si="393"/>
        <v>118.329284003155</v>
      </c>
      <c r="AF422" t="str">
        <f t="shared" si="375"/>
        <v>1+16006.8047984711i</v>
      </c>
      <c r="AG422">
        <f t="shared" si="394"/>
        <v>16006.804829707815</v>
      </c>
      <c r="AH422">
        <f t="shared" si="395"/>
        <v>1.5707338533649218</v>
      </c>
      <c r="AI422" t="str">
        <f t="shared" si="376"/>
        <v>1+37.6159912764071i</v>
      </c>
      <c r="AJ422">
        <f t="shared" si="396"/>
        <v>37.629281147887149</v>
      </c>
      <c r="AK422">
        <f t="shared" si="397"/>
        <v>1.5442181485131201</v>
      </c>
      <c r="AL422" t="str">
        <f t="shared" si="377"/>
        <v>1-2.61991448995665i</v>
      </c>
      <c r="AM422">
        <f t="shared" si="398"/>
        <v>2.804273869415185</v>
      </c>
      <c r="AN422">
        <f t="shared" si="399"/>
        <v>-1.2061717778702745</v>
      </c>
      <c r="AO422" s="58" t="str">
        <f t="shared" si="400"/>
        <v>0.258752241131243-0.735905894610972i</v>
      </c>
      <c r="AP422">
        <f t="shared" si="401"/>
        <v>-2.1573213190096747</v>
      </c>
      <c r="AQ422" s="60">
        <f t="shared" si="402"/>
        <v>-70.627790218580486</v>
      </c>
      <c r="AR422" t="str">
        <f t="shared" si="378"/>
        <v>-1.94444444444444</v>
      </c>
      <c r="AS422" t="str">
        <f t="shared" si="379"/>
        <v>1+38.5805038732379i</v>
      </c>
      <c r="AT422">
        <f t="shared" si="403"/>
        <v>38.593461610911824</v>
      </c>
      <c r="AU422">
        <f t="shared" si="404"/>
        <v>1.5448823017293383</v>
      </c>
      <c r="AV422" t="str">
        <f t="shared" si="380"/>
        <v>1+38.5805038732379i</v>
      </c>
      <c r="AW422">
        <f t="shared" si="405"/>
        <v>38.593461610911824</v>
      </c>
      <c r="AX422">
        <f t="shared" si="406"/>
        <v>1.5448823017293383</v>
      </c>
      <c r="AY422" t="str">
        <f t="shared" si="381"/>
        <v>1-0.0000551485688589975i</v>
      </c>
      <c r="AZ422">
        <f t="shared" si="407"/>
        <v>1.0000000015206822</v>
      </c>
      <c r="BA422">
        <f t="shared" si="408"/>
        <v>-5.5148568803088527E-5</v>
      </c>
      <c r="BB422" s="58" t="str">
        <f t="shared" si="409"/>
        <v>-0.00130269592905185+0.0503658986647732i</v>
      </c>
      <c r="BC422">
        <f t="shared" si="410"/>
        <v>-25.954363882424509</v>
      </c>
      <c r="BD422" s="60">
        <f t="shared" si="411"/>
        <v>91.48160448621411</v>
      </c>
      <c r="BE422" s="58" t="str">
        <f t="shared" si="412"/>
        <v>-0.000282929651732496-0.00602777147272561i</v>
      </c>
      <c r="BF422" s="37">
        <f t="shared" si="413"/>
        <v>-44.387306804793042</v>
      </c>
      <c r="BG422" s="60">
        <f t="shared" si="414"/>
        <v>-92.687358984715814</v>
      </c>
      <c r="BH422" s="58" t="str">
        <f t="shared" si="415"/>
        <v>0.0367274862236308+0.0139909507691741i</v>
      </c>
      <c r="BI422" s="37">
        <f t="shared" si="416"/>
        <v>-28.111685201434181</v>
      </c>
      <c r="BJ422" s="60">
        <f t="shared" si="417"/>
        <v>20.853814267633592</v>
      </c>
      <c r="BK422">
        <f t="shared" si="418"/>
        <v>-44.387306804793042</v>
      </c>
      <c r="BL422" s="60">
        <f t="shared" si="419"/>
        <v>-92.687358984715814</v>
      </c>
      <c r="BN422">
        <f t="shared" si="420"/>
        <v>0</v>
      </c>
      <c r="BO422">
        <f t="shared" si="421"/>
        <v>0</v>
      </c>
    </row>
    <row r="423" spans="13:67" ht="14.25" x14ac:dyDescent="0.2">
      <c r="M423" s="66">
        <v>5</v>
      </c>
      <c r="N423" s="36">
        <f t="shared" si="422"/>
        <v>112201.84543019651</v>
      </c>
      <c r="O423" s="91" t="str">
        <f t="shared" si="370"/>
        <v>99.7340425531915</v>
      </c>
      <c r="P423" s="67" t="str">
        <f t="shared" si="371"/>
        <v>1+20474.5639738518i</v>
      </c>
      <c r="Q423" s="67">
        <f t="shared" si="382"/>
        <v>20474.563998272344</v>
      </c>
      <c r="R423" s="67">
        <f t="shared" si="383"/>
        <v>1.5707474857059982</v>
      </c>
      <c r="S423" s="67" t="str">
        <f t="shared" si="372"/>
        <v>1+38.4921802708414i</v>
      </c>
      <c r="T423" s="67">
        <f t="shared" si="384"/>
        <v>38.505167731136453</v>
      </c>
      <c r="U423" s="67">
        <f t="shared" si="385"/>
        <v>1.5448228664893413</v>
      </c>
      <c r="V423" t="str">
        <f t="shared" si="373"/>
        <v>1-3.97611532468032i</v>
      </c>
      <c r="W423" s="67">
        <f t="shared" si="386"/>
        <v>4.0999381794312075</v>
      </c>
      <c r="X423" s="67">
        <f t="shared" si="387"/>
        <v>-1.3244047431967085</v>
      </c>
      <c r="Y423" t="str">
        <f t="shared" si="374"/>
        <v>-1.9797051166726+6.14602296049877i</v>
      </c>
      <c r="Z423" s="67">
        <f t="shared" si="388"/>
        <v>6.4569985736375788</v>
      </c>
      <c r="AA423" s="67">
        <f t="shared" si="389"/>
        <v>1.8824135273617799</v>
      </c>
      <c r="AB423" s="92" t="str">
        <f t="shared" si="390"/>
        <v>-0.118600837390914+0.0108405333535639i</v>
      </c>
      <c r="AC423" s="37">
        <f t="shared" si="391"/>
        <v>-18.482112042843649</v>
      </c>
      <c r="AD423" s="60">
        <f t="shared" si="392"/>
        <v>174.77747616495873</v>
      </c>
      <c r="AE423" t="str">
        <f t="shared" si="393"/>
        <v>118.329284003155</v>
      </c>
      <c r="AF423" t="str">
        <f t="shared" si="375"/>
        <v>1+16379.6511790814i</v>
      </c>
      <c r="AG423">
        <f t="shared" si="394"/>
        <v>16379.65120960708</v>
      </c>
      <c r="AH423">
        <f t="shared" si="395"/>
        <v>1.5707352754338009</v>
      </c>
      <c r="AI423" t="str">
        <f t="shared" si="376"/>
        <v>1+38.4921802708414i</v>
      </c>
      <c r="AJ423">
        <f t="shared" si="396"/>
        <v>38.505167731136453</v>
      </c>
      <c r="AK423">
        <f t="shared" si="397"/>
        <v>1.5448228664893413</v>
      </c>
      <c r="AL423" t="str">
        <f t="shared" si="377"/>
        <v>1-2.68094013794745i</v>
      </c>
      <c r="AM423">
        <f t="shared" si="398"/>
        <v>2.8613703051610937</v>
      </c>
      <c r="AN423">
        <f t="shared" si="399"/>
        <v>-1.2137771784832316</v>
      </c>
      <c r="AO423" s="58" t="str">
        <f t="shared" si="400"/>
        <v>0.258752220390884-0.752707625079409i</v>
      </c>
      <c r="AP423">
        <f t="shared" si="401"/>
        <v>-1.9823865518411972</v>
      </c>
      <c r="AQ423" s="60">
        <f t="shared" si="402"/>
        <v>-71.028981265920962</v>
      </c>
      <c r="AR423" t="str">
        <f t="shared" si="378"/>
        <v>-1.94444444444444</v>
      </c>
      <c r="AS423" t="str">
        <f t="shared" si="379"/>
        <v>1+39.4791592521449i</v>
      </c>
      <c r="AT423">
        <f t="shared" si="403"/>
        <v>39.491822131375741</v>
      </c>
      <c r="AU423">
        <f t="shared" si="404"/>
        <v>1.5454719218522239</v>
      </c>
      <c r="AV423" t="str">
        <f t="shared" si="380"/>
        <v>1+39.4791592521449i</v>
      </c>
      <c r="AW423">
        <f t="shared" si="405"/>
        <v>39.491822131375741</v>
      </c>
      <c r="AX423">
        <f t="shared" si="406"/>
        <v>1.5454719218522239</v>
      </c>
      <c r="AY423" t="str">
        <f t="shared" si="381"/>
        <v>1-0.0000538932341714569i</v>
      </c>
      <c r="AZ423">
        <f t="shared" si="407"/>
        <v>1.0000000014522403</v>
      </c>
      <c r="BA423">
        <f t="shared" si="408"/>
        <v>-5.3893234119279614E-5</v>
      </c>
      <c r="BB423" s="58" t="str">
        <f t="shared" si="409"/>
        <v>-0.00124410254758573+0.0492209150019141i</v>
      </c>
      <c r="BC423">
        <f t="shared" si="410"/>
        <v>-26.154232648686989</v>
      </c>
      <c r="BD423" s="60">
        <f t="shared" si="411"/>
        <v>91.447893667036027</v>
      </c>
      <c r="BE423" s="58" t="str">
        <f t="shared" si="412"/>
        <v>-0.000386029366827346-0.00585112847153637i</v>
      </c>
      <c r="BF423" s="37">
        <f t="shared" si="413"/>
        <v>-44.636344691530638</v>
      </c>
      <c r="BG423" s="60">
        <f t="shared" si="414"/>
        <v>-93.774630168005231</v>
      </c>
      <c r="BH423" s="58" t="str">
        <f t="shared" si="415"/>
        <v>0.0367270437387444+0.0136724665203647i</v>
      </c>
      <c r="BI423" s="37">
        <f t="shared" si="416"/>
        <v>-28.136619200528198</v>
      </c>
      <c r="BJ423" s="60">
        <f t="shared" si="417"/>
        <v>20.418912401115044</v>
      </c>
      <c r="BK423">
        <f t="shared" si="418"/>
        <v>-44.636344691530638</v>
      </c>
      <c r="BL423" s="60">
        <f t="shared" si="419"/>
        <v>-93.774630168005231</v>
      </c>
      <c r="BN423">
        <f t="shared" si="420"/>
        <v>0</v>
      </c>
      <c r="BO423">
        <f t="shared" si="421"/>
        <v>0</v>
      </c>
    </row>
    <row r="424" spans="13:67" ht="14.25" x14ac:dyDescent="0.2">
      <c r="M424" s="66">
        <v>6</v>
      </c>
      <c r="N424" s="36">
        <f t="shared" si="422"/>
        <v>114815.36214968823</v>
      </c>
      <c r="O424" s="91" t="str">
        <f t="shared" si="370"/>
        <v>99.7340425531915</v>
      </c>
      <c r="P424" s="67" t="str">
        <f t="shared" si="371"/>
        <v>1+20951.4778344465i</v>
      </c>
      <c r="Q424" s="67">
        <f t="shared" si="382"/>
        <v>20951.477858311166</v>
      </c>
      <c r="R424" s="67">
        <f t="shared" si="383"/>
        <v>1.5707485974649114</v>
      </c>
      <c r="S424" s="67" t="str">
        <f t="shared" si="372"/>
        <v>1+39.3887783287594i</v>
      </c>
      <c r="T424" s="67">
        <f t="shared" si="384"/>
        <v>39.401470254701742</v>
      </c>
      <c r="U424" s="67">
        <f t="shared" si="385"/>
        <v>1.5454138377642865</v>
      </c>
      <c r="V424" t="str">
        <f t="shared" si="373"/>
        <v>1-4.06873094824547i</v>
      </c>
      <c r="W424" s="67">
        <f t="shared" si="386"/>
        <v>4.189817600947622</v>
      </c>
      <c r="X424" s="67">
        <f t="shared" si="387"/>
        <v>-1.3297962968828227</v>
      </c>
      <c r="Y424" t="str">
        <f t="shared" si="374"/>
        <v>-2.1201342924412+6.28918222587499i</v>
      </c>
      <c r="Z424" s="67">
        <f t="shared" si="388"/>
        <v>6.6369256804824204</v>
      </c>
      <c r="AA424" s="67">
        <f t="shared" si="389"/>
        <v>1.8959403184260524</v>
      </c>
      <c r="AB424" s="92" t="str">
        <f t="shared" si="390"/>
        <v>-0.117695944104845+0.0129369283980172i</v>
      </c>
      <c r="AC424" s="37">
        <f t="shared" si="391"/>
        <v>-18.532612988609635</v>
      </c>
      <c r="AD424" s="60">
        <f t="shared" si="392"/>
        <v>173.72733131616235</v>
      </c>
      <c r="AE424" t="str">
        <f t="shared" si="393"/>
        <v>118.329284003155</v>
      </c>
      <c r="AF424" t="str">
        <f t="shared" si="375"/>
        <v>1+16761.1822675572i</v>
      </c>
      <c r="AG424">
        <f t="shared" si="394"/>
        <v>16761.182297388033</v>
      </c>
      <c r="AH424">
        <f t="shared" si="395"/>
        <v>1.5707366651324404</v>
      </c>
      <c r="AI424" t="str">
        <f t="shared" si="376"/>
        <v>1+39.3887783287594i</v>
      </c>
      <c r="AJ424">
        <f t="shared" si="396"/>
        <v>39.401470254701742</v>
      </c>
      <c r="AK424">
        <f t="shared" si="397"/>
        <v>1.5454138377642865</v>
      </c>
      <c r="AL424" t="str">
        <f t="shared" si="377"/>
        <v>1-2.74338725588582i</v>
      </c>
      <c r="AM424">
        <f t="shared" si="398"/>
        <v>2.9199612387421734</v>
      </c>
      <c r="AN424">
        <f t="shared" si="399"/>
        <v>-1.2212513883982241</v>
      </c>
      <c r="AO424" s="58" t="str">
        <f t="shared" si="400"/>
        <v>0.258752200583993-0.769908451093805i</v>
      </c>
      <c r="AP424">
        <f t="shared" si="401"/>
        <v>-1.8064579758525843</v>
      </c>
      <c r="AQ424" s="60">
        <f t="shared" si="402"/>
        <v>-71.423441413243921</v>
      </c>
      <c r="AR424" t="str">
        <f t="shared" si="378"/>
        <v>-1.94444444444444</v>
      </c>
      <c r="AS424" t="str">
        <f t="shared" si="379"/>
        <v>1+40.3987470038557i</v>
      </c>
      <c r="AT424">
        <f t="shared" si="403"/>
        <v>40.41112173005768</v>
      </c>
      <c r="AU424">
        <f t="shared" si="404"/>
        <v>1.5460481376011765</v>
      </c>
      <c r="AV424" t="str">
        <f t="shared" si="380"/>
        <v>1+40.3987470038557i</v>
      </c>
      <c r="AW424">
        <f t="shared" si="405"/>
        <v>40.41112173005768</v>
      </c>
      <c r="AX424">
        <f t="shared" si="406"/>
        <v>1.5460481376011765</v>
      </c>
      <c r="AY424" t="str">
        <f t="shared" si="381"/>
        <v>1-0.0000526664743900354i</v>
      </c>
      <c r="AZ424">
        <f t="shared" si="407"/>
        <v>1.0000000013868786</v>
      </c>
      <c r="BA424">
        <f t="shared" si="408"/>
        <v>-5.2666474341340722E-5</v>
      </c>
      <c r="BB424" s="58" t="str">
        <f t="shared" si="409"/>
        <v>-0.00118814299690061+0.048101895369727i</v>
      </c>
      <c r="BC424">
        <f t="shared" si="410"/>
        <v>-26.354107317738574</v>
      </c>
      <c r="BD424" s="60">
        <f t="shared" si="411"/>
        <v>91.414949224689849</v>
      </c>
      <c r="BE424" s="58" t="str">
        <f t="shared" si="412"/>
        <v>-0.000482451164455296-0.00567676890965i</v>
      </c>
      <c r="BF424" s="37">
        <f t="shared" si="413"/>
        <v>-44.886720306348209</v>
      </c>
      <c r="BG424" s="60">
        <f t="shared" si="414"/>
        <v>-94.857719459147802</v>
      </c>
      <c r="BH424" s="58" t="str">
        <f t="shared" si="415"/>
        <v>0.0367266211437263+0.0133612326135995i</v>
      </c>
      <c r="BI424" s="37">
        <f t="shared" si="416"/>
        <v>-28.160565293591159</v>
      </c>
      <c r="BJ424" s="60">
        <f t="shared" si="417"/>
        <v>19.991507811445853</v>
      </c>
      <c r="BK424">
        <f t="shared" si="418"/>
        <v>-44.886720306348209</v>
      </c>
      <c r="BL424" s="60">
        <f t="shared" si="419"/>
        <v>-94.857719459147802</v>
      </c>
      <c r="BN424">
        <f t="shared" si="420"/>
        <v>0</v>
      </c>
      <c r="BO424">
        <f t="shared" si="421"/>
        <v>0</v>
      </c>
    </row>
    <row r="425" spans="13:67" ht="14.25" x14ac:dyDescent="0.2">
      <c r="M425" s="66">
        <v>7</v>
      </c>
      <c r="N425" s="36">
        <f t="shared" si="422"/>
        <v>117489.75549395311</v>
      </c>
      <c r="O425" s="91" t="str">
        <f t="shared" si="370"/>
        <v>99.7340425531915</v>
      </c>
      <c r="P425" s="67" t="str">
        <f t="shared" si="371"/>
        <v>1+21439.5004459147i</v>
      </c>
      <c r="Q425" s="67">
        <f t="shared" si="382"/>
        <v>21439.500469236136</v>
      </c>
      <c r="R425" s="67">
        <f t="shared" si="383"/>
        <v>1.570749683917102</v>
      </c>
      <c r="S425" s="67" t="str">
        <f t="shared" si="372"/>
        <v>1+40.3062608383196i</v>
      </c>
      <c r="T425" s="67">
        <f t="shared" si="384"/>
        <v>40.318663950665034</v>
      </c>
      <c r="U425" s="67">
        <f t="shared" si="385"/>
        <v>1.5459913740266433</v>
      </c>
      <c r="V425" t="str">
        <f t="shared" si="373"/>
        <v>1-4.16350386681543i</v>
      </c>
      <c r="W425" s="67">
        <f t="shared" si="386"/>
        <v>4.2819113079309608</v>
      </c>
      <c r="X425" s="67">
        <f t="shared" si="387"/>
        <v>-1.3350789669914354</v>
      </c>
      <c r="Y425" t="str">
        <f t="shared" si="374"/>
        <v>-2.26718169136778+6.43567609891456i</v>
      </c>
      <c r="Z425" s="67">
        <f t="shared" si="388"/>
        <v>6.8233451965889422</v>
      </c>
      <c r="AA425" s="67">
        <f t="shared" si="389"/>
        <v>1.9095038825097512</v>
      </c>
      <c r="AB425" s="92" t="str">
        <f t="shared" si="390"/>
        <v>-0.116740557402735+0.0149950923677943i</v>
      </c>
      <c r="AC425" s="37">
        <f t="shared" si="391"/>
        <v>-18.584495654242883</v>
      </c>
      <c r="AD425" s="60">
        <f t="shared" si="392"/>
        <v>172.68054977845145</v>
      </c>
      <c r="AE425" t="str">
        <f t="shared" si="393"/>
        <v>118.329284003155</v>
      </c>
      <c r="AF425" t="str">
        <f t="shared" si="375"/>
        <v>1+17151.6003567317i</v>
      </c>
      <c r="AG425">
        <f t="shared" si="394"/>
        <v>17151.600385883496</v>
      </c>
      <c r="AH425">
        <f t="shared" si="395"/>
        <v>1.5707380231976773</v>
      </c>
      <c r="AI425" t="str">
        <f t="shared" si="376"/>
        <v>1+40.3062608383196i</v>
      </c>
      <c r="AJ425">
        <f t="shared" si="396"/>
        <v>40.318663950665034</v>
      </c>
      <c r="AK425">
        <f t="shared" si="397"/>
        <v>1.5459913740266433</v>
      </c>
      <c r="AL425" t="str">
        <f t="shared" si="377"/>
        <v>1-2.80728895406029i</v>
      </c>
      <c r="AM425">
        <f t="shared" si="398"/>
        <v>2.9800790713652074</v>
      </c>
      <c r="AN425">
        <f t="shared" si="399"/>
        <v>-1.2285950292518903</v>
      </c>
      <c r="AO425" s="58" t="str">
        <f t="shared" si="400"/>
        <v>0.258752181668561-0.787517492759811i</v>
      </c>
      <c r="AP425">
        <f t="shared" si="401"/>
        <v>-1.6295698603435926</v>
      </c>
      <c r="AQ425" s="60">
        <f t="shared" si="402"/>
        <v>-71.811188461476362</v>
      </c>
      <c r="AR425" t="str">
        <f t="shared" si="378"/>
        <v>-1.94444444444444</v>
      </c>
      <c r="AS425" t="str">
        <f t="shared" si="379"/>
        <v>1+41.3397547059687i</v>
      </c>
      <c r="AT425">
        <f t="shared" si="403"/>
        <v>41.351847832347971</v>
      </c>
      <c r="AU425">
        <f t="shared" si="404"/>
        <v>1.5466112529619938</v>
      </c>
      <c r="AV425" t="str">
        <f t="shared" si="380"/>
        <v>1+41.3397547059687i</v>
      </c>
      <c r="AW425">
        <f t="shared" si="405"/>
        <v>41.351847832347971</v>
      </c>
      <c r="AX425">
        <f t="shared" si="406"/>
        <v>1.5466112529619938</v>
      </c>
      <c r="AY425" t="str">
        <f t="shared" si="381"/>
        <v>1-0.0000514676390704584i</v>
      </c>
      <c r="AZ425">
        <f t="shared" si="407"/>
        <v>1.000000001324459</v>
      </c>
      <c r="BA425">
        <f t="shared" si="408"/>
        <v>-5.1467639025013881E-5</v>
      </c>
      <c r="BB425" s="58" t="str">
        <f t="shared" si="409"/>
        <v>-0.00113469902569709+0.0470082553522787i</v>
      </c>
      <c r="BC425">
        <f t="shared" si="410"/>
        <v>-26.553987624235585</v>
      </c>
      <c r="BD425" s="60">
        <f t="shared" si="411"/>
        <v>91.382753779339978</v>
      </c>
      <c r="BE425" s="58" t="str">
        <f t="shared" si="412"/>
        <v>-0.000572427734312061-0.00550478484905509i</v>
      </c>
      <c r="BF425" s="37">
        <f t="shared" si="413"/>
        <v>-45.138483278478468</v>
      </c>
      <c r="BG425" s="60">
        <f t="shared" si="414"/>
        <v>-95.936696442208557</v>
      </c>
      <c r="BH425" s="58" t="str">
        <f t="shared" si="415"/>
        <v>0.0367262175456032+0.0130570839605889i</v>
      </c>
      <c r="BI425" s="37">
        <f t="shared" si="416"/>
        <v>-28.183557484579168</v>
      </c>
      <c r="BJ425" s="60">
        <f t="shared" si="417"/>
        <v>19.571565317863609</v>
      </c>
      <c r="BK425">
        <f t="shared" si="418"/>
        <v>-45.138483278478468</v>
      </c>
      <c r="BL425" s="60">
        <f t="shared" si="419"/>
        <v>-95.936696442208557</v>
      </c>
      <c r="BN425">
        <f t="shared" si="420"/>
        <v>0</v>
      </c>
      <c r="BO425">
        <f t="shared" si="421"/>
        <v>0</v>
      </c>
    </row>
    <row r="426" spans="13:67" ht="14.25" x14ac:dyDescent="0.2">
      <c r="M426" s="66">
        <v>8</v>
      </c>
      <c r="N426" s="36">
        <f t="shared" si="422"/>
        <v>120226.44346174144</v>
      </c>
      <c r="O426" s="91" t="str">
        <f t="shared" si="370"/>
        <v>99.7340425531915</v>
      </c>
      <c r="P426" s="67" t="str">
        <f t="shared" si="371"/>
        <v>1+21938.8905643046i</v>
      </c>
      <c r="Q426" s="67">
        <f t="shared" si="382"/>
        <v>21938.890587095175</v>
      </c>
      <c r="R426" s="67">
        <f t="shared" si="383"/>
        <v>1.5707507456386218</v>
      </c>
      <c r="S426" s="67" t="str">
        <f t="shared" si="372"/>
        <v>1+41.2451142608926i</v>
      </c>
      <c r="T426" s="67">
        <f t="shared" si="384"/>
        <v>41.257235127842563</v>
      </c>
      <c r="U426" s="67">
        <f t="shared" si="385"/>
        <v>1.5465557799518099</v>
      </c>
      <c r="V426" t="str">
        <f t="shared" si="373"/>
        <v>1-4.26048433024605i</v>
      </c>
      <c r="W426" s="67">
        <f t="shared" si="386"/>
        <v>4.3762685850244765</v>
      </c>
      <c r="X426" s="67">
        <f t="shared" si="387"/>
        <v>-1.3402543745802584</v>
      </c>
      <c r="Y426" t="str">
        <f t="shared" si="374"/>
        <v>-2.42115922070043+6.58558225260801i</v>
      </c>
      <c r="Z426" s="67">
        <f t="shared" si="388"/>
        <v>7.016545131177331</v>
      </c>
      <c r="AA426" s="67">
        <f t="shared" si="389"/>
        <v>1.9231036168086324</v>
      </c>
      <c r="AB426" s="92" t="str">
        <f t="shared" si="390"/>
        <v>-0.115735558476761+0.0170137921278787i</v>
      </c>
      <c r="AC426" s="37">
        <f t="shared" si="391"/>
        <v>-18.637809482688738</v>
      </c>
      <c r="AD426" s="60">
        <f t="shared" si="392"/>
        <v>171.63709063380873</v>
      </c>
      <c r="AE426" t="str">
        <f t="shared" si="393"/>
        <v>118.329284003155</v>
      </c>
      <c r="AF426" t="str">
        <f t="shared" si="375"/>
        <v>1+17551.1124514437i</v>
      </c>
      <c r="AG426">
        <f t="shared" si="394"/>
        <v>17551.112479931922</v>
      </c>
      <c r="AH426">
        <f t="shared" si="395"/>
        <v>1.5707393503495752</v>
      </c>
      <c r="AI426" t="str">
        <f t="shared" si="376"/>
        <v>1+41.2451142608926i</v>
      </c>
      <c r="AJ426">
        <f t="shared" si="396"/>
        <v>41.257235127842563</v>
      </c>
      <c r="AK426">
        <f t="shared" si="397"/>
        <v>1.5465557799518099</v>
      </c>
      <c r="AL426" t="str">
        <f t="shared" si="377"/>
        <v>1-2.87267911399706i</v>
      </c>
      <c r="AM426">
        <f t="shared" si="398"/>
        <v>3.0417569416366805</v>
      </c>
      <c r="AN426">
        <f t="shared" si="399"/>
        <v>-1.235808825489237</v>
      </c>
      <c r="AO426" s="58" t="str">
        <f t="shared" si="400"/>
        <v>0.258752163604462-0.805544086624403i</v>
      </c>
      <c r="AP426">
        <f t="shared" si="401"/>
        <v>-1.4517556966042899</v>
      </c>
      <c r="AQ426" s="60">
        <f t="shared" si="402"/>
        <v>-72.192246502902023</v>
      </c>
      <c r="AR426" t="str">
        <f t="shared" si="378"/>
        <v>-1.94444444444444</v>
      </c>
      <c r="AS426" t="str">
        <f t="shared" si="379"/>
        <v>1+42.3026812932231i</v>
      </c>
      <c r="AT426">
        <f t="shared" si="403"/>
        <v>42.314499224214003</v>
      </c>
      <c r="AU426">
        <f t="shared" si="404"/>
        <v>1.5471615650765693</v>
      </c>
      <c r="AV426" t="str">
        <f t="shared" si="380"/>
        <v>1+42.3026812932231i</v>
      </c>
      <c r="AW426">
        <f t="shared" si="405"/>
        <v>42.314499224214003</v>
      </c>
      <c r="AX426">
        <f t="shared" si="406"/>
        <v>1.5471615650765693</v>
      </c>
      <c r="AY426" t="str">
        <f t="shared" si="381"/>
        <v>1-0.0000502960925743715i</v>
      </c>
      <c r="AZ426">
        <f t="shared" si="407"/>
        <v>1.0000000012648484</v>
      </c>
      <c r="BA426">
        <f t="shared" si="408"/>
        <v>-5.0296092531960211E-5</v>
      </c>
      <c r="BB426" s="58" t="str">
        <f t="shared" si="409"/>
        <v>-0.00108365767932386+0.0459394233971747i</v>
      </c>
      <c r="BC426">
        <f t="shared" si="410"/>
        <v>-26.753873314748059</v>
      </c>
      <c r="BD426" s="60">
        <f t="shared" si="411"/>
        <v>91.351290342429422</v>
      </c>
      <c r="BE426" s="58" t="str">
        <f t="shared" si="412"/>
        <v>-0.00065618607343996-0.00533526194946619i</v>
      </c>
      <c r="BF426" s="37">
        <f t="shared" si="413"/>
        <v>-45.3916827974368</v>
      </c>
      <c r="BG426" s="60">
        <f t="shared" si="414"/>
        <v>-97.011619023761853</v>
      </c>
      <c r="BH426" s="58" t="str">
        <f t="shared" si="415"/>
        <v>0.0367258320913972+0.0127598592342649i</v>
      </c>
      <c r="BI426" s="37">
        <f t="shared" si="416"/>
        <v>-28.205629011352343</v>
      </c>
      <c r="BJ426" s="60">
        <f t="shared" si="417"/>
        <v>19.15904383952746</v>
      </c>
      <c r="BK426">
        <f t="shared" si="418"/>
        <v>-45.3916827974368</v>
      </c>
      <c r="BL426" s="60">
        <f t="shared" si="419"/>
        <v>-97.011619023761853</v>
      </c>
      <c r="BN426">
        <f t="shared" si="420"/>
        <v>0</v>
      </c>
      <c r="BO426">
        <f t="shared" si="421"/>
        <v>0</v>
      </c>
    </row>
    <row r="427" spans="13:67" ht="14.25" x14ac:dyDescent="0.2">
      <c r="M427" s="66">
        <v>9</v>
      </c>
      <c r="N427" s="36">
        <f t="shared" si="422"/>
        <v>123026.87708123829</v>
      </c>
      <c r="O427" s="91" t="str">
        <f t="shared" si="370"/>
        <v>99.7340425531915</v>
      </c>
      <c r="P427" s="67" t="str">
        <f t="shared" si="371"/>
        <v>1+22449.9129728672i</v>
      </c>
      <c r="Q427" s="67">
        <f t="shared" si="382"/>
        <v>22449.912995139002</v>
      </c>
      <c r="R427" s="67">
        <f t="shared" si="383"/>
        <v>1.5707517831924094</v>
      </c>
      <c r="S427" s="67" t="str">
        <f t="shared" si="372"/>
        <v>1+42.2058363889904i</v>
      </c>
      <c r="T427" s="67">
        <f t="shared" si="384"/>
        <v>42.217681429635931</v>
      </c>
      <c r="U427" s="67">
        <f t="shared" si="385"/>
        <v>1.5471073533561048</v>
      </c>
      <c r="V427" t="str">
        <f t="shared" si="373"/>
        <v>1-4.35972375886274i</v>
      </c>
      <c r="W427" s="67">
        <f t="shared" si="386"/>
        <v>4.4729398893336647</v>
      </c>
      <c r="X427" s="67">
        <f t="shared" si="387"/>
        <v>-1.3453241542505592</v>
      </c>
      <c r="Y427" t="str">
        <f t="shared" si="374"/>
        <v>-2.58239348742299+6.73898016918228i</v>
      </c>
      <c r="Z427" s="67">
        <f t="shared" si="388"/>
        <v>7.2168282399206856</v>
      </c>
      <c r="AA427" s="67">
        <f t="shared" si="389"/>
        <v>1.9367386938813382</v>
      </c>
      <c r="AB427" s="92" t="str">
        <f t="shared" si="390"/>
        <v>-0.114681886548384+0.0189917874757286i</v>
      </c>
      <c r="AC427" s="37">
        <f t="shared" si="391"/>
        <v>-18.692603367964026</v>
      </c>
      <c r="AD427" s="60">
        <f t="shared" si="392"/>
        <v>170.59692466674241</v>
      </c>
      <c r="AE427" t="str">
        <f t="shared" si="393"/>
        <v>118.329284003155</v>
      </c>
      <c r="AF427" t="str">
        <f t="shared" si="375"/>
        <v>1+17959.9303782938i</v>
      </c>
      <c r="AG427">
        <f t="shared" si="394"/>
        <v>17959.93040613355</v>
      </c>
      <c r="AH427">
        <f t="shared" si="395"/>
        <v>1.5707406472918082</v>
      </c>
      <c r="AI427" t="str">
        <f t="shared" si="376"/>
        <v>1+42.2058363889904i</v>
      </c>
      <c r="AJ427">
        <f t="shared" si="396"/>
        <v>42.217681429635931</v>
      </c>
      <c r="AK427">
        <f t="shared" si="397"/>
        <v>1.5471073533561048</v>
      </c>
      <c r="AL427" t="str">
        <f t="shared" si="377"/>
        <v>1-2.93959240642448i</v>
      </c>
      <c r="AM427">
        <f t="shared" si="398"/>
        <v>3.1050287463900341</v>
      </c>
      <c r="AN427">
        <f t="shared" si="399"/>
        <v>-1.2428935978354569</v>
      </c>
      <c r="AO427" s="58" t="str">
        <f t="shared" si="400"/>
        <v>0.258752146353383-0.823997790626271i</v>
      </c>
      <c r="AP427">
        <f t="shared" si="401"/>
        <v>-1.2730481828890814</v>
      </c>
      <c r="AQ427" s="60">
        <f t="shared" si="402"/>
        <v>-72.566645538309871</v>
      </c>
      <c r="AR427" t="str">
        <f t="shared" si="378"/>
        <v>-1.94444444444444</v>
      </c>
      <c r="AS427" t="str">
        <f t="shared" si="379"/>
        <v>1+43.2880373220413i</v>
      </c>
      <c r="AT427">
        <f t="shared" si="403"/>
        <v>43.299586316666357</v>
      </c>
      <c r="AU427">
        <f t="shared" si="404"/>
        <v>1.5476993643936394</v>
      </c>
      <c r="AV427" t="str">
        <f t="shared" si="380"/>
        <v>1+43.2880373220413i</v>
      </c>
      <c r="AW427">
        <f t="shared" si="405"/>
        <v>43.299586316666357</v>
      </c>
      <c r="AX427">
        <f t="shared" si="406"/>
        <v>1.5476993643936394</v>
      </c>
      <c r="AY427" t="str">
        <f t="shared" si="381"/>
        <v>1-0.000049151213732315i</v>
      </c>
      <c r="AZ427">
        <f t="shared" si="407"/>
        <v>1.0000000012079209</v>
      </c>
      <c r="BA427">
        <f t="shared" si="408"/>
        <v>-4.9151213692734478E-5</v>
      </c>
      <c r="BB427" s="58" t="str">
        <f t="shared" si="409"/>
        <v>-0.00103491106363191+0.0448948405519709i</v>
      </c>
      <c r="BC427">
        <f t="shared" si="410"/>
        <v>-26.953764147226231</v>
      </c>
      <c r="BD427" s="60">
        <f t="shared" si="411"/>
        <v>91.320542308061846</v>
      </c>
      <c r="BE427" s="58" t="str">
        <f t="shared" si="412"/>
        <v>-0.000733947717332651-0.00516827982176569i</v>
      </c>
      <c r="BF427" s="37">
        <f t="shared" si="413"/>
        <v>-45.646367515190256</v>
      </c>
      <c r="BG427" s="60">
        <f t="shared" si="414"/>
        <v>-98.082533025195758</v>
      </c>
      <c r="BH427" s="58" t="str">
        <f t="shared" si="415"/>
        <v>0.0367254639663431+0.0124694007829427i</v>
      </c>
      <c r="BI427" s="37">
        <f t="shared" si="416"/>
        <v>-28.226812330115315</v>
      </c>
      <c r="BJ427" s="60">
        <f t="shared" si="417"/>
        <v>18.753896769751925</v>
      </c>
      <c r="BK427">
        <f t="shared" si="418"/>
        <v>-45.646367515190256</v>
      </c>
      <c r="BL427" s="60">
        <f t="shared" si="419"/>
        <v>-98.082533025195758</v>
      </c>
      <c r="BN427">
        <f t="shared" si="420"/>
        <v>0</v>
      </c>
      <c r="BO427">
        <f t="shared" si="421"/>
        <v>0</v>
      </c>
    </row>
    <row r="428" spans="13:67" ht="14.25" x14ac:dyDescent="0.2">
      <c r="M428" s="66">
        <v>10</v>
      </c>
      <c r="N428" s="36">
        <f t="shared" si="422"/>
        <v>125892.54117941685</v>
      </c>
      <c r="O428" s="91" t="str">
        <f t="shared" si="370"/>
        <v>99.7340425531915</v>
      </c>
      <c r="P428" s="67" t="str">
        <f t="shared" si="371"/>
        <v>1+22972.8386224478i</v>
      </c>
      <c r="Q428" s="67">
        <f t="shared" si="382"/>
        <v>22972.838644212636</v>
      </c>
      <c r="R428" s="67">
        <f t="shared" si="383"/>
        <v>1.5707527971285893</v>
      </c>
      <c r="S428" s="67" t="str">
        <f t="shared" si="372"/>
        <v>1+43.1889366102019i</v>
      </c>
      <c r="T428" s="67">
        <f t="shared" si="384"/>
        <v>43.200512097891135</v>
      </c>
      <c r="U428" s="67">
        <f t="shared" si="385"/>
        <v>1.5476463853478226</v>
      </c>
      <c r="V428" t="str">
        <f t="shared" si="373"/>
        <v>1-4.46127477072416i</v>
      </c>
      <c r="W428" s="67">
        <f t="shared" si="386"/>
        <v>4.5719768787582362</v>
      </c>
      <c r="X428" s="67">
        <f t="shared" si="387"/>
        <v>-1.3502899511469846</v>
      </c>
      <c r="Y428" t="str">
        <f t="shared" si="374"/>
        <v>-2.75122649103223+6.8959511822432i</v>
      </c>
      <c r="Z428" s="67">
        <f t="shared" si="388"/>
        <v>7.4245127727574767</v>
      </c>
      <c r="AA428" s="67">
        <f t="shared" si="389"/>
        <v>1.9504080584944121</v>
      </c>
      <c r="AB428" s="92" t="str">
        <f t="shared" si="390"/>
        <v>-0.11358054230019+0.0209278349204865i</v>
      </c>
      <c r="AC428" s="37">
        <f t="shared" si="391"/>
        <v>-18.748925554842362</v>
      </c>
      <c r="AD428" s="60">
        <f t="shared" si="392"/>
        <v>169.5600347255876</v>
      </c>
      <c r="AE428" t="str">
        <f t="shared" si="393"/>
        <v>118.329284003155</v>
      </c>
      <c r="AF428" t="str">
        <f t="shared" si="375"/>
        <v>1+18378.2708979583i</v>
      </c>
      <c r="AG428">
        <f t="shared" si="394"/>
        <v>18378.270925164343</v>
      </c>
      <c r="AH428">
        <f t="shared" si="395"/>
        <v>1.5707419147120318</v>
      </c>
      <c r="AI428" t="str">
        <f t="shared" si="376"/>
        <v>1+43.1889366102019i</v>
      </c>
      <c r="AJ428">
        <f t="shared" si="396"/>
        <v>43.200512097891135</v>
      </c>
      <c r="AK428">
        <f t="shared" si="397"/>
        <v>1.5476463853478226</v>
      </c>
      <c r="AL428" t="str">
        <f t="shared" si="377"/>
        <v>1-3.00806430965589i</v>
      </c>
      <c r="AM428">
        <f t="shared" si="398"/>
        <v>3.1699291618308392</v>
      </c>
      <c r="AN428">
        <f t="shared" si="399"/>
        <v>-1.2498502569062149</v>
      </c>
      <c r="AO428" s="58" t="str">
        <f t="shared" si="400"/>
        <v>0.258752129878729-0.842888389163539i</v>
      </c>
      <c r="AP428">
        <f t="shared" si="401"/>
        <v>-1.0934792126754445</v>
      </c>
      <c r="AQ428" s="60">
        <f t="shared" si="402"/>
        <v>-72.934421102257417</v>
      </c>
      <c r="AR428" t="str">
        <f t="shared" si="378"/>
        <v>-1.94444444444444</v>
      </c>
      <c r="AS428" t="str">
        <f t="shared" si="379"/>
        <v>1+44.2963452412326i</v>
      </c>
      <c r="AT428">
        <f t="shared" si="403"/>
        <v>44.307631416387743</v>
      </c>
      <c r="AU428">
        <f t="shared" si="404"/>
        <v>1.5482249348164341</v>
      </c>
      <c r="AV428" t="str">
        <f t="shared" si="380"/>
        <v>1+44.2963452412326i</v>
      </c>
      <c r="AW428">
        <f t="shared" si="405"/>
        <v>44.307631416387743</v>
      </c>
      <c r="AX428">
        <f t="shared" si="406"/>
        <v>1.5482249348164341</v>
      </c>
      <c r="AY428" t="str">
        <f t="shared" si="381"/>
        <v>1-0.0000480323955143726i</v>
      </c>
      <c r="AZ428">
        <f t="shared" si="407"/>
        <v>1.0000000011535555</v>
      </c>
      <c r="BA428">
        <f t="shared" si="408"/>
        <v>-4.8032395477433913E-5</v>
      </c>
      <c r="BB428" s="58" t="str">
        <f t="shared" si="409"/>
        <v>-0.000988356119260242+0.0438739602046478i</v>
      </c>
      <c r="BC428">
        <f t="shared" si="410"/>
        <v>-27.153659890490541</v>
      </c>
      <c r="BD428" s="60">
        <f t="shared" si="411"/>
        <v>91.290493444560582</v>
      </c>
      <c r="BE428" s="58" t="str">
        <f t="shared" si="412"/>
        <v>-0.000805928972459574-0.00500391234660738i</v>
      </c>
      <c r="BF428" s="37">
        <f t="shared" si="413"/>
        <v>-45.90258544533291</v>
      </c>
      <c r="BG428" s="60">
        <f t="shared" si="414"/>
        <v>-99.149471829851834</v>
      </c>
      <c r="BH428" s="58" t="str">
        <f t="shared" si="415"/>
        <v>0.0367251123921835+0.0121855545464504i</v>
      </c>
      <c r="BI428" s="37">
        <f t="shared" si="416"/>
        <v>-28.247139103165999</v>
      </c>
      <c r="BJ428" s="60">
        <f t="shared" si="417"/>
        <v>18.356072342303172</v>
      </c>
      <c r="BK428">
        <f t="shared" si="418"/>
        <v>-45.90258544533291</v>
      </c>
      <c r="BL428" s="60">
        <f t="shared" si="419"/>
        <v>-99.149471829851834</v>
      </c>
      <c r="BN428">
        <f t="shared" si="420"/>
        <v>0</v>
      </c>
      <c r="BO428">
        <f t="shared" si="421"/>
        <v>0</v>
      </c>
    </row>
    <row r="429" spans="13:67" ht="14.25" x14ac:dyDescent="0.2">
      <c r="M429" s="66">
        <v>11</v>
      </c>
      <c r="N429" s="36">
        <f t="shared" si="422"/>
        <v>128824.95516931375</v>
      </c>
      <c r="O429" s="91" t="str">
        <f t="shared" si="370"/>
        <v>99.7340425531915</v>
      </c>
      <c r="P429" s="67" t="str">
        <f t="shared" si="371"/>
        <v>1+23507.9447751476i</v>
      </c>
      <c r="Q429" s="67">
        <f t="shared" si="382"/>
        <v>23507.944796417003</v>
      </c>
      <c r="R429" s="67">
        <f t="shared" si="383"/>
        <v>1.5707537879847639</v>
      </c>
      <c r="S429" s="67" t="str">
        <f t="shared" si="372"/>
        <v>1+44.1949361772774i</v>
      </c>
      <c r="T429" s="67">
        <f t="shared" si="384"/>
        <v>44.206248242908181</v>
      </c>
      <c r="U429" s="67">
        <f t="shared" si="385"/>
        <v>1.5481731604751932</v>
      </c>
      <c r="V429" t="str">
        <f t="shared" si="373"/>
        <v>1-4.56519120952096i</v>
      </c>
      <c r="W429" s="67">
        <f t="shared" si="386"/>
        <v>4.6734324408819097</v>
      </c>
      <c r="X429" s="67">
        <f t="shared" si="387"/>
        <v>-1.355153418140665</v>
      </c>
      <c r="Y429" t="str">
        <f t="shared" si="374"/>
        <v>-2.92801634896466+7.05657851989966i</v>
      </c>
      <c r="Z429" s="67">
        <f t="shared" si="388"/>
        <v>7.6399332554226955</v>
      </c>
      <c r="AA429" s="67">
        <f t="shared" si="389"/>
        <v>1.9641104252819914</v>
      </c>
      <c r="AB429" s="92" t="str">
        <f t="shared" si="390"/>
        <v>-0.112432591007177+0.0228206918951021i</v>
      </c>
      <c r="AC429" s="37">
        <f t="shared" si="391"/>
        <v>-18.806823535815241</v>
      </c>
      <c r="AD429" s="60">
        <f t="shared" si="392"/>
        <v>168.52641602645389</v>
      </c>
      <c r="AE429" t="str">
        <f t="shared" si="393"/>
        <v>118.329284003155</v>
      </c>
      <c r="AF429" t="str">
        <f t="shared" si="375"/>
        <v>1+18806.3558201181i</v>
      </c>
      <c r="AG429">
        <f t="shared" si="394"/>
        <v>18806.355846704857</v>
      </c>
      <c r="AH429">
        <f t="shared" si="395"/>
        <v>1.5707431532822489</v>
      </c>
      <c r="AI429" t="str">
        <f t="shared" si="376"/>
        <v>1+44.1949361772774i</v>
      </c>
      <c r="AJ429">
        <f t="shared" si="396"/>
        <v>44.206248242908181</v>
      </c>
      <c r="AK429">
        <f t="shared" si="397"/>
        <v>1.5481731604751932</v>
      </c>
      <c r="AL429" t="str">
        <f t="shared" si="377"/>
        <v>1-3.07813112840072i</v>
      </c>
      <c r="AM429">
        <f t="shared" si="398"/>
        <v>3.2364936650068525</v>
      </c>
      <c r="AN429">
        <f t="shared" si="399"/>
        <v>-1.2566797969730634</v>
      </c>
      <c r="AO429" s="58" t="str">
        <f t="shared" si="400"/>
        <v>0.258752114145558-0.862225898281612i</v>
      </c>
      <c r="AP429">
        <f t="shared" si="401"/>
        <v>-0.91307986600044855</v>
      </c>
      <c r="AQ429" s="60">
        <f t="shared" si="402"/>
        <v>-73.295613897398624</v>
      </c>
      <c r="AR429" t="str">
        <f t="shared" si="378"/>
        <v>-1.94444444444444</v>
      </c>
      <c r="AS429" t="str">
        <f t="shared" si="379"/>
        <v>1+45.3281396690023i</v>
      </c>
      <c r="AT429">
        <f t="shared" si="403"/>
        <v>45.339169002668982</v>
      </c>
      <c r="AU429">
        <f t="shared" si="404"/>
        <v>1.5487385538472802</v>
      </c>
      <c r="AV429" t="str">
        <f t="shared" si="380"/>
        <v>1+45.3281396690023i</v>
      </c>
      <c r="AW429">
        <f t="shared" si="405"/>
        <v>45.339169002668982</v>
      </c>
      <c r="AX429">
        <f t="shared" si="406"/>
        <v>1.5487385538472802</v>
      </c>
      <c r="AY429" t="str">
        <f t="shared" si="381"/>
        <v>1-0.0000469390447083157i</v>
      </c>
      <c r="AZ429">
        <f t="shared" si="407"/>
        <v>1.000000001101637</v>
      </c>
      <c r="BA429">
        <f t="shared" si="408"/>
        <v>-4.6939044673842512E-5</v>
      </c>
      <c r="BB429" s="58" t="str">
        <f t="shared" si="409"/>
        <v>-0.000943894405900995+0.0428762478281809i</v>
      </c>
      <c r="BC429">
        <f t="shared" si="410"/>
        <v>-27.353560323744482</v>
      </c>
      <c r="BD429" s="60">
        <f t="shared" si="411"/>
        <v>91.261127886202075</v>
      </c>
      <c r="BE429" s="58" t="str">
        <f t="shared" si="412"/>
        <v>-0.000872341147612328-0.0048422279594068i</v>
      </c>
      <c r="BF429" s="37">
        <f t="shared" si="413"/>
        <v>-46.16038385955973</v>
      </c>
      <c r="BG429" s="60">
        <f t="shared" si="414"/>
        <v>-100.21245608734402</v>
      </c>
      <c r="BH429" s="58" t="str">
        <f t="shared" si="415"/>
        <v>0.0367247766255412+0.0119081699741817i</v>
      </c>
      <c r="BI429" s="37">
        <f t="shared" si="416"/>
        <v>-28.266640189744937</v>
      </c>
      <c r="BJ429" s="60">
        <f t="shared" si="417"/>
        <v>17.965513988803526</v>
      </c>
      <c r="BK429">
        <f t="shared" si="418"/>
        <v>-46.16038385955973</v>
      </c>
      <c r="BL429" s="60">
        <f t="shared" si="419"/>
        <v>-100.21245608734402</v>
      </c>
      <c r="BN429">
        <f t="shared" si="420"/>
        <v>0</v>
      </c>
      <c r="BO429">
        <f t="shared" si="421"/>
        <v>0</v>
      </c>
    </row>
    <row r="430" spans="13:67" ht="14.25" x14ac:dyDescent="0.2">
      <c r="M430" s="66">
        <v>12</v>
      </c>
      <c r="N430" s="36">
        <f t="shared" si="422"/>
        <v>131825.67385564081</v>
      </c>
      <c r="O430" s="91" t="str">
        <f t="shared" si="370"/>
        <v>99.7340425531915</v>
      </c>
      <c r="P430" s="67" t="str">
        <f t="shared" si="371"/>
        <v>1+24055.5151513314i</v>
      </c>
      <c r="Q430" s="67">
        <f t="shared" si="382"/>
        <v>24055.515172116655</v>
      </c>
      <c r="R430" s="67">
        <f t="shared" si="383"/>
        <v>1.5707547562862987</v>
      </c>
      <c r="S430" s="67" t="str">
        <f t="shared" si="372"/>
        <v>1+45.2243684845031i</v>
      </c>
      <c r="T430" s="67">
        <f t="shared" si="384"/>
        <v>45.235423119742315</v>
      </c>
      <c r="U430" s="67">
        <f t="shared" si="385"/>
        <v>1.5486879568712837</v>
      </c>
      <c r="V430" t="str">
        <f t="shared" si="373"/>
        <v>1-4.67152817312449i</v>
      </c>
      <c r="W430" s="67">
        <f t="shared" si="386"/>
        <v>4.7773607224382619</v>
      </c>
      <c r="X430" s="67">
        <f t="shared" si="387"/>
        <v>-1.3599162131896056</v>
      </c>
      <c r="Y430" t="str">
        <f t="shared" si="374"/>
        <v>-3.11313805621154+7.2209473488922i</v>
      </c>
      <c r="Z430" s="67">
        <f t="shared" si="388"/>
        <v>7.8634413059744936</v>
      </c>
      <c r="AA430" s="67">
        <f t="shared" si="389"/>
        <v>1.9778442772645637</v>
      </c>
      <c r="AB430" s="92" t="str">
        <f t="shared" si="390"/>
        <v>-0.111239165320117+0.0246691213786938i</v>
      </c>
      <c r="AC430" s="37">
        <f t="shared" si="391"/>
        <v>-18.866343945673847</v>
      </c>
      <c r="AD430" s="60">
        <f t="shared" si="392"/>
        <v>167.49607639761834</v>
      </c>
      <c r="AE430" t="str">
        <f t="shared" si="393"/>
        <v>118.329284003155</v>
      </c>
      <c r="AF430" t="str">
        <f t="shared" si="375"/>
        <v>1+19244.4121210651i</v>
      </c>
      <c r="AG430">
        <f t="shared" si="394"/>
        <v>19244.412147046663</v>
      </c>
      <c r="AH430">
        <f t="shared" si="395"/>
        <v>1.5707443636591663</v>
      </c>
      <c r="AI430" t="str">
        <f t="shared" si="376"/>
        <v>1+45.2243684845031i</v>
      </c>
      <c r="AJ430">
        <f t="shared" si="396"/>
        <v>45.235423119742315</v>
      </c>
      <c r="AK430">
        <f t="shared" si="397"/>
        <v>1.5486879568712837</v>
      </c>
      <c r="AL430" t="str">
        <f t="shared" si="377"/>
        <v>1-3.1498300130137i</v>
      </c>
      <c r="AM430">
        <f t="shared" si="398"/>
        <v>3.3047585556106647</v>
      </c>
      <c r="AN430">
        <f t="shared" si="399"/>
        <v>-1.2633832898982094</v>
      </c>
      <c r="AO430" s="58" t="str">
        <f t="shared" si="400"/>
        <v>0.258752099120497-0.882020570983788i</v>
      </c>
      <c r="AP430">
        <f t="shared" si="401"/>
        <v>-0.73188040367083818</v>
      </c>
      <c r="AQ430" s="60">
        <f t="shared" si="402"/>
        <v>-73.650269438689733</v>
      </c>
      <c r="AR430" t="str">
        <f t="shared" si="378"/>
        <v>-1.94444444444444</v>
      </c>
      <c r="AS430" t="str">
        <f t="shared" si="379"/>
        <v>1+46.3839676764133i</v>
      </c>
      <c r="AT430">
        <f t="shared" si="403"/>
        <v>46.394746010799047</v>
      </c>
      <c r="AU430">
        <f t="shared" si="404"/>
        <v>1.5492404927292047</v>
      </c>
      <c r="AV430" t="str">
        <f t="shared" si="380"/>
        <v>1+46.3839676764133i</v>
      </c>
      <c r="AW430">
        <f t="shared" si="405"/>
        <v>46.394746010799047</v>
      </c>
      <c r="AX430">
        <f t="shared" si="406"/>
        <v>1.5492404927292047</v>
      </c>
      <c r="AY430" t="str">
        <f t="shared" si="381"/>
        <v>1-0.0000458705816050751i</v>
      </c>
      <c r="AZ430">
        <f t="shared" si="407"/>
        <v>1.0000000010520551</v>
      </c>
      <c r="BA430">
        <f t="shared" si="408"/>
        <v>-4.5870581572902845E-5</v>
      </c>
      <c r="BB430" s="58" t="str">
        <f t="shared" si="409"/>
        <v>-0.000901431896110305+0.0419011807292337i</v>
      </c>
      <c r="BC430">
        <f t="shared" si="410"/>
        <v>-27.55346523610924</v>
      </c>
      <c r="BD430" s="60">
        <f t="shared" si="411"/>
        <v>91.23243012512053</v>
      </c>
      <c r="BE430" s="58" t="str">
        <f t="shared" si="412"/>
        <v>-0.000933390781603811-0.0046832899031071i</v>
      </c>
      <c r="BF430" s="37">
        <f t="shared" si="413"/>
        <v>-46.419809181783087</v>
      </c>
      <c r="BG430" s="60">
        <f t="shared" si="414"/>
        <v>-101.27149347726112</v>
      </c>
      <c r="BH430" s="58" t="str">
        <f t="shared" si="415"/>
        <v>0.0367244559563609+0.0116370999450267i</v>
      </c>
      <c r="BI430" s="37">
        <f t="shared" si="416"/>
        <v>-28.285345639780072</v>
      </c>
      <c r="BJ430" s="60">
        <f t="shared" si="417"/>
        <v>17.58216068643074</v>
      </c>
      <c r="BK430">
        <f t="shared" si="418"/>
        <v>-46.419809181783087</v>
      </c>
      <c r="BL430" s="60">
        <f t="shared" si="419"/>
        <v>-101.27149347726112</v>
      </c>
      <c r="BN430">
        <f t="shared" si="420"/>
        <v>0</v>
      </c>
      <c r="BO430">
        <f t="shared" si="421"/>
        <v>0</v>
      </c>
    </row>
    <row r="431" spans="13:67" ht="14.25" x14ac:dyDescent="0.2">
      <c r="M431" s="66">
        <v>13</v>
      </c>
      <c r="N431" s="36">
        <f t="shared" si="422"/>
        <v>134896.28825916545</v>
      </c>
      <c r="O431" s="91" t="str">
        <f t="shared" si="370"/>
        <v>99.7340425531915</v>
      </c>
      <c r="P431" s="67" t="str">
        <f t="shared" si="371"/>
        <v>1+24615.8400800609i</v>
      </c>
      <c r="Q431" s="67">
        <f t="shared" si="382"/>
        <v>24615.840100373029</v>
      </c>
      <c r="R431" s="67">
        <f t="shared" si="383"/>
        <v>1.5707557025465997</v>
      </c>
      <c r="S431" s="67" t="str">
        <f t="shared" si="372"/>
        <v>1+46.2777793505146i</v>
      </c>
      <c r="T431" s="67">
        <f t="shared" si="384"/>
        <v>46.288582410945743</v>
      </c>
      <c r="U431" s="67">
        <f t="shared" si="385"/>
        <v>1.5491910463959009</v>
      </c>
      <c r="V431" t="str">
        <f t="shared" si="373"/>
        <v>1-4.78034204280041i</v>
      </c>
      <c r="W431" s="67">
        <f t="shared" si="386"/>
        <v>4.8838171593708548</v>
      </c>
      <c r="X431" s="67">
        <f t="shared" si="387"/>
        <v>-1.3645799968701433</v>
      </c>
      <c r="Y431" t="str">
        <f t="shared" si="374"/>
        <v>-3.30698428073369+7.38914481974968i</v>
      </c>
      <c r="Z431" s="67">
        <f t="shared" si="388"/>
        <v>8.0954064876479936</v>
      </c>
      <c r="AA431" s="67">
        <f t="shared" si="389"/>
        <v>1.9916078652682068</v>
      </c>
      <c r="AB431" s="92" t="str">
        <f t="shared" si="390"/>
        <v>-0.110001467654744+0.0264718969010835i</v>
      </c>
      <c r="AC431" s="37">
        <f t="shared" si="391"/>
        <v>-18.927532454119333</v>
      </c>
      <c r="AD431" s="60">
        <f t="shared" si="392"/>
        <v>166.46903646235205</v>
      </c>
      <c r="AE431" t="str">
        <f t="shared" si="393"/>
        <v>118.329284003155</v>
      </c>
      <c r="AF431" t="str">
        <f t="shared" si="375"/>
        <v>1+19692.6720640488i</v>
      </c>
      <c r="AG431">
        <f t="shared" si="394"/>
        <v>19692.672089438955</v>
      </c>
      <c r="AH431">
        <f t="shared" si="395"/>
        <v>1.5707455464845412</v>
      </c>
      <c r="AI431" t="str">
        <f t="shared" si="376"/>
        <v>1+46.2777793505146i</v>
      </c>
      <c r="AJ431">
        <f t="shared" si="396"/>
        <v>46.288582410945743</v>
      </c>
      <c r="AK431">
        <f t="shared" si="397"/>
        <v>1.5491910463959009</v>
      </c>
      <c r="AL431" t="str">
        <f t="shared" si="377"/>
        <v>1-3.22319897919252i</v>
      </c>
      <c r="AM431">
        <f t="shared" si="398"/>
        <v>3.3747609781238883</v>
      </c>
      <c r="AN431">
        <f t="shared" si="399"/>
        <v>-1.2699618792505896</v>
      </c>
      <c r="AO431" s="58" t="str">
        <f t="shared" si="400"/>
        <v>0.258752084771672-0.902282902667545i</v>
      </c>
      <c r="AP431">
        <f t="shared" si="401"/>
        <v>-0.5499102641421072</v>
      </c>
      <c r="AQ431" s="60">
        <f t="shared" si="402"/>
        <v>-73.998437708154924</v>
      </c>
      <c r="AR431" t="str">
        <f t="shared" si="378"/>
        <v>-1.94444444444444</v>
      </c>
      <c r="AS431" t="str">
        <f t="shared" si="379"/>
        <v>1+47.4643890774507i</v>
      </c>
      <c r="AT431">
        <f t="shared" si="403"/>
        <v>47.474922122059574</v>
      </c>
      <c r="AU431">
        <f t="shared" si="404"/>
        <v>1.5497310165845888</v>
      </c>
      <c r="AV431" t="str">
        <f t="shared" si="380"/>
        <v>1+47.4643890774507i</v>
      </c>
      <c r="AW431">
        <f t="shared" si="405"/>
        <v>47.474922122059574</v>
      </c>
      <c r="AX431">
        <f t="shared" si="406"/>
        <v>1.5497310165845888</v>
      </c>
      <c r="AY431" t="str">
        <f t="shared" si="381"/>
        <v>1-0.0000448264396913704i</v>
      </c>
      <c r="AZ431">
        <f t="shared" si="407"/>
        <v>1.0000000010047048</v>
      </c>
      <c r="BA431">
        <f t="shared" si="408"/>
        <v>-4.4826439661345505E-5</v>
      </c>
      <c r="BB431" s="58" t="str">
        <f t="shared" si="409"/>
        <v>-0.000860878778249839+0.0409482478009929i</v>
      </c>
      <c r="BC431">
        <f t="shared" si="410"/>
        <v>-27.753374426178986</v>
      </c>
      <c r="BD431" s="60">
        <f t="shared" si="411"/>
        <v>91.20438500338129</v>
      </c>
      <c r="BE431" s="58" t="str">
        <f t="shared" si="412"/>
        <v>-0.000989279864987598-0.00452715645026152i</v>
      </c>
      <c r="BF431" s="37">
        <f t="shared" si="413"/>
        <v>-46.680906880298323</v>
      </c>
      <c r="BG431" s="60">
        <f t="shared" si="414"/>
        <v>-102.32657853426666</v>
      </c>
      <c r="BH431" s="58" t="str">
        <f t="shared" si="415"/>
        <v>0.036724149706422+0.0113722006891381i</v>
      </c>
      <c r="BI431" s="37">
        <f t="shared" si="416"/>
        <v>-28.303284690321085</v>
      </c>
      <c r="BJ431" s="60">
        <f t="shared" si="417"/>
        <v>17.205947295226348</v>
      </c>
      <c r="BK431">
        <f t="shared" si="418"/>
        <v>-46.680906880298323</v>
      </c>
      <c r="BL431" s="60">
        <f t="shared" si="419"/>
        <v>-102.32657853426666</v>
      </c>
      <c r="BN431">
        <f t="shared" si="420"/>
        <v>0</v>
      </c>
      <c r="BO431">
        <f t="shared" si="421"/>
        <v>0</v>
      </c>
    </row>
    <row r="432" spans="13:67" ht="14.25" x14ac:dyDescent="0.2">
      <c r="M432" s="66">
        <v>14</v>
      </c>
      <c r="N432" s="36">
        <f t="shared" si="422"/>
        <v>138038.42646028858</v>
      </c>
      <c r="O432" s="91" t="str">
        <f t="shared" si="370"/>
        <v>99.7340425531915</v>
      </c>
      <c r="P432" s="67" t="str">
        <f t="shared" si="371"/>
        <v>1+25189.2166530301i</v>
      </c>
      <c r="Q432" s="67">
        <f t="shared" si="382"/>
        <v>25189.216672879858</v>
      </c>
      <c r="R432" s="67">
        <f t="shared" si="383"/>
        <v>1.5707566272673865</v>
      </c>
      <c r="S432" s="67" t="str">
        <f t="shared" si="372"/>
        <v>1+47.3557273076966i</v>
      </c>
      <c r="T432" s="67">
        <f t="shared" si="384"/>
        <v>47.366284515897185</v>
      </c>
      <c r="U432" s="67">
        <f t="shared" si="385"/>
        <v>1.5496826947745339</v>
      </c>
      <c r="V432" t="str">
        <f t="shared" si="373"/>
        <v>1-4.89169051310272i</v>
      </c>
      <c r="W432" s="67">
        <f t="shared" si="386"/>
        <v>4.9928585075064111</v>
      </c>
      <c r="X432" s="67">
        <f t="shared" si="387"/>
        <v>-1.3691464300730933</v>
      </c>
      <c r="Y432" t="str">
        <f t="shared" si="374"/>
        <v>-3.50996619636272+7.56126011299749i</v>
      </c>
      <c r="Z432" s="67">
        <f t="shared" si="388"/>
        <v>8.3362171994265957</v>
      </c>
      <c r="AA432" s="67">
        <f t="shared" si="389"/>
        <v>2.0053992082819052</v>
      </c>
      <c r="AB432" s="92" t="str">
        <f t="shared" si="390"/>
        <v>-0.108720772142437+0.0282278078960269i</v>
      </c>
      <c r="AC432" s="37">
        <f t="shared" si="391"/>
        <v>-18.990433656860645</v>
      </c>
      <c r="AD432" s="60">
        <f t="shared" si="392"/>
        <v>165.44532975839434</v>
      </c>
      <c r="AE432" t="str">
        <f t="shared" si="393"/>
        <v>118.329284003155</v>
      </c>
      <c r="AF432" t="str">
        <f t="shared" si="375"/>
        <v>1+20151.3733224241i</v>
      </c>
      <c r="AG432">
        <f t="shared" si="394"/>
        <v>20151.373347236302</v>
      </c>
      <c r="AH432">
        <f t="shared" si="395"/>
        <v>1.5707467023855237</v>
      </c>
      <c r="AI432" t="str">
        <f t="shared" si="376"/>
        <v>1+47.3557273076966i</v>
      </c>
      <c r="AJ432">
        <f t="shared" si="396"/>
        <v>47.366284515897185</v>
      </c>
      <c r="AK432">
        <f t="shared" si="397"/>
        <v>1.5496826947745339</v>
      </c>
      <c r="AL432" t="str">
        <f t="shared" si="377"/>
        <v>1-3.29827692813418i</v>
      </c>
      <c r="AM432">
        <f t="shared" si="398"/>
        <v>3.4465389443124304</v>
      </c>
      <c r="AN432">
        <f t="shared" si="399"/>
        <v>-1.2764167746130515</v>
      </c>
      <c r="AO432" s="58" t="str">
        <f t="shared" si="400"/>
        <v>0.258752071068653-0.923023636689359i</v>
      </c>
      <c r="AP432">
        <f t="shared" si="401"/>
        <v>-0.36719806286657558</v>
      </c>
      <c r="AQ432" s="60">
        <f t="shared" si="402"/>
        <v>-74.340172820770235</v>
      </c>
      <c r="AR432" t="str">
        <f t="shared" si="378"/>
        <v>-1.94444444444444</v>
      </c>
      <c r="AS432" t="str">
        <f t="shared" si="379"/>
        <v>1+48.5699767258425i</v>
      </c>
      <c r="AT432">
        <f t="shared" si="403"/>
        <v>48.580270060477048</v>
      </c>
      <c r="AU432">
        <f t="shared" si="404"/>
        <v>1.5502103845509179</v>
      </c>
      <c r="AV432" t="str">
        <f t="shared" si="380"/>
        <v>1+48.5699767258425i</v>
      </c>
      <c r="AW432">
        <f t="shared" si="405"/>
        <v>48.580270060477048</v>
      </c>
      <c r="AX432">
        <f t="shared" si="406"/>
        <v>1.5502103845509179</v>
      </c>
      <c r="AY432" t="str">
        <f t="shared" si="381"/>
        <v>1-0.000043806065349338i</v>
      </c>
      <c r="AZ432">
        <f t="shared" si="407"/>
        <v>1.0000000009594856</v>
      </c>
      <c r="BA432">
        <f t="shared" si="408"/>
        <v>-4.3806065321317142E-5</v>
      </c>
      <c r="BB432" s="58" t="str">
        <f t="shared" si="409"/>
        <v>-0.000822149268161079+0.0400169492801536i</v>
      </c>
      <c r="BC432">
        <f t="shared" si="410"/>
        <v>-27.953287701596299</v>
      </c>
      <c r="BD432" s="60">
        <f t="shared" si="411"/>
        <v>91.176977705220054</v>
      </c>
      <c r="BE432" s="58" t="str">
        <f t="shared" si="412"/>
        <v>-0.00104020605361442-0.00437388109612655i</v>
      </c>
      <c r="BF432" s="37">
        <f t="shared" si="413"/>
        <v>-46.943721358456934</v>
      </c>
      <c r="BG432" s="60">
        <f t="shared" si="414"/>
        <v>-103.37769253638565</v>
      </c>
      <c r="BH432" s="58" t="str">
        <f t="shared" si="415"/>
        <v>0.0367238572279167+0.0111133317114885i</v>
      </c>
      <c r="BI432" s="37">
        <f t="shared" si="416"/>
        <v>-28.320485764462887</v>
      </c>
      <c r="BJ432" s="60">
        <f t="shared" si="417"/>
        <v>16.836804884449826</v>
      </c>
      <c r="BK432">
        <f t="shared" si="418"/>
        <v>-46.943721358456934</v>
      </c>
      <c r="BL432" s="60">
        <f t="shared" si="419"/>
        <v>-103.37769253638565</v>
      </c>
      <c r="BN432">
        <f t="shared" si="420"/>
        <v>0</v>
      </c>
      <c r="BO432">
        <f t="shared" si="421"/>
        <v>0</v>
      </c>
    </row>
    <row r="433" spans="13:67" ht="14.25" x14ac:dyDescent="0.2">
      <c r="M433" s="66">
        <v>15</v>
      </c>
      <c r="N433" s="36">
        <f t="shared" si="422"/>
        <v>141253.75446227577</v>
      </c>
      <c r="O433" s="91" t="str">
        <f t="shared" si="370"/>
        <v>99.7340425531915</v>
      </c>
      <c r="P433" s="67" t="str">
        <f t="shared" si="371"/>
        <v>1+25775.9488820874i</v>
      </c>
      <c r="Q433" s="67">
        <f t="shared" si="382"/>
        <v>25775.948901485324</v>
      </c>
      <c r="R433" s="67">
        <f t="shared" si="383"/>
        <v>1.5707575309389585</v>
      </c>
      <c r="S433" s="67" t="str">
        <f t="shared" si="372"/>
        <v>1+48.4587838983243i</v>
      </c>
      <c r="T433" s="67">
        <f t="shared" si="384"/>
        <v>48.469100846874539</v>
      </c>
      <c r="U433" s="67">
        <f t="shared" si="385"/>
        <v>1.5501631617343932</v>
      </c>
      <c r="V433" t="str">
        <f t="shared" si="373"/>
        <v>1-5.00563262246427i</v>
      </c>
      <c r="W433" s="67">
        <f t="shared" si="386"/>
        <v>5.1045428738603542</v>
      </c>
      <c r="X433" s="67">
        <f t="shared" si="387"/>
        <v>-1.3736171718581107</v>
      </c>
      <c r="Y433" t="str">
        <f t="shared" si="374"/>
        <v>-3.72251435495596+7.73738448644232i</v>
      </c>
      <c r="Z433" s="67">
        <f t="shared" si="388"/>
        <v>8.5862816057878906</v>
      </c>
      <c r="AA433" s="67">
        <f t="shared" si="389"/>
        <v>2.0192160947861035</v>
      </c>
      <c r="AB433" s="92" t="str">
        <f t="shared" si="390"/>
        <v>-0.107398426100601+0.0299356653642856i</v>
      </c>
      <c r="AC433" s="37">
        <f t="shared" si="391"/>
        <v>-19.055090965713468</v>
      </c>
      <c r="AD433" s="60">
        <f t="shared" si="392"/>
        <v>164.42500279254637</v>
      </c>
      <c r="AE433" t="str">
        <f t="shared" si="393"/>
        <v>118.329284003155</v>
      </c>
      <c r="AF433" t="str">
        <f t="shared" si="375"/>
        <v>1+20620.7591056699i</v>
      </c>
      <c r="AG433">
        <f t="shared" si="394"/>
        <v>20620.759129917304</v>
      </c>
      <c r="AH433">
        <f t="shared" si="395"/>
        <v>1.5707478319749877</v>
      </c>
      <c r="AI433" t="str">
        <f t="shared" si="376"/>
        <v>1+48.4587838983243i</v>
      </c>
      <c r="AJ433">
        <f t="shared" si="396"/>
        <v>48.469100846874539</v>
      </c>
      <c r="AK433">
        <f t="shared" si="397"/>
        <v>1.5501631617343932</v>
      </c>
      <c r="AL433" t="str">
        <f t="shared" si="377"/>
        <v>1-3.37510366716101i</v>
      </c>
      <c r="AM433">
        <f t="shared" si="398"/>
        <v>3.5201313560837044</v>
      </c>
      <c r="AN433">
        <f t="shared" si="399"/>
        <v>-1.2827492460884882</v>
      </c>
      <c r="AO433" s="58" t="str">
        <f t="shared" si="400"/>
        <v>0.258752057982371-0.944253770060952i</v>
      </c>
      <c r="AP433">
        <f t="shared" si="401"/>
        <v>-0.18377159391513376</v>
      </c>
      <c r="AQ433" s="60">
        <f t="shared" si="402"/>
        <v>-74.675532701913184</v>
      </c>
      <c r="AR433" t="str">
        <f t="shared" si="378"/>
        <v>-1.94444444444444</v>
      </c>
      <c r="AS433" t="str">
        <f t="shared" si="379"/>
        <v>1+49.701316818794i</v>
      </c>
      <c r="AT433">
        <f t="shared" si="403"/>
        <v>49.711375896490075</v>
      </c>
      <c r="AU433">
        <f t="shared" si="404"/>
        <v>1.5506788499136821</v>
      </c>
      <c r="AV433" t="str">
        <f t="shared" si="380"/>
        <v>1+49.701316818794i</v>
      </c>
      <c r="AW433">
        <f t="shared" si="405"/>
        <v>49.711375896490075</v>
      </c>
      <c r="AX433">
        <f t="shared" si="406"/>
        <v>1.5506788499136821</v>
      </c>
      <c r="AY433" t="str">
        <f t="shared" si="381"/>
        <v>1-0.0000428089175629956i</v>
      </c>
      <c r="AZ433">
        <f t="shared" si="407"/>
        <v>1.0000000009163017</v>
      </c>
      <c r="BA433">
        <f t="shared" si="408"/>
        <v>-4.2808917536845012E-5</v>
      </c>
      <c r="BB433" s="58" t="str">
        <f t="shared" si="409"/>
        <v>-0.000785161429191282+0.039106796508061i</v>
      </c>
      <c r="BC433">
        <f t="shared" si="410"/>
        <v>-28.153204878646125</v>
      </c>
      <c r="BD433" s="60">
        <f t="shared" si="411"/>
        <v>91.150193749445208</v>
      </c>
      <c r="BE433" s="58" t="str">
        <f t="shared" si="412"/>
        <v>-0.00108636287200448-0.00422351272460345i</v>
      </c>
      <c r="BF433" s="37">
        <f t="shared" si="413"/>
        <v>-47.208295844359583</v>
      </c>
      <c r="BG433" s="60">
        <f t="shared" si="414"/>
        <v>-104.42480345800834</v>
      </c>
      <c r="BH433" s="58" t="str">
        <f t="shared" si="415"/>
        <v>0.0367235779020915+0.0108603557171789i</v>
      </c>
      <c r="BI433" s="37">
        <f t="shared" si="416"/>
        <v>-28.336976472561247</v>
      </c>
      <c r="BJ433" s="60">
        <f t="shared" si="417"/>
        <v>16.474661047532013</v>
      </c>
      <c r="BK433">
        <f t="shared" si="418"/>
        <v>-47.208295844359583</v>
      </c>
      <c r="BL433" s="60">
        <f t="shared" si="419"/>
        <v>-104.42480345800834</v>
      </c>
      <c r="BN433">
        <f t="shared" si="420"/>
        <v>0</v>
      </c>
      <c r="BO433">
        <f t="shared" si="421"/>
        <v>0</v>
      </c>
    </row>
    <row r="434" spans="13:67" ht="14.25" x14ac:dyDescent="0.2">
      <c r="M434" s="66">
        <v>16</v>
      </c>
      <c r="N434" s="36">
        <f t="shared" si="422"/>
        <v>144543.97707459307</v>
      </c>
      <c r="O434" s="91" t="str">
        <f t="shared" si="370"/>
        <v>99.7340425531915</v>
      </c>
      <c r="P434" s="67" t="str">
        <f t="shared" si="371"/>
        <v>1+26376.347860427i</v>
      </c>
      <c r="Q434" s="67">
        <f t="shared" si="382"/>
        <v>26376.347879383375</v>
      </c>
      <c r="R434" s="67">
        <f t="shared" si="383"/>
        <v>1.5707584140404542</v>
      </c>
      <c r="S434" s="67" t="str">
        <f t="shared" si="372"/>
        <v>1+49.5875339776027i</v>
      </c>
      <c r="T434" s="67">
        <f t="shared" si="384"/>
        <v>49.597616132026978</v>
      </c>
      <c r="U434" s="67">
        <f t="shared" si="385"/>
        <v>1.5506327011375911</v>
      </c>
      <c r="V434" t="str">
        <f t="shared" si="373"/>
        <v>1-5.12222878449962i</v>
      </c>
      <c r="W434" s="67">
        <f t="shared" si="386"/>
        <v>5.2189297485937152</v>
      </c>
      <c r="X434" s="67">
        <f t="shared" si="387"/>
        <v>-1.3779938774597127</v>
      </c>
      <c r="Y434" t="str">
        <f t="shared" si="374"/>
        <v>-3.94507959965456+7.91761132355825i</v>
      </c>
      <c r="Z434" s="67">
        <f t="shared" si="388"/>
        <v>8.8460286071518226</v>
      </c>
      <c r="AA434" s="67">
        <f t="shared" si="389"/>
        <v>2.033056085080319</v>
      </c>
      <c r="AB434" s="92" t="str">
        <f t="shared" si="390"/>
        <v>-0.106035850984211+0.0315943078024102i</v>
      </c>
      <c r="AC434" s="37">
        <f t="shared" si="391"/>
        <v>-19.121546498265147</v>
      </c>
      <c r="AD434" s="60">
        <f t="shared" si="392"/>
        <v>163.40811502917265</v>
      </c>
      <c r="AE434" t="str">
        <f t="shared" si="393"/>
        <v>118.329284003155</v>
      </c>
      <c r="AF434" t="str">
        <f t="shared" si="375"/>
        <v>1+21101.0782883416i</v>
      </c>
      <c r="AG434">
        <f t="shared" si="394"/>
        <v>21101.078312037069</v>
      </c>
      <c r="AH434">
        <f t="shared" si="395"/>
        <v>1.5707489358518563</v>
      </c>
      <c r="AI434" t="str">
        <f t="shared" si="376"/>
        <v>1+49.5875339776027i</v>
      </c>
      <c r="AJ434">
        <f t="shared" si="396"/>
        <v>49.597616132026978</v>
      </c>
      <c r="AK434">
        <f t="shared" si="397"/>
        <v>1.5506327011375911</v>
      </c>
      <c r="AL434" t="str">
        <f t="shared" si="377"/>
        <v>1-3.45371993082693i</v>
      </c>
      <c r="AM434">
        <f t="shared" si="398"/>
        <v>3.595578028716826</v>
      </c>
      <c r="AN434">
        <f t="shared" si="399"/>
        <v>-1.2889606190108853</v>
      </c>
      <c r="AO434" s="58" t="str">
        <f t="shared" si="400"/>
        <v>0.258752045485068-0.965984559280046i</v>
      </c>
      <c r="AP434">
        <f t="shared" si="401"/>
        <v>3.421663184438881E-4</v>
      </c>
      <c r="AQ434" s="60">
        <f t="shared" si="402"/>
        <v>-75.004578776715761</v>
      </c>
      <c r="AR434" t="str">
        <f t="shared" si="378"/>
        <v>-1.94444444444444</v>
      </c>
      <c r="AS434" t="str">
        <f t="shared" si="379"/>
        <v>1+50.8590092077975i</v>
      </c>
      <c r="AT434">
        <f t="shared" si="403"/>
        <v>50.868839357693538</v>
      </c>
      <c r="AU434">
        <f t="shared" si="404"/>
        <v>1.5511366602364716</v>
      </c>
      <c r="AV434" t="str">
        <f t="shared" si="380"/>
        <v>1+50.8590092077975i</v>
      </c>
      <c r="AW434">
        <f t="shared" si="405"/>
        <v>50.868839357693538</v>
      </c>
      <c r="AX434">
        <f t="shared" si="406"/>
        <v>1.5511366602364716</v>
      </c>
      <c r="AY434" t="str">
        <f t="shared" si="381"/>
        <v>1-0.0000418344676313883i</v>
      </c>
      <c r="AZ434">
        <f t="shared" si="407"/>
        <v>1.0000000008750614</v>
      </c>
      <c r="BA434">
        <f t="shared" si="408"/>
        <v>-4.183446760698315E-5</v>
      </c>
      <c r="BB434" s="58" t="str">
        <f t="shared" si="409"/>
        <v>-0.000749837000206111+0.038217311696002i</v>
      </c>
      <c r="BC434">
        <f t="shared" si="410"/>
        <v>-28.353125781868233</v>
      </c>
      <c r="BD434" s="60">
        <f t="shared" si="411"/>
        <v>91.12401898200018</v>
      </c>
      <c r="BE434" s="58" t="str">
        <f t="shared" si="412"/>
        <v>-0.00112793990468784-0.00407609574900056i</v>
      </c>
      <c r="BF434" s="37">
        <f t="shared" si="413"/>
        <v>-47.474672280133383</v>
      </c>
      <c r="BG434" s="60">
        <f t="shared" si="414"/>
        <v>-105.46786598882723</v>
      </c>
      <c r="BH434" s="58" t="str">
        <f t="shared" si="415"/>
        <v>0.0367233111379469+0.0106131385384569i</v>
      </c>
      <c r="BI434" s="37">
        <f t="shared" si="416"/>
        <v>-28.352783615549797</v>
      </c>
      <c r="BJ434" s="60">
        <f t="shared" si="417"/>
        <v>16.119440205284416</v>
      </c>
      <c r="BK434">
        <f t="shared" si="418"/>
        <v>-47.474672280133383</v>
      </c>
      <c r="BL434" s="60">
        <f t="shared" si="419"/>
        <v>-105.46786598882723</v>
      </c>
      <c r="BN434">
        <f t="shared" si="420"/>
        <v>0</v>
      </c>
      <c r="BO434">
        <f t="shared" si="421"/>
        <v>0</v>
      </c>
    </row>
    <row r="435" spans="13:67" ht="14.25" x14ac:dyDescent="0.2">
      <c r="M435" s="66">
        <v>17</v>
      </c>
      <c r="N435" s="36">
        <f t="shared" si="422"/>
        <v>147910.83881682079</v>
      </c>
      <c r="O435" s="91" t="str">
        <f t="shared" si="370"/>
        <v>99.7340425531915</v>
      </c>
      <c r="P435" s="67" t="str">
        <f t="shared" si="371"/>
        <v>1+26990.7319275343i</v>
      </c>
      <c r="Q435" s="67">
        <f t="shared" si="382"/>
        <v>26990.731946059175</v>
      </c>
      <c r="R435" s="67">
        <f t="shared" si="383"/>
        <v>1.5707592770401058</v>
      </c>
      <c r="S435" s="67" t="str">
        <f t="shared" si="372"/>
        <v>1+50.7425760237645i</v>
      </c>
      <c r="T435" s="67">
        <f t="shared" si="384"/>
        <v>50.752428725407022</v>
      </c>
      <c r="U435" s="67">
        <f t="shared" si="385"/>
        <v>1.5510915611115152</v>
      </c>
      <c r="V435" t="str">
        <f t="shared" si="373"/>
        <v>1-5.24154082003721i</v>
      </c>
      <c r="W435" s="67">
        <f t="shared" si="386"/>
        <v>5.3360800376415227</v>
      </c>
      <c r="X435" s="67">
        <f t="shared" si="387"/>
        <v>-1.3822781964384205</v>
      </c>
      <c r="Y435" t="str">
        <f t="shared" si="374"/>
        <v>-4.17813402118238+8.10203618299989i</v>
      </c>
      <c r="Z435" s="67">
        <f t="shared" si="388"/>
        <v>9.1159088526378476</v>
      </c>
      <c r="AA435" s="67">
        <f t="shared" si="389"/>
        <v>2.0469165146317243</v>
      </c>
      <c r="AB435" s="92" t="str">
        <f t="shared" si="390"/>
        <v>-0.10463454278402+0.0332026073481296i</v>
      </c>
      <c r="AC435" s="37">
        <f t="shared" si="391"/>
        <v>-19.189840967712311</v>
      </c>
      <c r="AD435" s="60">
        <f t="shared" si="392"/>
        <v>162.39473881172631</v>
      </c>
      <c r="AE435" t="str">
        <f t="shared" si="393"/>
        <v>118.329284003155</v>
      </c>
      <c r="AF435" t="str">
        <f t="shared" si="375"/>
        <v>1+21592.5855420275i</v>
      </c>
      <c r="AG435">
        <f t="shared" si="394"/>
        <v>21592.585565183595</v>
      </c>
      <c r="AH435">
        <f t="shared" si="395"/>
        <v>1.5707500146014199</v>
      </c>
      <c r="AI435" t="str">
        <f t="shared" si="376"/>
        <v>1+50.7425760237645i</v>
      </c>
      <c r="AJ435">
        <f t="shared" si="396"/>
        <v>50.752428725407022</v>
      </c>
      <c r="AK435">
        <f t="shared" si="397"/>
        <v>1.5510915611115152</v>
      </c>
      <c r="AL435" t="str">
        <f t="shared" si="377"/>
        <v>1-3.53416740251556i</v>
      </c>
      <c r="AM435">
        <f t="shared" si="398"/>
        <v>3.6729197144783305</v>
      </c>
      <c r="AN435">
        <f t="shared" si="399"/>
        <v>-1.2950522688656187</v>
      </c>
      <c r="AO435" s="58" t="str">
        <f t="shared" si="400"/>
        <v>0.258752033550237-0.988227526298729i</v>
      </c>
      <c r="AP435">
        <f t="shared" si="401"/>
        <v>0.1851170535147306</v>
      </c>
      <c r="AQ435" s="60">
        <f t="shared" si="402"/>
        <v>-75.327375671567239</v>
      </c>
      <c r="AR435" t="str">
        <f t="shared" si="378"/>
        <v>-1.94444444444444</v>
      </c>
      <c r="AS435" t="str">
        <f t="shared" si="379"/>
        <v>1+52.0436677166814i</v>
      </c>
      <c r="AT435">
        <f t="shared" si="403"/>
        <v>52.05327414682332</v>
      </c>
      <c r="AU435">
        <f t="shared" si="404"/>
        <v>1.5515840574883182</v>
      </c>
      <c r="AV435" t="str">
        <f t="shared" si="380"/>
        <v>1+52.0436677166814i</v>
      </c>
      <c r="AW435">
        <f t="shared" si="405"/>
        <v>52.05327414682332</v>
      </c>
      <c r="AX435">
        <f t="shared" si="406"/>
        <v>1.5515840574883182</v>
      </c>
      <c r="AY435" t="str">
        <f t="shared" si="381"/>
        <v>1-0.0000408821988882638i</v>
      </c>
      <c r="AZ435">
        <f t="shared" si="407"/>
        <v>1.0000000008356771</v>
      </c>
      <c r="BA435">
        <f t="shared" si="408"/>
        <v>-4.0882198865487587E-5</v>
      </c>
      <c r="BB435" s="58" t="str">
        <f t="shared" si="409"/>
        <v>-0.00071610123123948+0.0373480276946389i</v>
      </c>
      <c r="BC435">
        <f t="shared" si="410"/>
        <v>-28.553050243686933</v>
      </c>
      <c r="BD435" s="60">
        <f t="shared" si="411"/>
        <v>91.09843956868346</v>
      </c>
      <c r="BE435" s="58" t="str">
        <f t="shared" si="412"/>
        <v>-0.00116512297385435-0.00393167022971581i</v>
      </c>
      <c r="BF435" s="37">
        <f t="shared" si="413"/>
        <v>-47.742891211399254</v>
      </c>
      <c r="BG435" s="60">
        <f t="shared" si="414"/>
        <v>-106.50682161959024</v>
      </c>
      <c r="BH435" s="58" t="str">
        <f t="shared" si="415"/>
        <v>0.0367230563709984+0.0103715490634057i</v>
      </c>
      <c r="BI435" s="37">
        <f t="shared" si="416"/>
        <v>-28.367933190172195</v>
      </c>
      <c r="BJ435" s="60">
        <f t="shared" si="417"/>
        <v>15.771063897116303</v>
      </c>
      <c r="BK435">
        <f t="shared" si="418"/>
        <v>-47.742891211399254</v>
      </c>
      <c r="BL435" s="60">
        <f t="shared" si="419"/>
        <v>-106.50682161959024</v>
      </c>
      <c r="BN435">
        <f t="shared" si="420"/>
        <v>0</v>
      </c>
      <c r="BO435">
        <f t="shared" si="421"/>
        <v>0</v>
      </c>
    </row>
    <row r="436" spans="13:67" ht="14.25" x14ac:dyDescent="0.2">
      <c r="M436" s="66">
        <v>18</v>
      </c>
      <c r="N436" s="36">
        <f t="shared" si="422"/>
        <v>151356.12484362084</v>
      </c>
      <c r="O436" s="91" t="str">
        <f t="shared" si="370"/>
        <v>99.7340425531915</v>
      </c>
      <c r="P436" s="67" t="str">
        <f t="shared" si="371"/>
        <v>1+27619.4268379743i</v>
      </c>
      <c r="Q436" s="67">
        <f t="shared" si="382"/>
        <v>27619.426856077502</v>
      </c>
      <c r="R436" s="67">
        <f t="shared" si="383"/>
        <v>1.5707601203954868</v>
      </c>
      <c r="S436" s="67" t="str">
        <f t="shared" si="372"/>
        <v>1+51.9245224553917i</v>
      </c>
      <c r="T436" s="67">
        <f t="shared" si="384"/>
        <v>51.934150924227851</v>
      </c>
      <c r="U436" s="67">
        <f t="shared" si="385"/>
        <v>1.551539984176441</v>
      </c>
      <c r="V436" t="str">
        <f t="shared" si="373"/>
        <v>1-5.3636319898976i</v>
      </c>
      <c r="W436" s="67">
        <f t="shared" si="386"/>
        <v>5.4560560960324525</v>
      </c>
      <c r="X436" s="67">
        <f t="shared" si="387"/>
        <v>-1.386471770970487</v>
      </c>
      <c r="Y436" t="str">
        <f t="shared" si="374"/>
        <v>-4.42217195921367+8.2907568492689i</v>
      </c>
      <c r="Z436" s="67">
        <f t="shared" si="388"/>
        <v>9.3963957968231018</v>
      </c>
      <c r="AA436" s="67">
        <f t="shared" si="389"/>
        <v>2.0607944984598472</v>
      </c>
      <c r="AB436" s="92" t="str">
        <f t="shared" si="390"/>
        <v>-0.103196071841614+0.0347594760885283i</v>
      </c>
      <c r="AC436" s="37">
        <f t="shared" si="391"/>
        <v>-19.260013573521974</v>
      </c>
      <c r="AD436" s="60">
        <f t="shared" si="392"/>
        <v>161.3849592168159</v>
      </c>
      <c r="AE436" t="str">
        <f t="shared" si="393"/>
        <v>118.329284003155</v>
      </c>
      <c r="AF436" t="str">
        <f t="shared" si="375"/>
        <v>1+22095.5414703794i</v>
      </c>
      <c r="AG436">
        <f t="shared" si="394"/>
        <v>22095.541493008401</v>
      </c>
      <c r="AH436">
        <f t="shared" si="395"/>
        <v>1.5707510687956456</v>
      </c>
      <c r="AI436" t="str">
        <f t="shared" si="376"/>
        <v>1+51.9245224553917i</v>
      </c>
      <c r="AJ436">
        <f t="shared" si="396"/>
        <v>51.934150924227851</v>
      </c>
      <c r="AK436">
        <f t="shared" si="397"/>
        <v>1.551539984176441</v>
      </c>
      <c r="AL436" t="str">
        <f t="shared" si="377"/>
        <v>1-3.61648873654125i</v>
      </c>
      <c r="AM436">
        <f t="shared" si="398"/>
        <v>3.7521981266358697</v>
      </c>
      <c r="AN436">
        <f t="shared" si="399"/>
        <v>-1.3010256164217326</v>
      </c>
      <c r="AO436" s="58" t="str">
        <f t="shared" si="400"/>
        <v>0.258752022152562-1.01099446463256i</v>
      </c>
      <c r="AP436">
        <f t="shared" si="401"/>
        <v>0.37052770810437785</v>
      </c>
      <c r="AQ436" s="60">
        <f t="shared" si="402"/>
        <v>-75.643990927920811</v>
      </c>
      <c r="AR436" t="str">
        <f t="shared" si="378"/>
        <v>-1.94444444444444</v>
      </c>
      <c r="AS436" t="str">
        <f t="shared" si="379"/>
        <v>1+53.2559204670682i</v>
      </c>
      <c r="AT436">
        <f t="shared" si="403"/>
        <v>53.265308267151639</v>
      </c>
      <c r="AU436">
        <f t="shared" si="404"/>
        <v>1.5520212781683325</v>
      </c>
      <c r="AV436" t="str">
        <f t="shared" si="380"/>
        <v>1+53.2559204670682i</v>
      </c>
      <c r="AW436">
        <f t="shared" si="405"/>
        <v>53.265308267151639</v>
      </c>
      <c r="AX436">
        <f t="shared" si="406"/>
        <v>1.5520212781683325</v>
      </c>
      <c r="AY436" t="str">
        <f t="shared" si="381"/>
        <v>1-0.0000399516064281296i</v>
      </c>
      <c r="AZ436">
        <f t="shared" si="407"/>
        <v>1.0000000007980654</v>
      </c>
      <c r="BA436">
        <f t="shared" si="408"/>
        <v>-3.99516064068736E-5</v>
      </c>
      <c r="BB436" s="58" t="str">
        <f t="shared" si="409"/>
        <v>-0.000683882726445901+0.0364984877675705i</v>
      </c>
      <c r="BC436">
        <f t="shared" si="410"/>
        <v>-28.752978104057338</v>
      </c>
      <c r="BD436" s="60">
        <f t="shared" si="411"/>
        <v>91.073441988023134</v>
      </c>
      <c r="BE436" s="58" t="str">
        <f t="shared" si="412"/>
        <v>-0.00119809430185476-0.00379027197104973i</v>
      </c>
      <c r="BF436" s="37">
        <f t="shared" si="413"/>
        <v>-48.012991677579315</v>
      </c>
      <c r="BG436" s="60">
        <f t="shared" si="414"/>
        <v>-107.54159879516095</v>
      </c>
      <c r="BH436" s="58" t="str">
        <f t="shared" si="415"/>
        <v>0.0367228130620899+0.010135459166264i</v>
      </c>
      <c r="BI436" s="37">
        <f t="shared" si="416"/>
        <v>-28.382450395952961</v>
      </c>
      <c r="BJ436" s="60">
        <f t="shared" si="417"/>
        <v>15.429451060102267</v>
      </c>
      <c r="BK436">
        <f t="shared" si="418"/>
        <v>-48.012991677579315</v>
      </c>
      <c r="BL436" s="60">
        <f t="shared" si="419"/>
        <v>-107.54159879516095</v>
      </c>
      <c r="BN436">
        <f t="shared" si="420"/>
        <v>0</v>
      </c>
      <c r="BO436">
        <f t="shared" si="421"/>
        <v>0</v>
      </c>
    </row>
    <row r="437" spans="13:67" ht="14.25" x14ac:dyDescent="0.2">
      <c r="M437" s="66">
        <v>19</v>
      </c>
      <c r="N437" s="36">
        <f t="shared" si="422"/>
        <v>154881.66189124843</v>
      </c>
      <c r="O437" s="91" t="str">
        <f t="shared" si="370"/>
        <v>99.7340425531915</v>
      </c>
      <c r="P437" s="67" t="str">
        <f t="shared" si="371"/>
        <v>1+28262.7659341101i</v>
      </c>
      <c r="Q437" s="67">
        <f t="shared" si="382"/>
        <v>28262.765951801219</v>
      </c>
      <c r="R437" s="67">
        <f t="shared" si="383"/>
        <v>1.570760944553756</v>
      </c>
      <c r="S437" s="67" t="str">
        <f t="shared" si="372"/>
        <v>1+53.1339999561271i</v>
      </c>
      <c r="T437" s="67">
        <f t="shared" si="384"/>
        <v>53.143409293511787</v>
      </c>
      <c r="U437" s="67">
        <f t="shared" si="385"/>
        <v>1.5519782073704369</v>
      </c>
      <c r="V437" t="str">
        <f t="shared" si="373"/>
        <v>1-5.4885670284351i</v>
      </c>
      <c r="W437" s="67">
        <f t="shared" si="386"/>
        <v>5.5789217619200322</v>
      </c>
      <c r="X437" s="67">
        <f t="shared" si="387"/>
        <v>-1.3905762342697359</v>
      </c>
      <c r="Y437" t="str">
        <f t="shared" si="374"/>
        <v>-4.67771105093374+8.48387338456054i</v>
      </c>
      <c r="Z437" s="67">
        <f t="shared" si="388"/>
        <v>9.6879868022867566</v>
      </c>
      <c r="AA437" s="67">
        <f t="shared" si="389"/>
        <v>2.0746869365653051</v>
      </c>
      <c r="AB437" s="92" t="str">
        <f t="shared" si="390"/>
        <v>-0.101722082056921+0.036263872473032i</v>
      </c>
      <c r="AC437" s="37">
        <f t="shared" si="391"/>
        <v>-19.332101893598839</v>
      </c>
      <c r="AD437" s="60">
        <f t="shared" si="392"/>
        <v>160.37887384072323</v>
      </c>
      <c r="AE437" t="str">
        <f t="shared" si="393"/>
        <v>118.329284003155</v>
      </c>
      <c r="AF437" t="str">
        <f t="shared" si="375"/>
        <v>1+22610.2127472881i</v>
      </c>
      <c r="AG437">
        <f t="shared" si="394"/>
        <v>22610.212769402002</v>
      </c>
      <c r="AH437">
        <f t="shared" si="395"/>
        <v>1.5707520989934811</v>
      </c>
      <c r="AI437" t="str">
        <f t="shared" si="376"/>
        <v>1+53.1339999561271i</v>
      </c>
      <c r="AJ437">
        <f t="shared" si="396"/>
        <v>53.143409293511787</v>
      </c>
      <c r="AK437">
        <f t="shared" si="397"/>
        <v>1.5519782073704369</v>
      </c>
      <c r="AL437" t="str">
        <f t="shared" si="377"/>
        <v>1-3.70072758076495i</v>
      </c>
      <c r="AM437">
        <f t="shared" si="398"/>
        <v>3.8334559638835555</v>
      </c>
      <c r="AN437">
        <f t="shared" si="399"/>
        <v>-1.3068821230775884</v>
      </c>
      <c r="AO437" s="58" t="str">
        <f t="shared" si="400"/>
        <v>0.258752011267867-1.03429744561357i</v>
      </c>
      <c r="AP437">
        <f t="shared" si="401"/>
        <v>0.5565495663913973</v>
      </c>
      <c r="AQ437" s="60">
        <f t="shared" si="402"/>
        <v>-75.954494728478821</v>
      </c>
      <c r="AR437" t="str">
        <f t="shared" si="378"/>
        <v>-1.94444444444444</v>
      </c>
      <c r="AS437" t="str">
        <f t="shared" si="379"/>
        <v>1+54.4964102114122i</v>
      </c>
      <c r="AT437">
        <f t="shared" si="403"/>
        <v>54.505584355463164</v>
      </c>
      <c r="AU437">
        <f t="shared" si="404"/>
        <v>1.5524485534276831</v>
      </c>
      <c r="AV437" t="str">
        <f t="shared" si="380"/>
        <v>1+54.4964102114122i</v>
      </c>
      <c r="AW437">
        <f t="shared" si="405"/>
        <v>54.505584355463164</v>
      </c>
      <c r="AX437">
        <f t="shared" si="406"/>
        <v>1.5524485534276831</v>
      </c>
      <c r="AY437" t="str">
        <f t="shared" si="381"/>
        <v>1-0.0000390421968385456i</v>
      </c>
      <c r="AZ437">
        <f t="shared" si="407"/>
        <v>1.0000000007621466</v>
      </c>
      <c r="BA437">
        <f t="shared" si="408"/>
        <v>-3.9042196818708348E-5</v>
      </c>
      <c r="BB437" s="58" t="str">
        <f t="shared" si="409"/>
        <v>-0.000653113294035033+0.0356682453690014i</v>
      </c>
      <c r="BC437">
        <f t="shared" si="410"/>
        <v>-28.952909210127316</v>
      </c>
      <c r="BD437" s="60">
        <f t="shared" si="411"/>
        <v>91.04901302430325</v>
      </c>
      <c r="BE437" s="58" t="str">
        <f t="shared" si="412"/>
        <v>-0.00122703265730998-0.00365193259945728i</v>
      </c>
      <c r="BF437" s="37">
        <f t="shared" si="413"/>
        <v>-48.285011103726163</v>
      </c>
      <c r="BG437" s="60">
        <f t="shared" si="414"/>
        <v>-108.57211313497345</v>
      </c>
      <c r="BH437" s="58" t="str">
        <f t="shared" si="415"/>
        <v>0.0367225806962589+0.0099047436393416i</v>
      </c>
      <c r="BI437" s="37">
        <f t="shared" si="416"/>
        <v>-28.396359643735906</v>
      </c>
      <c r="BJ437" s="60">
        <f t="shared" si="417"/>
        <v>15.094518295824416</v>
      </c>
      <c r="BK437">
        <f t="shared" si="418"/>
        <v>-48.285011103726163</v>
      </c>
      <c r="BL437" s="60">
        <f t="shared" si="419"/>
        <v>-108.57211313497345</v>
      </c>
      <c r="BN437">
        <f t="shared" si="420"/>
        <v>0</v>
      </c>
      <c r="BO437">
        <f t="shared" si="421"/>
        <v>0</v>
      </c>
    </row>
    <row r="438" spans="13:67" ht="14.25" x14ac:dyDescent="0.2">
      <c r="M438" s="66">
        <v>20</v>
      </c>
      <c r="N438" s="36">
        <f t="shared" si="422"/>
        <v>158489.31924611164</v>
      </c>
      <c r="O438" s="91" t="str">
        <f t="shared" si="370"/>
        <v>99.7340425531915</v>
      </c>
      <c r="P438" s="67" t="str">
        <f t="shared" si="371"/>
        <v>1+28921.0903228461i</v>
      </c>
      <c r="Q438" s="67">
        <f t="shared" si="382"/>
        <v>28921.090340134517</v>
      </c>
      <c r="R438" s="67">
        <f t="shared" si="383"/>
        <v>1.5707617499518924</v>
      </c>
      <c r="S438" s="67" t="str">
        <f t="shared" si="372"/>
        <v>1+54.3716498069507i</v>
      </c>
      <c r="T438" s="67">
        <f t="shared" si="384"/>
        <v>54.380844998305072</v>
      </c>
      <c r="U438" s="67">
        <f t="shared" si="385"/>
        <v>1.552406462371605</v>
      </c>
      <c r="V438" t="str">
        <f t="shared" si="373"/>
        <v>1-5.61641217786084i</v>
      </c>
      <c r="W438" s="67">
        <f t="shared" si="386"/>
        <v>5.7047423913463042</v>
      </c>
      <c r="X438" s="67">
        <f t="shared" si="387"/>
        <v>-1.3945932091351394</v>
      </c>
      <c r="Y438" t="str">
        <f t="shared" si="374"/>
        <v>-4.94529332901678+8.681488181818i</v>
      </c>
      <c r="Z438" s="67">
        <f t="shared" si="388"/>
        <v>9.9912042898273015</v>
      </c>
      <c r="AA438" s="67">
        <f t="shared" si="389"/>
        <v>2.0885905204025623</v>
      </c>
      <c r="AB438" s="92" t="str">
        <f t="shared" si="390"/>
        <v>-0.100214289469833+0.0377148077695351i</v>
      </c>
      <c r="AC438" s="37">
        <f t="shared" si="391"/>
        <v>-19.406141778670111</v>
      </c>
      <c r="AD438" s="60">
        <f t="shared" si="392"/>
        <v>159.37659251875266</v>
      </c>
      <c r="AE438" t="str">
        <f t="shared" si="393"/>
        <v>118.329284003155</v>
      </c>
      <c r="AF438" t="str">
        <f t="shared" si="375"/>
        <v>1+23136.8722582769i</v>
      </c>
      <c r="AG438">
        <f t="shared" si="394"/>
        <v>23136.872279887426</v>
      </c>
      <c r="AH438">
        <f t="shared" si="395"/>
        <v>1.5707531057411512</v>
      </c>
      <c r="AI438" t="str">
        <f t="shared" si="376"/>
        <v>1+54.3716498069507i</v>
      </c>
      <c r="AJ438">
        <f t="shared" si="396"/>
        <v>54.380844998305072</v>
      </c>
      <c r="AK438">
        <f t="shared" si="397"/>
        <v>1.552406462371605</v>
      </c>
      <c r="AL438" t="str">
        <f t="shared" si="377"/>
        <v>1-3.78692859973688i</v>
      </c>
      <c r="AM438">
        <f t="shared" si="398"/>
        <v>3.916736935193009</v>
      </c>
      <c r="AN438">
        <f t="shared" si="399"/>
        <v>-1.3126232864199963</v>
      </c>
      <c r="AO438" s="58" t="str">
        <f t="shared" si="400"/>
        <v>0.258752000873063-1.05814882479076i</v>
      </c>
      <c r="AP438">
        <f t="shared" si="401"/>
        <v>0.74315885028822248</v>
      </c>
      <c r="AQ438" s="60">
        <f t="shared" si="402"/>
        <v>-76.25895963576437</v>
      </c>
      <c r="AR438" t="str">
        <f t="shared" si="378"/>
        <v>-1.94444444444444</v>
      </c>
      <c r="AS438" t="str">
        <f t="shared" si="379"/>
        <v>1+55.7657946737954i</v>
      </c>
      <c r="AT438">
        <f t="shared" si="403"/>
        <v>55.774760022790836</v>
      </c>
      <c r="AU438">
        <f t="shared" si="404"/>
        <v>1.5528661091889691</v>
      </c>
      <c r="AV438" t="str">
        <f t="shared" si="380"/>
        <v>1+55.7657946737954i</v>
      </c>
      <c r="AW438">
        <f t="shared" si="405"/>
        <v>55.774760022790836</v>
      </c>
      <c r="AX438">
        <f t="shared" si="406"/>
        <v>1.5528661091889691</v>
      </c>
      <c r="AY438" t="str">
        <f t="shared" si="381"/>
        <v>1-0.0000381534879385101i</v>
      </c>
      <c r="AZ438">
        <f t="shared" si="407"/>
        <v>1.0000000007278442</v>
      </c>
      <c r="BA438">
        <f t="shared" si="408"/>
        <v>-3.8153487919996898E-5</v>
      </c>
      <c r="BB438" s="58" t="str">
        <f t="shared" si="409"/>
        <v>-0.000623727802881664+0.0348568639254946i</v>
      </c>
      <c r="BC438">
        <f t="shared" si="410"/>
        <v>-29.152843415914639</v>
      </c>
      <c r="BD438" s="60">
        <f t="shared" si="411"/>
        <v>91.025139760739293</v>
      </c>
      <c r="BE438" s="58" t="str">
        <f t="shared" si="412"/>
        <v>-0.00125211348381051-0.00351667962562629i</v>
      </c>
      <c r="BF438" s="37">
        <f t="shared" si="413"/>
        <v>-48.558985194584743</v>
      </c>
      <c r="BG438" s="60">
        <f t="shared" si="414"/>
        <v>-109.5982677205081</v>
      </c>
      <c r="BH438" s="58" t="str">
        <f t="shared" si="415"/>
        <v>0.0367223587816578+0.00967928012649037i</v>
      </c>
      <c r="BI438" s="37">
        <f t="shared" si="416"/>
        <v>-28.409684565626407</v>
      </c>
      <c r="BJ438" s="60">
        <f t="shared" si="417"/>
        <v>14.766180124974909</v>
      </c>
      <c r="BK438">
        <f t="shared" si="418"/>
        <v>-48.558985194584743</v>
      </c>
      <c r="BL438" s="60">
        <f t="shared" si="419"/>
        <v>-109.5982677205081</v>
      </c>
      <c r="BN438">
        <f t="shared" si="420"/>
        <v>0</v>
      </c>
      <c r="BO438">
        <f t="shared" si="421"/>
        <v>0</v>
      </c>
    </row>
    <row r="439" spans="13:67" ht="14.25" x14ac:dyDescent="0.2">
      <c r="M439" s="66">
        <v>21</v>
      </c>
      <c r="N439" s="36">
        <f t="shared" si="422"/>
        <v>162181.00973589328</v>
      </c>
      <c r="O439" s="91" t="str">
        <f t="shared" si="370"/>
        <v>99.7340425531915</v>
      </c>
      <c r="P439" s="67" t="str">
        <f t="shared" si="371"/>
        <v>1+29594.749056487i</v>
      </c>
      <c r="Q439" s="67">
        <f t="shared" si="382"/>
        <v>29594.749073381885</v>
      </c>
      <c r="R439" s="67">
        <f t="shared" si="383"/>
        <v>1.5707625370169291</v>
      </c>
      <c r="S439" s="67" t="str">
        <f t="shared" si="372"/>
        <v>1+55.6381282261956i</v>
      </c>
      <c r="T439" s="67">
        <f t="shared" si="384"/>
        <v>55.647114143633573</v>
      </c>
      <c r="U439" s="67">
        <f t="shared" si="385"/>
        <v>1.5528249756177113</v>
      </c>
      <c r="V439" t="str">
        <f t="shared" si="373"/>
        <v>1-5.74723522336526i</v>
      </c>
      <c r="W439" s="67">
        <f t="shared" si="386"/>
        <v>5.8335848937587542</v>
      </c>
      <c r="X439" s="67">
        <f t="shared" si="387"/>
        <v>-1.3985243066178583</v>
      </c>
      <c r="Y439" t="str">
        <f t="shared" si="374"/>
        <v>-5.22548637134999+8.88370601902251i</v>
      </c>
      <c r="Z439" s="67">
        <f t="shared" si="388"/>
        <v>10.30659693834882</v>
      </c>
      <c r="AA439" s="67">
        <f t="shared" si="389"/>
        <v>2.1025017403884076</v>
      </c>
      <c r="AB439" s="92" t="str">
        <f t="shared" si="390"/>
        <v>-0.098674480204228+0.0391113524990825i</v>
      </c>
      <c r="AC439" s="37">
        <f t="shared" si="391"/>
        <v>-19.482167249618506</v>
      </c>
      <c r="AD439" s="60">
        <f t="shared" si="392"/>
        <v>158.37823697823885</v>
      </c>
      <c r="AE439" t="str">
        <f t="shared" si="393"/>
        <v>118.329284003155</v>
      </c>
      <c r="AF439" t="str">
        <f t="shared" si="375"/>
        <v>1+23675.7992451896i</v>
      </c>
      <c r="AG439">
        <f t="shared" si="394"/>
        <v>23675.799266308208</v>
      </c>
      <c r="AH439">
        <f t="shared" si="395"/>
        <v>1.5707540895724463</v>
      </c>
      <c r="AI439" t="str">
        <f t="shared" si="376"/>
        <v>1+55.6381282261956i</v>
      </c>
      <c r="AJ439">
        <f t="shared" si="396"/>
        <v>55.647114143633573</v>
      </c>
      <c r="AK439">
        <f t="shared" si="397"/>
        <v>1.5528249756177113</v>
      </c>
      <c r="AL439" t="str">
        <f t="shared" si="377"/>
        <v>1-3.8751374983783i</v>
      </c>
      <c r="AM439">
        <f t="shared" si="398"/>
        <v>4.0020857851047662</v>
      </c>
      <c r="AN439">
        <f t="shared" si="399"/>
        <v>-1.3182506359958288</v>
      </c>
      <c r="AO439" s="58" t="str">
        <f t="shared" si="400"/>
        <v>0.258751990946103-1.08256124848105i</v>
      </c>
      <c r="AP439">
        <f t="shared" si="401"/>
        <v>0.93033255581263297</v>
      </c>
      <c r="AQ439" s="60">
        <f t="shared" si="402"/>
        <v>-76.557460343012991</v>
      </c>
      <c r="AR439" t="str">
        <f t="shared" si="378"/>
        <v>-1.94444444444444</v>
      </c>
      <c r="AS439" t="str">
        <f t="shared" si="379"/>
        <v>1+57.064746898662i</v>
      </c>
      <c r="AT439">
        <f t="shared" si="403"/>
        <v>57.073508203091514</v>
      </c>
      <c r="AU439">
        <f t="shared" si="404"/>
        <v>1.5532741662630318</v>
      </c>
      <c r="AV439" t="str">
        <f t="shared" si="380"/>
        <v>1+57.064746898662i</v>
      </c>
      <c r="AW439">
        <f t="shared" si="405"/>
        <v>57.073508203091514</v>
      </c>
      <c r="AX439">
        <f t="shared" si="406"/>
        <v>1.5532741662630318</v>
      </c>
      <c r="AY439" t="str">
        <f t="shared" si="381"/>
        <v>1-0.0000372850085228008i</v>
      </c>
      <c r="AZ439">
        <f t="shared" si="407"/>
        <v>1.0000000006950858</v>
      </c>
      <c r="BA439">
        <f t="shared" si="408"/>
        <v>-3.7285008505523278E-5</v>
      </c>
      <c r="BB439" s="58" t="str">
        <f t="shared" si="409"/>
        <v>-0.000595664045517608+0.0340639166217786i</v>
      </c>
      <c r="BC439">
        <f t="shared" si="410"/>
        <v>-29.3527805819988</v>
      </c>
      <c r="BD439" s="60">
        <f t="shared" si="411"/>
        <v>91.001809572800084</v>
      </c>
      <c r="BE439" s="58" t="str">
        <f t="shared" si="412"/>
        <v>-0.00127350901042594-0.00338453649282943i</v>
      </c>
      <c r="BF439" s="37">
        <f t="shared" si="413"/>
        <v>-48.834947831617313</v>
      </c>
      <c r="BG439" s="60">
        <f t="shared" si="414"/>
        <v>-110.61995344896106</v>
      </c>
      <c r="BH439" s="58" t="str">
        <f t="shared" si="415"/>
        <v>0.0367221468485143+0.00945894905809808i</v>
      </c>
      <c r="BI439" s="37">
        <f t="shared" si="416"/>
        <v>-28.422448026186178</v>
      </c>
      <c r="BJ439" s="60">
        <f t="shared" si="417"/>
        <v>14.444349229787118</v>
      </c>
      <c r="BK439">
        <f t="shared" si="418"/>
        <v>-48.834947831617313</v>
      </c>
      <c r="BL439" s="60">
        <f t="shared" si="419"/>
        <v>-110.61995344896106</v>
      </c>
      <c r="BN439">
        <f t="shared" si="420"/>
        <v>0</v>
      </c>
      <c r="BO439">
        <f t="shared" si="421"/>
        <v>0</v>
      </c>
    </row>
    <row r="440" spans="13:67" ht="14.25" x14ac:dyDescent="0.2">
      <c r="M440" s="66">
        <v>22</v>
      </c>
      <c r="N440" s="36">
        <f t="shared" si="422"/>
        <v>165958.69074375604</v>
      </c>
      <c r="O440" s="91" t="str">
        <f t="shared" si="370"/>
        <v>99.7340425531915</v>
      </c>
      <c r="P440" s="67" t="str">
        <f t="shared" si="371"/>
        <v>1+30284.0993178108i</v>
      </c>
      <c r="Q440" s="67">
        <f t="shared" si="382"/>
        <v>30284.099334321116</v>
      </c>
      <c r="R440" s="67">
        <f t="shared" si="383"/>
        <v>1.5707633061661785</v>
      </c>
      <c r="S440" s="67" t="str">
        <f t="shared" si="372"/>
        <v>1+56.9341067174842i</v>
      </c>
      <c r="T440" s="67">
        <f t="shared" si="384"/>
        <v>56.942888122379948</v>
      </c>
      <c r="U440" s="67">
        <f t="shared" si="385"/>
        <v>1.5532339684232503</v>
      </c>
      <c r="V440" t="str">
        <f t="shared" si="373"/>
        <v>1-5.88110552905881i</v>
      </c>
      <c r="W440" s="67">
        <f t="shared" si="386"/>
        <v>5.965517768301936</v>
      </c>
      <c r="X440" s="67">
        <f t="shared" si="387"/>
        <v>-1.4023711248016113</v>
      </c>
      <c r="Y440" t="str">
        <f t="shared" si="374"/>
        <v>-5.51888450494241+9.09063411474812i</v>
      </c>
      <c r="Z440" s="67">
        <f t="shared" si="388"/>
        <v>10.634740936530411</v>
      </c>
      <c r="AA440" s="67">
        <f t="shared" si="389"/>
        <v>2.1164168944290389</v>
      </c>
      <c r="AB440" s="92" t="str">
        <f t="shared" si="390"/>
        <v>-0.0971045077698411+0.0404526427822914i</v>
      </c>
      <c r="AC440" s="37">
        <f t="shared" si="391"/>
        <v>-19.560210398504697</v>
      </c>
      <c r="AD440" s="60">
        <f t="shared" si="392"/>
        <v>157.38394042655582</v>
      </c>
      <c r="AE440" t="str">
        <f t="shared" si="393"/>
        <v>118.329284003155</v>
      </c>
      <c r="AF440" t="str">
        <f t="shared" si="375"/>
        <v>1+24227.2794542486i</v>
      </c>
      <c r="AG440">
        <f t="shared" si="394"/>
        <v>24227.279474886494</v>
      </c>
      <c r="AH440">
        <f t="shared" si="395"/>
        <v>1.5707550510090074</v>
      </c>
      <c r="AI440" t="str">
        <f t="shared" si="376"/>
        <v>1+56.9341067174842i</v>
      </c>
      <c r="AJ440">
        <f t="shared" si="396"/>
        <v>56.942888122379948</v>
      </c>
      <c r="AK440">
        <f t="shared" si="397"/>
        <v>1.5532339684232503</v>
      </c>
      <c r="AL440" t="str">
        <f t="shared" si="377"/>
        <v>1-3.9654010462149i</v>
      </c>
      <c r="AM440">
        <f t="shared" si="398"/>
        <v>4.0895483194751741</v>
      </c>
      <c r="AN440">
        <f t="shared" si="399"/>
        <v>-1.3237657292941207</v>
      </c>
      <c r="AO440" s="58" t="str">
        <f t="shared" si="400"/>
        <v>0.258751981465929-1.10754766047465i</v>
      </c>
      <c r="AP440">
        <f t="shared" si="401"/>
        <v>1.1180484404959565</v>
      </c>
      <c r="AQ440" s="60">
        <f t="shared" si="402"/>
        <v>-76.850073437274574</v>
      </c>
      <c r="AR440" t="str">
        <f t="shared" si="378"/>
        <v>-1.94444444444444</v>
      </c>
      <c r="AS440" t="str">
        <f t="shared" si="379"/>
        <v>1+58.3939556076759i</v>
      </c>
      <c r="AT440">
        <f t="shared" si="403"/>
        <v>58.402517510045953</v>
      </c>
      <c r="AU440">
        <f t="shared" si="404"/>
        <v>1.553672940463255</v>
      </c>
      <c r="AV440" t="str">
        <f t="shared" si="380"/>
        <v>1+58.3939556076759i</v>
      </c>
      <c r="AW440">
        <f t="shared" si="405"/>
        <v>58.402517510045953</v>
      </c>
      <c r="AX440">
        <f t="shared" si="406"/>
        <v>1.553672940463255</v>
      </c>
      <c r="AY440" t="str">
        <f t="shared" si="381"/>
        <v>1-0.0000364362981121354i</v>
      </c>
      <c r="AZ440">
        <f t="shared" si="407"/>
        <v>1.0000000006638019</v>
      </c>
      <c r="BA440">
        <f t="shared" si="408"/>
        <v>-3.643629809601108E-5</v>
      </c>
      <c r="BB440" s="58" t="str">
        <f t="shared" si="409"/>
        <v>-0.00056886260722458+0.0332889861905792i</v>
      </c>
      <c r="BC440">
        <f t="shared" si="410"/>
        <v>-29.55272057522642</v>
      </c>
      <c r="BD440" s="60">
        <f t="shared" si="411"/>
        <v>90.979010121673085</v>
      </c>
      <c r="BE440" s="58" t="str">
        <f t="shared" si="412"/>
        <v>-0.00129138834348892-0.00325552261403549i</v>
      </c>
      <c r="BF440" s="37">
        <f t="shared" si="413"/>
        <v>-49.11293097373111</v>
      </c>
      <c r="BG440" s="60">
        <f t="shared" si="414"/>
        <v>-111.63704945177106</v>
      </c>
      <c r="BH440" s="58" t="str">
        <f t="shared" si="415"/>
        <v>0.0367219444481477+0.00924363358756741i</v>
      </c>
      <c r="BI440" s="37">
        <f t="shared" si="416"/>
        <v>-28.434672134730459</v>
      </c>
      <c r="BJ440" s="60">
        <f t="shared" si="417"/>
        <v>14.128936684398502</v>
      </c>
      <c r="BK440">
        <f t="shared" si="418"/>
        <v>-49.11293097373111</v>
      </c>
      <c r="BL440" s="60">
        <f t="shared" si="419"/>
        <v>-111.63704945177106</v>
      </c>
      <c r="BN440">
        <f t="shared" si="420"/>
        <v>0</v>
      </c>
      <c r="BO440">
        <f t="shared" si="421"/>
        <v>0</v>
      </c>
    </row>
    <row r="441" spans="13:67" ht="14.25" x14ac:dyDescent="0.2">
      <c r="M441" s="66">
        <v>23</v>
      </c>
      <c r="N441" s="36">
        <f t="shared" si="422"/>
        <v>169824.36524617471</v>
      </c>
      <c r="O441" s="91" t="str">
        <f t="shared" si="370"/>
        <v>99.7340425531915</v>
      </c>
      <c r="P441" s="67" t="str">
        <f t="shared" si="371"/>
        <v>1+30989.50660945i</v>
      </c>
      <c r="Q441" s="67">
        <f t="shared" si="382"/>
        <v>30989.506625584494</v>
      </c>
      <c r="R441" s="67">
        <f t="shared" si="383"/>
        <v>1.5707640578074533</v>
      </c>
      <c r="S441" s="67" t="str">
        <f t="shared" si="372"/>
        <v>1+58.260272425766i</v>
      </c>
      <c r="T441" s="67">
        <f t="shared" si="384"/>
        <v>58.268853971263844</v>
      </c>
      <c r="U441" s="67">
        <f t="shared" si="385"/>
        <v>1.5536336570939926</v>
      </c>
      <c r="V441" t="str">
        <f t="shared" si="373"/>
        <v>1-6.01809407474945i</v>
      </c>
      <c r="W441" s="67">
        <f t="shared" si="386"/>
        <v>6.100611140905019</v>
      </c>
      <c r="X441" s="67">
        <f t="shared" si="387"/>
        <v>-1.4061352476903741</v>
      </c>
      <c r="Y441" t="str">
        <f t="shared" si="374"/>
        <v>-5.8261100665718+9.30238218501008i</v>
      </c>
      <c r="Z441" s="67">
        <f t="shared" si="388"/>
        <v>10.97624128851959</v>
      </c>
      <c r="AA441" s="67">
        <f t="shared" si="389"/>
        <v>2.1303320974397035</v>
      </c>
      <c r="AB441" s="92" t="str">
        <f t="shared" si="390"/>
        <v>-0.0955062897249412+0.0417378865293844i</v>
      </c>
      <c r="AC441" s="37">
        <f t="shared" si="391"/>
        <v>-19.640301294025051</v>
      </c>
      <c r="AD441" s="60">
        <f t="shared" si="392"/>
        <v>156.39384707596227</v>
      </c>
      <c r="AE441" t="str">
        <f t="shared" si="393"/>
        <v>118.329284003155</v>
      </c>
      <c r="AF441" t="str">
        <f t="shared" si="375"/>
        <v>1+24791.60528756i</v>
      </c>
      <c r="AG441">
        <f t="shared" si="394"/>
        <v>24791.605307728118</v>
      </c>
      <c r="AH441">
        <f t="shared" si="395"/>
        <v>1.5707559905606003</v>
      </c>
      <c r="AI441" t="str">
        <f t="shared" si="376"/>
        <v>1+58.260272425766i</v>
      </c>
      <c r="AJ441">
        <f t="shared" si="396"/>
        <v>58.268853971263844</v>
      </c>
      <c r="AK441">
        <f t="shared" si="397"/>
        <v>1.5536336570939926</v>
      </c>
      <c r="AL441" t="str">
        <f t="shared" si="377"/>
        <v>1-4.05776710217447i</v>
      </c>
      <c r="AM441">
        <f t="shared" si="398"/>
        <v>4.179171431694253</v>
      </c>
      <c r="AN441">
        <f t="shared" si="399"/>
        <v>-1.3291701479357767</v>
      </c>
      <c r="AO441" s="58" t="str">
        <f t="shared" si="400"/>
        <v>0.258751972412434-1.13312130889793i</v>
      </c>
      <c r="AP441">
        <f t="shared" si="401"/>
        <v>1.3062850098357144</v>
      </c>
      <c r="AQ441" s="60">
        <f t="shared" si="402"/>
        <v>-77.136877174551543</v>
      </c>
      <c r="AR441" t="str">
        <f t="shared" si="378"/>
        <v>-1.94444444444444</v>
      </c>
      <c r="AS441" t="str">
        <f t="shared" si="379"/>
        <v>1+59.754125564888i</v>
      </c>
      <c r="AT441">
        <f t="shared" si="403"/>
        <v>59.762492602169822</v>
      </c>
      <c r="AU441">
        <f t="shared" si="404"/>
        <v>1.5540626427173996</v>
      </c>
      <c r="AV441" t="str">
        <f t="shared" si="380"/>
        <v>1+59.754125564888i</v>
      </c>
      <c r="AW441">
        <f t="shared" si="405"/>
        <v>59.762492602169822</v>
      </c>
      <c r="AX441">
        <f t="shared" si="406"/>
        <v>1.5540626427173996</v>
      </c>
      <c r="AY441" t="str">
        <f t="shared" si="381"/>
        <v>1-0.0000356069067090208i</v>
      </c>
      <c r="AZ441">
        <f t="shared" si="407"/>
        <v>1.0000000006339258</v>
      </c>
      <c r="BA441">
        <f t="shared" si="408"/>
        <v>-3.5606906693972707E-5</v>
      </c>
      <c r="BB441" s="58" t="str">
        <f t="shared" si="409"/>
        <v>-0.000543266740959246+0.0325316647064405i</v>
      </c>
      <c r="BC441">
        <f t="shared" si="410"/>
        <v>-29.75266326842965</v>
      </c>
      <c r="BD441" s="60">
        <f t="shared" si="411"/>
        <v>90.956729347870763</v>
      </c>
      <c r="BE441" s="58" t="str">
        <f t="shared" si="412"/>
        <v>-0.00130591753936941-0.0031296534002773i</v>
      </c>
      <c r="BF441" s="37">
        <f t="shared" si="413"/>
        <v>-49.392964562454694</v>
      </c>
      <c r="BG441" s="60">
        <f t="shared" si="414"/>
        <v>-112.64942357616687</v>
      </c>
      <c r="BH441" s="58" t="str">
        <f t="shared" si="415"/>
        <v>0.0367217511520212+0.0090332195292479i</v>
      </c>
      <c r="BI441" s="37">
        <f t="shared" si="416"/>
        <v>-28.446378258593931</v>
      </c>
      <c r="BJ441" s="60">
        <f t="shared" si="417"/>
        <v>13.819852173319218</v>
      </c>
      <c r="BK441">
        <f t="shared" si="418"/>
        <v>-49.392964562454694</v>
      </c>
      <c r="BL441" s="60">
        <f t="shared" si="419"/>
        <v>-112.64942357616687</v>
      </c>
      <c r="BN441">
        <f t="shared" si="420"/>
        <v>0</v>
      </c>
      <c r="BO441">
        <f t="shared" si="421"/>
        <v>0</v>
      </c>
    </row>
    <row r="442" spans="13:67" ht="14.25" x14ac:dyDescent="0.2">
      <c r="M442" s="66">
        <v>24</v>
      </c>
      <c r="N442" s="36">
        <f t="shared" si="422"/>
        <v>173780.0828749378</v>
      </c>
      <c r="O442" s="91" t="str">
        <f t="shared" si="370"/>
        <v>99.7340425531915</v>
      </c>
      <c r="P442" s="67" t="str">
        <f t="shared" si="371"/>
        <v>1+31711.3449476884i</v>
      </c>
      <c r="Q442" s="67">
        <f t="shared" si="382"/>
        <v>31711.344963455631</v>
      </c>
      <c r="R442" s="67">
        <f t="shared" si="383"/>
        <v>1.570764792339284</v>
      </c>
      <c r="S442" s="67" t="str">
        <f t="shared" si="372"/>
        <v>1+59.6173285016542i</v>
      </c>
      <c r="T442" s="67">
        <f t="shared" si="384"/>
        <v>59.625714735122045</v>
      </c>
      <c r="U442" s="67">
        <f t="shared" si="385"/>
        <v>1.5540242530390638</v>
      </c>
      <c r="V442" t="str">
        <f t="shared" si="373"/>
        <v>1-6.15827349357747i</v>
      </c>
      <c r="W442" s="67">
        <f t="shared" si="386"/>
        <v>6.2389368021882428</v>
      </c>
      <c r="X442" s="67">
        <f t="shared" si="387"/>
        <v>-1.4098182441976155</v>
      </c>
      <c r="Y442" t="str">
        <f t="shared" si="374"/>
        <v>-6.14781472284505+9.51906250143818i</v>
      </c>
      <c r="Z442" s="67">
        <f t="shared" si="388"/>
        <v>11.331733176029024</v>
      </c>
      <c r="AA442" s="67">
        <f t="shared" si="389"/>
        <v>2.1442432918217627</v>
      </c>
      <c r="AB442" s="92" t="str">
        <f t="shared" si="390"/>
        <v>-0.093881803710628+0.0429663694053262i</v>
      </c>
      <c r="AC442" s="37">
        <f t="shared" si="391"/>
        <v>-19.722467892141101</v>
      </c>
      <c r="AD442" s="60">
        <f t="shared" si="392"/>
        <v>155.40811160763161</v>
      </c>
      <c r="AE442" t="str">
        <f t="shared" si="393"/>
        <v>118.329284003155</v>
      </c>
      <c r="AF442" t="str">
        <f t="shared" si="375"/>
        <v>1+25369.0759581507i</v>
      </c>
      <c r="AG442">
        <f t="shared" si="394"/>
        <v>25369.075977859735</v>
      </c>
      <c r="AH442">
        <f t="shared" si="395"/>
        <v>1.5707569087253883</v>
      </c>
      <c r="AI442" t="str">
        <f t="shared" si="376"/>
        <v>1+59.6173285016542i</v>
      </c>
      <c r="AJ442">
        <f t="shared" si="396"/>
        <v>59.625714735122045</v>
      </c>
      <c r="AK442">
        <f t="shared" si="397"/>
        <v>1.5540242530390638</v>
      </c>
      <c r="AL442" t="str">
        <f t="shared" si="377"/>
        <v>1-4.15228463996253i</v>
      </c>
      <c r="AM442">
        <f t="shared" si="398"/>
        <v>4.2710031293911213</v>
      </c>
      <c r="AN442">
        <f t="shared" si="399"/>
        <v>-1.3344654940673024</v>
      </c>
      <c r="AO442" s="58" t="str">
        <f t="shared" si="400"/>
        <v>0.258751963766413-1.15929575323778i</v>
      </c>
      <c r="AP442">
        <f t="shared" si="401"/>
        <v>1.4950215029240437</v>
      </c>
      <c r="AQ442" s="60">
        <f t="shared" si="402"/>
        <v>-77.417951266768569</v>
      </c>
      <c r="AR442" t="str">
        <f t="shared" si="378"/>
        <v>-1.94444444444444</v>
      </c>
      <c r="AS442" t="str">
        <f t="shared" si="379"/>
        <v>1+61.1459779504144i</v>
      </c>
      <c r="AT442">
        <f t="shared" si="403"/>
        <v>61.154154556436829</v>
      </c>
      <c r="AU442">
        <f t="shared" si="404"/>
        <v>1.5544434791770214</v>
      </c>
      <c r="AV442" t="str">
        <f t="shared" si="380"/>
        <v>1+61.1459779504144i</v>
      </c>
      <c r="AW442">
        <f t="shared" si="405"/>
        <v>61.154154556436829</v>
      </c>
      <c r="AX442">
        <f t="shared" si="406"/>
        <v>1.5544434791770214</v>
      </c>
      <c r="AY442" t="str">
        <f t="shared" si="381"/>
        <v>1-0.0000347963945591561i</v>
      </c>
      <c r="AZ442">
        <f t="shared" si="407"/>
        <v>1.0000000006053944</v>
      </c>
      <c r="BA442">
        <f t="shared" si="408"/>
        <v>-3.4796394545112405E-5</v>
      </c>
      <c r="BB442" s="58" t="str">
        <f t="shared" si="409"/>
        <v>-0.000518822247853056+0.0317915533834947i</v>
      </c>
      <c r="BC442">
        <f t="shared" si="410"/>
        <v>-29.952608540157737</v>
      </c>
      <c r="BD442" s="60">
        <f t="shared" si="411"/>
        <v>90.934955464975104</v>
      </c>
      <c r="BE442" s="58" t="str">
        <f t="shared" si="412"/>
        <v>-0.00131725965821073-0.00300694028276216i</v>
      </c>
      <c r="BF442" s="37">
        <f t="shared" si="413"/>
        <v>-49.67507643229883</v>
      </c>
      <c r="BG442" s="60">
        <f t="shared" si="414"/>
        <v>-113.6569329273932</v>
      </c>
      <c r="BH442" s="58" t="str">
        <f t="shared" si="415"/>
        <v>0.0367215665508399+0.00882759529778533i</v>
      </c>
      <c r="BI442" s="37">
        <f t="shared" si="416"/>
        <v>-28.457587037233694</v>
      </c>
      <c r="BJ442" s="60">
        <f t="shared" si="417"/>
        <v>13.517004198206536</v>
      </c>
      <c r="BK442">
        <f t="shared" si="418"/>
        <v>-49.67507643229883</v>
      </c>
      <c r="BL442" s="60">
        <f t="shared" si="419"/>
        <v>-113.6569329273932</v>
      </c>
      <c r="BN442">
        <f t="shared" si="420"/>
        <v>0</v>
      </c>
      <c r="BO442">
        <f t="shared" si="421"/>
        <v>0</v>
      </c>
    </row>
    <row r="443" spans="13:67" ht="14.25" x14ac:dyDescent="0.2">
      <c r="M443" s="66">
        <v>25</v>
      </c>
      <c r="N443" s="36">
        <f t="shared" si="422"/>
        <v>177827.94100389251</v>
      </c>
      <c r="O443" s="91" t="str">
        <f t="shared" si="370"/>
        <v>99.7340425531915</v>
      </c>
      <c r="P443" s="67" t="str">
        <f t="shared" si="371"/>
        <v>1+32449.9970607674i</v>
      </c>
      <c r="Q443" s="67">
        <f t="shared" si="382"/>
        <v>32449.997076175718</v>
      </c>
      <c r="R443" s="67">
        <f t="shared" si="383"/>
        <v>1.5707655101511289</v>
      </c>
      <c r="S443" s="67" t="str">
        <f t="shared" si="372"/>
        <v>1+61.0059944742427i</v>
      </c>
      <c r="T443" s="67">
        <f t="shared" si="384"/>
        <v>61.014189839670337</v>
      </c>
      <c r="U443" s="67">
        <f t="shared" si="385"/>
        <v>1.5544059628805995</v>
      </c>
      <c r="V443" t="str">
        <f t="shared" si="373"/>
        <v>1-6.30171811052617i</v>
      </c>
      <c r="W443" s="67">
        <f t="shared" si="386"/>
        <v>6.3805682462092292</v>
      </c>
      <c r="X443" s="67">
        <f t="shared" si="387"/>
        <v>-1.413421667231388</v>
      </c>
      <c r="Y443" t="str">
        <f t="shared" si="374"/>
        <v>-6.48468085246963+9.74078995080423i</v>
      </c>
      <c r="Z443" s="67">
        <f t="shared" si="388"/>
        <v>11.701883379357142</v>
      </c>
      <c r="AA443" s="67">
        <f t="shared" si="389"/>
        <v>2.1581462588527431</v>
      </c>
      <c r="AB443" s="92" t="str">
        <f t="shared" si="390"/>
        <v>-0.0922330828755421+0.0441374605021348i</v>
      </c>
      <c r="AC443" s="37">
        <f t="shared" si="391"/>
        <v>-19.806735952601876</v>
      </c>
      <c r="AD443" s="60">
        <f t="shared" si="392"/>
        <v>154.42689857774079</v>
      </c>
      <c r="AE443" t="str">
        <f t="shared" si="393"/>
        <v>118.329284003155</v>
      </c>
      <c r="AF443" t="str">
        <f t="shared" si="375"/>
        <v>1+25959.9976486139i</v>
      </c>
      <c r="AG443">
        <f t="shared" si="394"/>
        <v>25959.997667874297</v>
      </c>
      <c r="AH443">
        <f t="shared" si="395"/>
        <v>1.5707578059901939</v>
      </c>
      <c r="AI443" t="str">
        <f t="shared" si="376"/>
        <v>1+61.0059944742427i</v>
      </c>
      <c r="AJ443">
        <f t="shared" si="396"/>
        <v>61.014189839670337</v>
      </c>
      <c r="AK443">
        <f t="shared" si="397"/>
        <v>1.5544059628805995</v>
      </c>
      <c r="AL443" t="str">
        <f t="shared" si="377"/>
        <v>1-4.24900377402869i</v>
      </c>
      <c r="AM443">
        <f t="shared" si="398"/>
        <v>4.3650925616428857</v>
      </c>
      <c r="AN443">
        <f t="shared" si="399"/>
        <v>-1.3396533869542411</v>
      </c>
      <c r="AO443" s="58" t="str">
        <f t="shared" si="400"/>
        <v>0.258751955509528-1.18608487153107i</v>
      </c>
      <c r="AP443">
        <f t="shared" si="401"/>
        <v>1.6842378773712094</v>
      </c>
      <c r="AQ443" s="60">
        <f t="shared" si="402"/>
        <v>-77.693376680323951</v>
      </c>
      <c r="AR443" t="str">
        <f t="shared" si="378"/>
        <v>-1.94444444444444</v>
      </c>
      <c r="AS443" t="str">
        <f t="shared" si="379"/>
        <v>1+62.5702507428128i</v>
      </c>
      <c r="AT443">
        <f t="shared" si="403"/>
        <v>62.578241250601366</v>
      </c>
      <c r="AU443">
        <f t="shared" si="404"/>
        <v>1.5548156513245175</v>
      </c>
      <c r="AV443" t="str">
        <f t="shared" si="380"/>
        <v>1+62.5702507428128i</v>
      </c>
      <c r="AW443">
        <f t="shared" si="405"/>
        <v>62.578241250601366</v>
      </c>
      <c r="AX443">
        <f t="shared" si="406"/>
        <v>1.5548156513245175</v>
      </c>
      <c r="AY443" t="str">
        <f t="shared" si="381"/>
        <v>1-0.0000340043319182715i</v>
      </c>
      <c r="AZ443">
        <f t="shared" si="407"/>
        <v>1.0000000005781473</v>
      </c>
      <c r="BA443">
        <f t="shared" si="408"/>
        <v>-3.4004331905165158E-5</v>
      </c>
      <c r="BB443" s="58" t="str">
        <f t="shared" si="409"/>
        <v>-0.000495477363040927+0.031068262377144i</v>
      </c>
      <c r="BC443">
        <f t="shared" si="410"/>
        <v>-30.152556274420025</v>
      </c>
      <c r="BD443" s="60">
        <f t="shared" si="411"/>
        <v>90.913676953517637</v>
      </c>
      <c r="BE443" s="58" t="str">
        <f t="shared" si="412"/>
        <v>-0.00132557479885285-0.00288739073117113i</v>
      </c>
      <c r="BF443" s="37">
        <f t="shared" si="413"/>
        <v>-49.959292227021905</v>
      </c>
      <c r="BG443" s="60">
        <f t="shared" si="414"/>
        <v>-114.65942446874166</v>
      </c>
      <c r="BH443" s="58" t="str">
        <f t="shared" si="415"/>
        <v>0.0367213902536909+0.00862665184885806i</v>
      </c>
      <c r="BI443" s="37">
        <f t="shared" si="416"/>
        <v>-28.468318397048812</v>
      </c>
      <c r="BJ443" s="60">
        <f t="shared" si="417"/>
        <v>13.220300273193686</v>
      </c>
      <c r="BK443">
        <f t="shared" si="418"/>
        <v>-49.959292227021905</v>
      </c>
      <c r="BL443" s="60">
        <f t="shared" si="419"/>
        <v>-114.65942446874166</v>
      </c>
      <c r="BN443">
        <f t="shared" si="420"/>
        <v>0</v>
      </c>
      <c r="BO443">
        <f t="shared" si="421"/>
        <v>0</v>
      </c>
    </row>
    <row r="444" spans="13:67" ht="14.25" x14ac:dyDescent="0.2">
      <c r="M444" s="66">
        <v>26</v>
      </c>
      <c r="N444" s="36">
        <f t="shared" si="422"/>
        <v>181970.08586099857</v>
      </c>
      <c r="O444" s="91" t="str">
        <f t="shared" si="370"/>
        <v>99.7340425531915</v>
      </c>
      <c r="P444" s="67" t="str">
        <f t="shared" si="371"/>
        <v>1+33205.8545918141i</v>
      </c>
      <c r="Q444" s="67">
        <f t="shared" si="382"/>
        <v>33205.85460687169</v>
      </c>
      <c r="R444" s="67">
        <f t="shared" si="383"/>
        <v>1.5707662116235814</v>
      </c>
      <c r="S444" s="67" t="str">
        <f t="shared" si="372"/>
        <v>1+62.4270066326105i</v>
      </c>
      <c r="T444" s="67">
        <f t="shared" si="384"/>
        <v>62.435015472953921</v>
      </c>
      <c r="U444" s="67">
        <f t="shared" si="385"/>
        <v>1.5547789885610264</v>
      </c>
      <c r="V444" t="str">
        <f t="shared" si="373"/>
        <v>1-6.44850398183009i</v>
      </c>
      <c r="W444" s="67">
        <f t="shared" si="386"/>
        <v>6.5255807100731298</v>
      </c>
      <c r="X444" s="67">
        <f t="shared" si="387"/>
        <v>-1.4169470528698442</v>
      </c>
      <c r="Y444" t="str">
        <f t="shared" si="374"/>
        <v>-6.83742299367078+9.96768209593669i</v>
      </c>
      <c r="Z444" s="67">
        <f t="shared" si="388"/>
        <v>12.087391760013189</v>
      </c>
      <c r="AA444" s="67">
        <f t="shared" si="389"/>
        <v>2.1720366309362071</v>
      </c>
      <c r="AB444" s="92" t="str">
        <f t="shared" si="390"/>
        <v>-0.0905622107177672+0.045250617652099i</v>
      </c>
      <c r="AC444" s="37">
        <f t="shared" si="391"/>
        <v>-19.893128962054565</v>
      </c>
      <c r="AD444" s="60">
        <f t="shared" si="392"/>
        <v>153.4503817689799</v>
      </c>
      <c r="AE444" t="str">
        <f t="shared" si="393"/>
        <v>118.329284003155</v>
      </c>
      <c r="AF444" t="str">
        <f t="shared" si="375"/>
        <v>1+26564.6836734513i</v>
      </c>
      <c r="AG444">
        <f t="shared" si="394"/>
        <v>26564.68369227328</v>
      </c>
      <c r="AH444">
        <f t="shared" si="395"/>
        <v>1.5707586828307591</v>
      </c>
      <c r="AI444" t="str">
        <f t="shared" si="376"/>
        <v>1+62.4270066326105i</v>
      </c>
      <c r="AJ444">
        <f t="shared" si="396"/>
        <v>62.435015472953921</v>
      </c>
      <c r="AK444">
        <f t="shared" si="397"/>
        <v>1.5547789885610264</v>
      </c>
      <c r="AL444" t="str">
        <f t="shared" si="377"/>
        <v>1-4.347975786138i</v>
      </c>
      <c r="AM444">
        <f t="shared" si="398"/>
        <v>4.4614900467043919</v>
      </c>
      <c r="AN444">
        <f t="shared" si="399"/>
        <v>-1.3447354597695254</v>
      </c>
      <c r="AO444" s="58" t="str">
        <f t="shared" si="400"/>
        <v>0.258751947624262-1.21350286772289i</v>
      </c>
      <c r="AP444">
        <f t="shared" si="401"/>
        <v>1.8739147936352714</v>
      </c>
      <c r="AQ444" s="60">
        <f t="shared" si="402"/>
        <v>-77.963235445943198</v>
      </c>
      <c r="AR444" t="str">
        <f t="shared" si="378"/>
        <v>-1.94444444444444</v>
      </c>
      <c r="AS444" t="str">
        <f t="shared" si="379"/>
        <v>1+64.0276991103695i</v>
      </c>
      <c r="AT444">
        <f t="shared" si="403"/>
        <v>64.0355077544327</v>
      </c>
      <c r="AU444">
        <f t="shared" si="404"/>
        <v>1.5551793560778473</v>
      </c>
      <c r="AV444" t="str">
        <f t="shared" si="380"/>
        <v>1+64.0276991103695i</v>
      </c>
      <c r="AW444">
        <f t="shared" si="405"/>
        <v>64.0355077544327</v>
      </c>
      <c r="AX444">
        <f t="shared" si="406"/>
        <v>1.5551793560778473</v>
      </c>
      <c r="AY444" t="str">
        <f t="shared" si="381"/>
        <v>1-0.0000332302988242709i</v>
      </c>
      <c r="AZ444">
        <f t="shared" si="407"/>
        <v>1.0000000005521263</v>
      </c>
      <c r="BA444">
        <f t="shared" si="408"/>
        <v>-3.3230298812039354E-5</v>
      </c>
      <c r="BB444" s="58" t="str">
        <f t="shared" si="409"/>
        <v>-0.000473182646583126+0.0303614105896088i</v>
      </c>
      <c r="BC444">
        <f t="shared" si="410"/>
        <v>-30.352506360440689</v>
      </c>
      <c r="BD444" s="60">
        <f t="shared" si="411"/>
        <v>90.892882554992426</v>
      </c>
      <c r="BE444" s="58" t="str">
        <f t="shared" si="412"/>
        <v>-0.00133102011542093-0.00277100827052494i</v>
      </c>
      <c r="BF444" s="37">
        <f t="shared" si="413"/>
        <v>-50.245635322495261</v>
      </c>
      <c r="BG444" s="60">
        <f t="shared" si="414"/>
        <v>-115.65673567602778</v>
      </c>
      <c r="BH444" s="58" t="str">
        <f t="shared" si="415"/>
        <v>0.036721221887217+0.0084302826212665i</v>
      </c>
      <c r="BI444" s="37">
        <f t="shared" si="416"/>
        <v>-28.478591566805424</v>
      </c>
      <c r="BJ444" s="60">
        <f t="shared" si="417"/>
        <v>12.929647109049238</v>
      </c>
      <c r="BK444">
        <f t="shared" si="418"/>
        <v>-50.245635322495261</v>
      </c>
      <c r="BL444" s="60">
        <f t="shared" si="419"/>
        <v>-115.65673567602778</v>
      </c>
      <c r="BN444">
        <f t="shared" si="420"/>
        <v>0</v>
      </c>
      <c r="BO444">
        <f t="shared" si="421"/>
        <v>0</v>
      </c>
    </row>
    <row r="445" spans="13:67" ht="14.25" x14ac:dyDescent="0.2">
      <c r="M445" s="66">
        <v>27</v>
      </c>
      <c r="N445" s="36">
        <f t="shared" si="422"/>
        <v>186208.71366628664</v>
      </c>
      <c r="O445" s="91" t="str">
        <f t="shared" si="370"/>
        <v>99.7340425531915</v>
      </c>
      <c r="P445" s="67" t="str">
        <f t="shared" si="371"/>
        <v>1+33979.318306497i</v>
      </c>
      <c r="Q445" s="67">
        <f t="shared" si="382"/>
        <v>33979.318321211831</v>
      </c>
      <c r="R445" s="67">
        <f t="shared" si="383"/>
        <v>1.5707668971285715</v>
      </c>
      <c r="S445" s="67" t="str">
        <f t="shared" si="372"/>
        <v>1+63.8811184162144i</v>
      </c>
      <c r="T445" s="67">
        <f t="shared" si="384"/>
        <v>63.888944975687345</v>
      </c>
      <c r="U445" s="67">
        <f t="shared" si="385"/>
        <v>1.5551435274480132</v>
      </c>
      <c r="V445" t="str">
        <f t="shared" si="373"/>
        <v>1-6.59870893530127i</v>
      </c>
      <c r="W445" s="67">
        <f t="shared" si="386"/>
        <v>6.6740512144292694</v>
      </c>
      <c r="X445" s="67">
        <f t="shared" si="387"/>
        <v>-1.4203959196219043</v>
      </c>
      <c r="Y445" t="str">
        <f t="shared" si="374"/>
        <v>-7.2067893598232+10.1998592380543i</v>
      </c>
      <c r="Z445" s="67">
        <f t="shared" si="388"/>
        <v>12.488992807788085</v>
      </c>
      <c r="AA445" s="67">
        <f t="shared" si="389"/>
        <v>2.1859099046493311</v>
      </c>
      <c r="AB445" s="92" t="str">
        <f t="shared" si="390"/>
        <v>-0.0888713153785999+0.0463053923183133i</v>
      </c>
      <c r="AC445" s="37">
        <f t="shared" si="391"/>
        <v>-19.981668064400765</v>
      </c>
      <c r="AD445" s="60">
        <f t="shared" si="392"/>
        <v>152.47874349134207</v>
      </c>
      <c r="AE445" t="str">
        <f t="shared" si="393"/>
        <v>118.329284003155</v>
      </c>
      <c r="AF445" t="str">
        <f t="shared" si="375"/>
        <v>1+27183.4546451976i</v>
      </c>
      <c r="AG445">
        <f t="shared" si="394"/>
        <v>27183.454663591139</v>
      </c>
      <c r="AH445">
        <f t="shared" si="395"/>
        <v>1.5707595397119964</v>
      </c>
      <c r="AI445" t="str">
        <f t="shared" si="376"/>
        <v>1+63.8811184162144i</v>
      </c>
      <c r="AJ445">
        <f t="shared" si="396"/>
        <v>63.888944975687345</v>
      </c>
      <c r="AK445">
        <f t="shared" si="397"/>
        <v>1.5551435274480132</v>
      </c>
      <c r="AL445" t="str">
        <f t="shared" si="377"/>
        <v>1-4.44925315256142i</v>
      </c>
      <c r="AM445">
        <f t="shared" si="398"/>
        <v>4.5602471002762268</v>
      </c>
      <c r="AN445">
        <f t="shared" si="399"/>
        <v>-1.3497133565714603</v>
      </c>
      <c r="AO445" s="58" t="str">
        <f t="shared" si="400"/>
        <v>0.258751940093893-1.24156427919777i</v>
      </c>
      <c r="AP445">
        <f t="shared" si="401"/>
        <v>2.0640335988641088</v>
      </c>
      <c r="AQ445" s="60">
        <f t="shared" si="402"/>
        <v>-78.227610479531421</v>
      </c>
      <c r="AR445" t="str">
        <f t="shared" si="378"/>
        <v>-1.94444444444444</v>
      </c>
      <c r="AS445" t="str">
        <f t="shared" si="379"/>
        <v>1+65.5190958115018i</v>
      </c>
      <c r="AT445">
        <f t="shared" si="403"/>
        <v>65.526726730066045</v>
      </c>
      <c r="AU445">
        <f t="shared" si="404"/>
        <v>1.5555347858929742</v>
      </c>
      <c r="AV445" t="str">
        <f t="shared" si="380"/>
        <v>1+65.5190958115018i</v>
      </c>
      <c r="AW445">
        <f t="shared" si="405"/>
        <v>65.526726730066045</v>
      </c>
      <c r="AX445">
        <f t="shared" si="406"/>
        <v>1.5555347858929742</v>
      </c>
      <c r="AY445" t="str">
        <f t="shared" si="381"/>
        <v>1-0.0000324738848745616i</v>
      </c>
      <c r="AZ445">
        <f t="shared" si="407"/>
        <v>1.0000000005272764</v>
      </c>
      <c r="BA445">
        <f t="shared" si="408"/>
        <v>-3.2473884863146459E-5</v>
      </c>
      <c r="BB445" s="58" t="str">
        <f t="shared" si="409"/>
        <v>-0.000451890879255153+0.0296706254792961i</v>
      </c>
      <c r="BC445">
        <f t="shared" si="410"/>
        <v>-30.552458692425034</v>
      </c>
      <c r="BD445" s="60">
        <f t="shared" si="411"/>
        <v>90.87256126599938</v>
      </c>
      <c r="BE445" s="58" t="str">
        <f t="shared" si="412"/>
        <v>-0.00133374981630155-0.00265779249889982i</v>
      </c>
      <c r="BF445" s="37">
        <f t="shared" si="413"/>
        <v>-50.534126756825806</v>
      </c>
      <c r="BG445" s="60">
        <f t="shared" si="414"/>
        <v>-116.64869524265853</v>
      </c>
      <c r="BH445" s="58" t="str">
        <f t="shared" si="415"/>
        <v>0.0367210610948312+0.00823838348034563i</v>
      </c>
      <c r="BI445" s="37">
        <f t="shared" si="416"/>
        <v>-28.488425093560934</v>
      </c>
      <c r="BJ445" s="60">
        <f t="shared" si="417"/>
        <v>12.644950786467973</v>
      </c>
      <c r="BK445">
        <f t="shared" si="418"/>
        <v>-50.534126756825806</v>
      </c>
      <c r="BL445" s="60">
        <f t="shared" si="419"/>
        <v>-116.64869524265853</v>
      </c>
      <c r="BN445">
        <f t="shared" si="420"/>
        <v>0</v>
      </c>
      <c r="BO445">
        <f t="shared" si="421"/>
        <v>0</v>
      </c>
    </row>
    <row r="446" spans="13:67" ht="14.25" x14ac:dyDescent="0.2">
      <c r="M446" s="66">
        <v>28</v>
      </c>
      <c r="N446" s="36">
        <f t="shared" si="422"/>
        <v>190546.07179632492</v>
      </c>
      <c r="O446" s="91" t="str">
        <f t="shared" si="370"/>
        <v>99.7340425531915</v>
      </c>
      <c r="P446" s="67" t="str">
        <f t="shared" si="371"/>
        <v>1+34770.7983055158i</v>
      </c>
      <c r="Q446" s="67">
        <f t="shared" si="382"/>
        <v>34770.798319895679</v>
      </c>
      <c r="R446" s="67">
        <f t="shared" si="383"/>
        <v>1.5707675670295631</v>
      </c>
      <c r="S446" s="67" t="str">
        <f t="shared" si="372"/>
        <v>1+65.3691008143698i</v>
      </c>
      <c r="T446" s="67">
        <f t="shared" si="384"/>
        <v>65.37674924068375</v>
      </c>
      <c r="U446" s="67">
        <f t="shared" si="385"/>
        <v>1.5554997724371362</v>
      </c>
      <c r="V446" t="str">
        <f t="shared" si="373"/>
        <v>1-6.75241261159424i</v>
      </c>
      <c r="W446" s="67">
        <f t="shared" si="386"/>
        <v>6.8260586048771179</v>
      </c>
      <c r="X446" s="67">
        <f t="shared" si="387"/>
        <v>-1.4237697677679801</v>
      </c>
      <c r="Y446" t="str">
        <f t="shared" si="374"/>
        <v>-7.59356342651139+10.4374444805512i</v>
      </c>
      <c r="Z446" s="67">
        <f t="shared" si="388"/>
        <v>12.907457255286188</v>
      </c>
      <c r="AA446" s="67">
        <f t="shared" si="389"/>
        <v>2.1997614545178878</v>
      </c>
      <c r="AB446" s="92" t="str">
        <f t="shared" si="390"/>
        <v>-0.0871625634304245+0.0473014340026518i</v>
      </c>
      <c r="AC446" s="37">
        <f t="shared" si="391"/>
        <v>-20.072371999012706</v>
      </c>
      <c r="AD446" s="60">
        <f t="shared" si="392"/>
        <v>151.51217383652053</v>
      </c>
      <c r="AE446" t="str">
        <f t="shared" si="393"/>
        <v>118.329284003155</v>
      </c>
      <c r="AF446" t="str">
        <f t="shared" si="375"/>
        <v>1+27816.6386444127i</v>
      </c>
      <c r="AG446">
        <f t="shared" si="394"/>
        <v>27816.638662387551</v>
      </c>
      <c r="AH446">
        <f t="shared" si="395"/>
        <v>1.5707603770882352</v>
      </c>
      <c r="AI446" t="str">
        <f t="shared" si="376"/>
        <v>1+65.3691008143698i</v>
      </c>
      <c r="AJ446">
        <f t="shared" si="396"/>
        <v>65.37674924068375</v>
      </c>
      <c r="AK446">
        <f t="shared" si="397"/>
        <v>1.5554997724371362</v>
      </c>
      <c r="AL446" t="str">
        <f t="shared" si="377"/>
        <v>1-4.55288957189919i</v>
      </c>
      <c r="AM446">
        <f t="shared" si="398"/>
        <v>4.6614164643280249</v>
      </c>
      <c r="AN446">
        <f t="shared" si="399"/>
        <v>-1.3545887294656414</v>
      </c>
      <c r="AO446" s="58" t="str">
        <f t="shared" si="400"/>
        <v>0.258751932902446-1.27028398448751i</v>
      </c>
      <c r="AP446">
        <f t="shared" si="401"/>
        <v>2.2545763103433747</v>
      </c>
      <c r="AQ446" s="60">
        <f t="shared" si="402"/>
        <v>-78.486585413695408</v>
      </c>
      <c r="AR446" t="str">
        <f t="shared" si="378"/>
        <v>-1.94444444444444</v>
      </c>
      <c r="AS446" t="str">
        <f t="shared" si="379"/>
        <v>1+67.0452316044816i</v>
      </c>
      <c r="AT446">
        <f t="shared" si="403"/>
        <v>67.052688841675675</v>
      </c>
      <c r="AU446">
        <f t="shared" si="404"/>
        <v>1.5558821288640723</v>
      </c>
      <c r="AV446" t="str">
        <f t="shared" si="380"/>
        <v>1+67.0452316044816i</v>
      </c>
      <c r="AW446">
        <f t="shared" si="405"/>
        <v>67.052688841675675</v>
      </c>
      <c r="AX446">
        <f t="shared" si="406"/>
        <v>1.5558821288640723</v>
      </c>
      <c r="AY446" t="str">
        <f t="shared" si="381"/>
        <v>1-0.0000317346890084553i</v>
      </c>
      <c r="AZ446">
        <f t="shared" si="407"/>
        <v>1.0000000005035452</v>
      </c>
      <c r="BA446">
        <f t="shared" si="408"/>
        <v>-3.1734688997802068E-5</v>
      </c>
      <c r="BB446" s="58" t="str">
        <f t="shared" si="409"/>
        <v>-0.000431556962990254+0.028995542873947i</v>
      </c>
      <c r="BC446">
        <f t="shared" si="410"/>
        <v>-30.752413169335139</v>
      </c>
      <c r="BD446" s="60">
        <f t="shared" si="411"/>
        <v>90.852702332515236</v>
      </c>
      <c r="BE446" s="58" t="str">
        <f t="shared" si="412"/>
        <v>-0.00133391514646259-0.00254773910815327i</v>
      </c>
      <c r="BF446" s="37">
        <f t="shared" si="413"/>
        <v>-50.82478516834783</v>
      </c>
      <c r="BG446" s="60">
        <f t="shared" si="414"/>
        <v>-117.6351238309643</v>
      </c>
      <c r="BH446" s="58" t="str">
        <f t="shared" si="415"/>
        <v>0.0367209075359646+0.00805085266267012i</v>
      </c>
      <c r="BI446" s="37">
        <f t="shared" si="416"/>
        <v>-28.497836858991757</v>
      </c>
      <c r="BJ446" s="60">
        <f t="shared" si="417"/>
        <v>12.36611691881982</v>
      </c>
      <c r="BK446">
        <f t="shared" si="418"/>
        <v>-50.82478516834783</v>
      </c>
      <c r="BL446" s="60">
        <f t="shared" si="419"/>
        <v>-117.6351238309643</v>
      </c>
      <c r="BN446">
        <f t="shared" si="420"/>
        <v>0</v>
      </c>
      <c r="BO446">
        <f t="shared" si="421"/>
        <v>0</v>
      </c>
    </row>
    <row r="447" spans="13:67" ht="14.25" x14ac:dyDescent="0.2">
      <c r="M447" s="66">
        <v>29</v>
      </c>
      <c r="N447" s="36">
        <f t="shared" si="422"/>
        <v>194984.45997580473</v>
      </c>
      <c r="O447" s="91" t="str">
        <f t="shared" si="370"/>
        <v>99.7340425531915</v>
      </c>
      <c r="P447" s="67" t="str">
        <f t="shared" si="371"/>
        <v>1+35580.7142420417i</v>
      </c>
      <c r="Q447" s="67">
        <f t="shared" si="382"/>
        <v>35580.714256094259</v>
      </c>
      <c r="R447" s="67">
        <f t="shared" si="383"/>
        <v>1.5707682216817465</v>
      </c>
      <c r="S447" s="67" t="str">
        <f t="shared" si="372"/>
        <v>1+66.8917427750383i</v>
      </c>
      <c r="T447" s="67">
        <f t="shared" si="384"/>
        <v>66.89921712159186</v>
      </c>
      <c r="U447" s="67">
        <f t="shared" si="385"/>
        <v>1.5558479120523063</v>
      </c>
      <c r="V447" t="str">
        <f t="shared" si="373"/>
        <v>1-6.90969650643253i</v>
      </c>
      <c r="W447" s="67">
        <f t="shared" si="386"/>
        <v>6.981683594306312</v>
      </c>
      <c r="X447" s="67">
        <f t="shared" si="387"/>
        <v>-1.4270700787759152</v>
      </c>
      <c r="Y447" t="str">
        <f t="shared" si="374"/>
        <v>-7.99856559338603+10.6805637942674i</v>
      </c>
      <c r="Z447" s="67">
        <f t="shared" si="388"/>
        <v>13.343593763117733</v>
      </c>
      <c r="AA447" s="67">
        <f t="shared" si="389"/>
        <v>2.2135865474407317</v>
      </c>
      <c r="AB447" s="92" t="str">
        <f t="shared" si="390"/>
        <v>-0.0854381532080911+0.0482384941160701i</v>
      </c>
      <c r="AC447" s="37">
        <f t="shared" si="391"/>
        <v>-20.165257047366442</v>
      </c>
      <c r="AD447" s="60">
        <f t="shared" si="392"/>
        <v>150.55086989065347</v>
      </c>
      <c r="AE447" t="str">
        <f t="shared" si="393"/>
        <v>118.329284003155</v>
      </c>
      <c r="AF447" t="str">
        <f t="shared" si="375"/>
        <v>1+28464.5713936333i</v>
      </c>
      <c r="AG447">
        <f t="shared" si="394"/>
        <v>28464.571411198995</v>
      </c>
      <c r="AH447">
        <f t="shared" si="395"/>
        <v>1.5707611954034641</v>
      </c>
      <c r="AI447" t="str">
        <f t="shared" si="376"/>
        <v>1+66.8917427750383i</v>
      </c>
      <c r="AJ447">
        <f t="shared" si="396"/>
        <v>66.89921712159186</v>
      </c>
      <c r="AK447">
        <f t="shared" si="397"/>
        <v>1.5558479120523063</v>
      </c>
      <c r="AL447" t="str">
        <f t="shared" si="377"/>
        <v>1-4.65893999355253i</v>
      </c>
      <c r="AM447">
        <f t="shared" si="398"/>
        <v>4.7650521364958065</v>
      </c>
      <c r="AN447">
        <f t="shared" si="399"/>
        <v>-1.3593632359448884</v>
      </c>
      <c r="AO447" s="58" t="str">
        <f t="shared" si="400"/>
        <v>0.258751926034668-1.29967721115998i</v>
      </c>
      <c r="AP447">
        <f t="shared" si="401"/>
        <v>2.4455255986410736</v>
      </c>
      <c r="AQ447" s="60">
        <f t="shared" si="402"/>
        <v>-78.740244439592459</v>
      </c>
      <c r="AR447" t="str">
        <f t="shared" si="378"/>
        <v>-1.94444444444444</v>
      </c>
      <c r="AS447" t="str">
        <f t="shared" si="379"/>
        <v>1+68.6069156667058i</v>
      </c>
      <c r="AT447">
        <f t="shared" si="403"/>
        <v>68.614203174696144</v>
      </c>
      <c r="AU447">
        <f t="shared" si="404"/>
        <v>1.5562215688215424</v>
      </c>
      <c r="AV447" t="str">
        <f t="shared" si="380"/>
        <v>1+68.6069156667058i</v>
      </c>
      <c r="AW447">
        <f t="shared" si="405"/>
        <v>68.614203174696144</v>
      </c>
      <c r="AX447">
        <f t="shared" si="406"/>
        <v>1.5562215688215424</v>
      </c>
      <c r="AY447" t="str">
        <f t="shared" si="381"/>
        <v>1-0.0000310123192945199i</v>
      </c>
      <c r="AZ447">
        <f t="shared" si="407"/>
        <v>1.000000000480882</v>
      </c>
      <c r="BA447">
        <f t="shared" si="408"/>
        <v>-3.1012319284577727E-5</v>
      </c>
      <c r="BB447" s="58" t="str">
        <f t="shared" si="409"/>
        <v>-0.000412137825768326+0.0283358067875086i</v>
      </c>
      <c r="BC447">
        <f t="shared" si="410"/>
        <v>-30.952369694676243</v>
      </c>
      <c r="BD447" s="60">
        <f t="shared" si="411"/>
        <v>90.833295244289928</v>
      </c>
      <c r="BE447" s="58" t="str">
        <f t="shared" si="412"/>
        <v>-0.00133166435429249-0.00244083990966936i</v>
      </c>
      <c r="BF447" s="37">
        <f t="shared" si="413"/>
        <v>-51.117626742042688</v>
      </c>
      <c r="BG447" s="60">
        <f t="shared" si="414"/>
        <v>-118.61583486505664</v>
      </c>
      <c r="BH447" s="58" t="str">
        <f t="shared" si="415"/>
        <v>0.0367207608853479+0.00786759072202219i</v>
      </c>
      <c r="BI447" s="37">
        <f t="shared" si="416"/>
        <v>-28.50684409603517</v>
      </c>
      <c r="BJ447" s="60">
        <f t="shared" si="417"/>
        <v>12.093050804697477</v>
      </c>
      <c r="BK447">
        <f t="shared" si="418"/>
        <v>-51.117626742042688</v>
      </c>
      <c r="BL447" s="60">
        <f t="shared" si="419"/>
        <v>-118.61583486505664</v>
      </c>
      <c r="BN447">
        <f t="shared" si="420"/>
        <v>0</v>
      </c>
      <c r="BO447">
        <f t="shared" si="421"/>
        <v>0</v>
      </c>
    </row>
    <row r="448" spans="13:67" ht="14.25" x14ac:dyDescent="0.2">
      <c r="M448" s="66">
        <v>30</v>
      </c>
      <c r="N448" s="36">
        <f t="shared" si="422"/>
        <v>199526.23149688813</v>
      </c>
      <c r="O448" s="91" t="str">
        <f t="shared" si="370"/>
        <v>99.7340425531915</v>
      </c>
      <c r="P448" s="67" t="str">
        <f t="shared" si="371"/>
        <v>1+36409.4955442253i</v>
      </c>
      <c r="Q448" s="67">
        <f t="shared" si="382"/>
        <v>36409.495557957976</v>
      </c>
      <c r="R448" s="67">
        <f t="shared" si="383"/>
        <v>1.5707688614322268</v>
      </c>
      <c r="S448" s="67" t="str">
        <f t="shared" si="372"/>
        <v>1+68.4498516231436i</v>
      </c>
      <c r="T448" s="67">
        <f t="shared" si="384"/>
        <v>68.457155851162653</v>
      </c>
      <c r="U448" s="67">
        <f t="shared" si="385"/>
        <v>1.5561881305440031</v>
      </c>
      <c r="V448" t="str">
        <f t="shared" si="373"/>
        <v>1-7.07064401381923i</v>
      </c>
      <c r="W448" s="67">
        <f t="shared" si="386"/>
        <v>7.1410088061952219</v>
      </c>
      <c r="X448" s="67">
        <f t="shared" si="387"/>
        <v>-1.4302983147874624</v>
      </c>
      <c r="Y448" t="str">
        <f t="shared" si="374"/>
        <v>-8.42265492434313+10.9293460842814i</v>
      </c>
      <c r="Z448" s="67">
        <f t="shared" si="388"/>
        <v>13.798250679146205</v>
      </c>
      <c r="AA448" s="67">
        <f t="shared" si="389"/>
        <v>2.2273803576788112</v>
      </c>
      <c r="AB448" s="92" t="str">
        <f t="shared" si="390"/>
        <v>-0.0837003077397244+0.0491164292617792i</v>
      </c>
      <c r="AC448" s="37">
        <f t="shared" si="391"/>
        <v>-20.260336988589302</v>
      </c>
      <c r="AD448" s="60">
        <f t="shared" si="392"/>
        <v>149.59503491055747</v>
      </c>
      <c r="AE448" t="str">
        <f t="shared" si="393"/>
        <v>118.329284003155</v>
      </c>
      <c r="AF448" t="str">
        <f t="shared" si="375"/>
        <v>1+29127.5964353803i</v>
      </c>
      <c r="AG448">
        <f t="shared" si="394"/>
        <v>29127.596452546146</v>
      </c>
      <c r="AH448">
        <f t="shared" si="395"/>
        <v>1.5707619950915641</v>
      </c>
      <c r="AI448" t="str">
        <f t="shared" si="376"/>
        <v>1+68.4498516231436i</v>
      </c>
      <c r="AJ448">
        <f t="shared" si="396"/>
        <v>68.457155851162653</v>
      </c>
      <c r="AK448">
        <f t="shared" si="397"/>
        <v>1.5561881305440031</v>
      </c>
      <c r="AL448" t="str">
        <f t="shared" si="377"/>
        <v>1-4.76746064685885i</v>
      </c>
      <c r="AM448">
        <f t="shared" si="398"/>
        <v>4.8712094000717938</v>
      </c>
      <c r="AN448">
        <f t="shared" si="399"/>
        <v>-1.3640385364009955</v>
      </c>
      <c r="AO448" s="58" t="str">
        <f t="shared" si="400"/>
        <v>0.25875191947599-1.32975954389305i</v>
      </c>
      <c r="AP448">
        <f t="shared" si="401"/>
        <v>2.6368647705299408</v>
      </c>
      <c r="AQ448" s="60">
        <f t="shared" si="402"/>
        <v>-78.988672158749495</v>
      </c>
      <c r="AR448" t="str">
        <f t="shared" si="378"/>
        <v>-1.94444444444444</v>
      </c>
      <c r="AS448" t="str">
        <f t="shared" si="379"/>
        <v>1+70.2049760237368i</v>
      </c>
      <c r="AT448">
        <f t="shared" si="403"/>
        <v>70.212097664814564</v>
      </c>
      <c r="AU448">
        <f t="shared" si="404"/>
        <v>1.5565532854278825</v>
      </c>
      <c r="AV448" t="str">
        <f t="shared" si="380"/>
        <v>1+70.2049760237368i</v>
      </c>
      <c r="AW448">
        <f t="shared" si="405"/>
        <v>70.212097664814564</v>
      </c>
      <c r="AX448">
        <f t="shared" si="406"/>
        <v>1.5565532854278825</v>
      </c>
      <c r="AY448" t="str">
        <f t="shared" si="381"/>
        <v>1-0.0000303063927227709i</v>
      </c>
      <c r="AZ448">
        <f t="shared" si="407"/>
        <v>1.0000000004592386</v>
      </c>
      <c r="BA448">
        <f t="shared" si="408"/>
        <v>-3.0306392713492321E-5</v>
      </c>
      <c r="BB448" s="58" t="str">
        <f t="shared" si="409"/>
        <v>-0.000393592330754134+0.0276910692406816i</v>
      </c>
      <c r="BC448">
        <f t="shared" si="410"/>
        <v>-31.152328176293093</v>
      </c>
      <c r="BD448" s="60">
        <f t="shared" si="411"/>
        <v>90.814329729365397</v>
      </c>
      <c r="BE448" s="58" t="str">
        <f t="shared" si="412"/>
        <v>-0.00132714264433485-0.00233708286695853i</v>
      </c>
      <c r="BF448" s="37">
        <f t="shared" si="413"/>
        <v>-51.412665164882398</v>
      </c>
      <c r="BG448" s="60">
        <f t="shared" si="414"/>
        <v>-119.59063536007709</v>
      </c>
      <c r="BH448" s="58" t="str">
        <f t="shared" si="415"/>
        <v>0.036720620832326+0.00768850047659233i</v>
      </c>
      <c r="BI448" s="37">
        <f t="shared" si="416"/>
        <v>-28.515463405763146</v>
      </c>
      <c r="BJ448" s="60">
        <f t="shared" si="417"/>
        <v>11.825657570615906</v>
      </c>
      <c r="BK448">
        <f t="shared" si="418"/>
        <v>-51.412665164882398</v>
      </c>
      <c r="BL448" s="60">
        <f t="shared" si="419"/>
        <v>-119.59063536007709</v>
      </c>
      <c r="BN448">
        <f t="shared" si="420"/>
        <v>0</v>
      </c>
      <c r="BO448">
        <f t="shared" si="421"/>
        <v>0</v>
      </c>
    </row>
    <row r="449" spans="13:67" ht="14.25" x14ac:dyDescent="0.2">
      <c r="M449" s="66">
        <v>31</v>
      </c>
      <c r="N449" s="36">
        <f t="shared" si="422"/>
        <v>204173.79446695308</v>
      </c>
      <c r="O449" s="91" t="str">
        <f t="shared" si="370"/>
        <v>99.7340425531915</v>
      </c>
      <c r="P449" s="67" t="str">
        <f t="shared" si="371"/>
        <v>1+37257.581642883i</v>
      </c>
      <c r="Q449" s="67">
        <f t="shared" si="382"/>
        <v>37257.581656303082</v>
      </c>
      <c r="R449" s="67">
        <f t="shared" si="383"/>
        <v>1.5707694866202082</v>
      </c>
      <c r="S449" s="67" t="str">
        <f t="shared" si="372"/>
        <v>1+70.04425348862i</v>
      </c>
      <c r="T449" s="67">
        <f t="shared" si="384"/>
        <v>70.051391469249609</v>
      </c>
      <c r="U449" s="67">
        <f t="shared" si="385"/>
        <v>1.5565206079853542</v>
      </c>
      <c r="V449" t="str">
        <f t="shared" si="373"/>
        <v>1-7.23534047025306i</v>
      </c>
      <c r="W449" s="67">
        <f t="shared" si="386"/>
        <v>7.3041188188912827</v>
      </c>
      <c r="X449" s="67">
        <f t="shared" si="387"/>
        <v>-1.4334559181708038</v>
      </c>
      <c r="Y449" t="str">
        <f t="shared" si="374"/>
        <v>-8.86673096971202+11.1839232582562i</v>
      </c>
      <c r="Z449" s="67">
        <f t="shared" si="388"/>
        <v>14.272317875377293</v>
      </c>
      <c r="AA449" s="67">
        <f t="shared" si="389"/>
        <v>2.2411379823175013</v>
      </c>
      <c r="AB449" s="92" t="str">
        <f t="shared" si="390"/>
        <v>-0.0819512673387598+0.0499352038883957i</v>
      </c>
      <c r="AC449" s="37">
        <f t="shared" si="391"/>
        <v>-20.357623064344807</v>
      </c>
      <c r="AD449" s="60">
        <f t="shared" si="392"/>
        <v>148.64487746893363</v>
      </c>
      <c r="AE449" t="str">
        <f t="shared" si="393"/>
        <v>118.329284003155</v>
      </c>
      <c r="AF449" t="str">
        <f t="shared" si="375"/>
        <v>1+29806.0653143064i</v>
      </c>
      <c r="AG449">
        <f t="shared" si="394"/>
        <v>29806.065331081507</v>
      </c>
      <c r="AH449">
        <f t="shared" si="395"/>
        <v>1.5707627765765408</v>
      </c>
      <c r="AI449" t="str">
        <f t="shared" si="376"/>
        <v>1+70.04425348862i</v>
      </c>
      <c r="AJ449">
        <f t="shared" si="396"/>
        <v>70.051391469249609</v>
      </c>
      <c r="AK449">
        <f t="shared" si="397"/>
        <v>1.5565206079853542</v>
      </c>
      <c r="AL449" t="str">
        <f t="shared" si="377"/>
        <v>1-4.87850907090492i</v>
      </c>
      <c r="AM449">
        <f t="shared" si="398"/>
        <v>4.9799448546044749</v>
      </c>
      <c r="AN449">
        <f t="shared" si="399"/>
        <v>-1.3686162918018994</v>
      </c>
      <c r="AO449" s="58" t="str">
        <f t="shared" si="400"/>
        <v>0.258751913212501-1.36054693273773i</v>
      </c>
      <c r="AP449">
        <f t="shared" si="401"/>
        <v>2.8285777517608328</v>
      </c>
      <c r="AQ449" s="60">
        <f t="shared" si="402"/>
        <v>-79.23195344448277</v>
      </c>
      <c r="AR449" t="str">
        <f t="shared" si="378"/>
        <v>-1.94444444444444</v>
      </c>
      <c r="AS449" t="str">
        <f t="shared" si="379"/>
        <v>1+71.840259988328i</v>
      </c>
      <c r="AT449">
        <f t="shared" si="403"/>
        <v>71.847219536949098</v>
      </c>
      <c r="AU449">
        <f t="shared" si="404"/>
        <v>1.5568774542714545</v>
      </c>
      <c r="AV449" t="str">
        <f t="shared" si="380"/>
        <v>1+71.840259988328i</v>
      </c>
      <c r="AW449">
        <f t="shared" si="405"/>
        <v>71.847219536949098</v>
      </c>
      <c r="AX449">
        <f t="shared" si="406"/>
        <v>1.5568774542714545</v>
      </c>
      <c r="AY449" t="str">
        <f t="shared" si="381"/>
        <v>1-0.0000296165350015961i</v>
      </c>
      <c r="AZ449">
        <f t="shared" si="407"/>
        <v>1.0000000004385696</v>
      </c>
      <c r="BA449">
        <f t="shared" si="408"/>
        <v>-2.9616534992936825E-5</v>
      </c>
      <c r="BB449" s="58" t="str">
        <f t="shared" si="409"/>
        <v>-0.000375881189496487+0.0270609900850971i</v>
      </c>
      <c r="BC449">
        <f t="shared" si="410"/>
        <v>-31.352288526174451</v>
      </c>
      <c r="BD449" s="60">
        <f t="shared" si="411"/>
        <v>90.795795748714937</v>
      </c>
      <c r="BE449" s="58" t="str">
        <f t="shared" si="412"/>
        <v>-0.00132049211747314-0.00223645213675064i</v>
      </c>
      <c r="BF449" s="37">
        <f t="shared" si="413"/>
        <v>-51.709911590519262</v>
      </c>
      <c r="BG449" s="60">
        <f t="shared" si="414"/>
        <v>-120.55932678235141</v>
      </c>
      <c r="BH449" s="58" t="str">
        <f t="shared" si="415"/>
        <v>0.0367204870802022+0.00751348695738665i</v>
      </c>
      <c r="BI449" s="37">
        <f t="shared" si="416"/>
        <v>-28.523710774413612</v>
      </c>
      <c r="BJ449" s="60">
        <f t="shared" si="417"/>
        <v>11.563842304232168</v>
      </c>
      <c r="BK449">
        <f t="shared" si="418"/>
        <v>-51.709911590519262</v>
      </c>
      <c r="BL449" s="60">
        <f t="shared" si="419"/>
        <v>-120.55932678235141</v>
      </c>
      <c r="BN449">
        <f t="shared" si="420"/>
        <v>0</v>
      </c>
      <c r="BO449">
        <f t="shared" si="421"/>
        <v>0</v>
      </c>
    </row>
    <row r="450" spans="13:67" ht="14.25" x14ac:dyDescent="0.2">
      <c r="M450" s="66">
        <v>32</v>
      </c>
      <c r="N450" s="36">
        <f t="shared" si="422"/>
        <v>208929.61308540447</v>
      </c>
      <c r="O450" s="91" t="str">
        <f t="shared" si="370"/>
        <v>99.7340425531915</v>
      </c>
      <c r="P450" s="67" t="str">
        <f t="shared" si="371"/>
        <v>1+38125.4222044904i</v>
      </c>
      <c r="Q450" s="67">
        <f t="shared" si="382"/>
        <v>38125.42221760501</v>
      </c>
      <c r="R450" s="67">
        <f t="shared" si="383"/>
        <v>1.5707700975771739</v>
      </c>
      <c r="S450" s="67" t="str">
        <f t="shared" si="372"/>
        <v>1+71.675793744442i</v>
      </c>
      <c r="T450" s="67">
        <f t="shared" si="384"/>
        <v>71.68276926079092</v>
      </c>
      <c r="U450" s="67">
        <f t="shared" si="385"/>
        <v>1.5568455203661116</v>
      </c>
      <c r="V450" t="str">
        <f t="shared" si="373"/>
        <v>1-7.40387319997533i</v>
      </c>
      <c r="W450" s="67">
        <f t="shared" si="386"/>
        <v>7.4711002109001958</v>
      </c>
      <c r="X450" s="67">
        <f t="shared" si="387"/>
        <v>-1.4365443111348788</v>
      </c>
      <c r="Y450" t="str">
        <f t="shared" si="374"/>
        <v>-9.3317356743235+11.4444302963794i</v>
      </c>
      <c r="Z450" s="67">
        <f t="shared" si="388"/>
        <v>14.766728666300081</v>
      </c>
      <c r="AA450" s="67">
        <f t="shared" si="389"/>
        <v>2.2548544571061551</v>
      </c>
      <c r="AB450" s="92" t="str">
        <f t="shared" si="390"/>
        <v>-0.0801932819239286+0.0506948922774996i</v>
      </c>
      <c r="AC450" s="37">
        <f t="shared" si="391"/>
        <v>-20.457123953403837</v>
      </c>
      <c r="AD450" s="60">
        <f t="shared" si="392"/>
        <v>147.70061057430013</v>
      </c>
      <c r="AE450" t="str">
        <f t="shared" si="393"/>
        <v>118.329284003155</v>
      </c>
      <c r="AF450" t="str">
        <f t="shared" si="375"/>
        <v>1+30500.3377635924i</v>
      </c>
      <c r="AG450">
        <f t="shared" si="394"/>
        <v>30500.337779985664</v>
      </c>
      <c r="AH450">
        <f t="shared" si="395"/>
        <v>1.5707635402727476</v>
      </c>
      <c r="AI450" t="str">
        <f t="shared" si="376"/>
        <v>1+71.675793744442i</v>
      </c>
      <c r="AJ450">
        <f t="shared" si="396"/>
        <v>71.68276926079092</v>
      </c>
      <c r="AK450">
        <f t="shared" si="397"/>
        <v>1.5568455203661116</v>
      </c>
      <c r="AL450" t="str">
        <f t="shared" si="377"/>
        <v>1-4.99214414503513i</v>
      </c>
      <c r="AM450">
        <f t="shared" si="398"/>
        <v>5.0913164471292225</v>
      </c>
      <c r="AN450">
        <f t="shared" si="399"/>
        <v>-1.3730981615278457</v>
      </c>
      <c r="AO450" s="58" t="str">
        <f t="shared" si="400"/>
        <v>0.258751907230916-1.3920557015751i</v>
      </c>
      <c r="AP450">
        <f t="shared" si="401"/>
        <v>3.0206490697563866</v>
      </c>
      <c r="AQ450" s="60">
        <f t="shared" si="402"/>
        <v>-79.470173312547459</v>
      </c>
      <c r="AR450" t="str">
        <f t="shared" si="378"/>
        <v>-1.94444444444444</v>
      </c>
      <c r="AS450" t="str">
        <f t="shared" si="379"/>
        <v>1+73.5136346096839i</v>
      </c>
      <c r="AT450">
        <f t="shared" si="403"/>
        <v>73.520435754462966</v>
      </c>
      <c r="AU450">
        <f t="shared" si="404"/>
        <v>1.557194246958191</v>
      </c>
      <c r="AV450" t="str">
        <f t="shared" si="380"/>
        <v>1+73.5136346096839i</v>
      </c>
      <c r="AW450">
        <f t="shared" si="405"/>
        <v>73.520435754462966</v>
      </c>
      <c r="AX450">
        <f t="shared" si="406"/>
        <v>1.557194246958191</v>
      </c>
      <c r="AY450" t="str">
        <f t="shared" si="381"/>
        <v>1-0.0000289423803593001i</v>
      </c>
      <c r="AZ450">
        <f t="shared" si="407"/>
        <v>1.0000000004188305</v>
      </c>
      <c r="BA450">
        <f t="shared" si="408"/>
        <v>-2.8942380351218794E-5</v>
      </c>
      <c r="BB450" s="58" t="str">
        <f t="shared" si="409"/>
        <v>-0.000358966879007907+0.0264452368310645i</v>
      </c>
      <c r="BC450">
        <f t="shared" si="410"/>
        <v>-31.552250660267248</v>
      </c>
      <c r="BD450" s="60">
        <f t="shared" si="411"/>
        <v>90.777683491000033</v>
      </c>
      <c r="BE450" s="58" t="str">
        <f t="shared" si="412"/>
        <v>-0.00131185170027415-0.00213892812000111i</v>
      </c>
      <c r="BF450" s="37">
        <f t="shared" si="413"/>
        <v>-52.009374613671078</v>
      </c>
      <c r="BG450" s="60">
        <f t="shared" si="414"/>
        <v>-121.52170593469991</v>
      </c>
      <c r="BH450" s="58" t="str">
        <f t="shared" si="415"/>
        <v>0.0367203593456111+0.00734245735781078i</v>
      </c>
      <c r="BI450" s="37">
        <f t="shared" si="416"/>
        <v>-28.531601590510867</v>
      </c>
      <c r="BJ450" s="60">
        <f t="shared" si="417"/>
        <v>11.307510178452604</v>
      </c>
      <c r="BK450">
        <f t="shared" si="418"/>
        <v>-52.009374613671078</v>
      </c>
      <c r="BL450" s="60">
        <f t="shared" si="419"/>
        <v>-121.52170593469991</v>
      </c>
      <c r="BN450">
        <f t="shared" si="420"/>
        <v>0</v>
      </c>
      <c r="BO450">
        <f t="shared" si="421"/>
        <v>0</v>
      </c>
    </row>
    <row r="451" spans="13:67" ht="14.25" x14ac:dyDescent="0.2">
      <c r="M451" s="66">
        <v>33</v>
      </c>
      <c r="N451" s="36">
        <f t="shared" si="422"/>
        <v>213796.20895022334</v>
      </c>
      <c r="O451" s="91" t="str">
        <f t="shared" si="370"/>
        <v>99.7340425531915</v>
      </c>
      <c r="P451" s="67" t="str">
        <f t="shared" si="371"/>
        <v>1+39013.4773696i</v>
      </c>
      <c r="Q451" s="67">
        <f t="shared" si="382"/>
        <v>39013.47738241608</v>
      </c>
      <c r="R451" s="67">
        <f t="shared" si="383"/>
        <v>1.5707706946270612</v>
      </c>
      <c r="S451" s="67" t="str">
        <f t="shared" si="372"/>
        <v>1+73.3453374548481i</v>
      </c>
      <c r="T451" s="67">
        <f t="shared" si="384"/>
        <v>73.352154203987382</v>
      </c>
      <c r="U451" s="67">
        <f t="shared" si="385"/>
        <v>1.5571630396845599</v>
      </c>
      <c r="V451" t="str">
        <f t="shared" si="373"/>
        <v>1-7.57633156127002i</v>
      </c>
      <c r="W451" s="67">
        <f t="shared" si="386"/>
        <v>7.6420416072078687</v>
      </c>
      <c r="X451" s="67">
        <f t="shared" si="387"/>
        <v>-1.4395648954014113</v>
      </c>
      <c r="Y451" t="str">
        <f t="shared" si="374"/>
        <v>-9.8186553755+11.7110053229306i</v>
      </c>
      <c r="Z451" s="67">
        <f t="shared" si="388"/>
        <v>15.282461812697061</v>
      </c>
      <c r="AA451" s="67">
        <f t="shared" si="389"/>
        <v>2.2685247725743336</v>
      </c>
      <c r="AB451" s="92" t="str">
        <f t="shared" si="390"/>
        <v>-0.0784286031379507+0.0513956798379643i</v>
      </c>
      <c r="AC451" s="37">
        <f t="shared" si="391"/>
        <v>-20.558845756166395</v>
      </c>
      <c r="AD451" s="60">
        <f t="shared" si="392"/>
        <v>146.76245077164739</v>
      </c>
      <c r="AE451" t="str">
        <f t="shared" si="393"/>
        <v>118.329284003155</v>
      </c>
      <c r="AF451" t="str">
        <f t="shared" si="375"/>
        <v>1+31210.78189568i</v>
      </c>
      <c r="AG451">
        <f t="shared" si="394"/>
        <v>31210.781911700102</v>
      </c>
      <c r="AH451">
        <f t="shared" si="395"/>
        <v>1.5707642865851064</v>
      </c>
      <c r="AI451" t="str">
        <f t="shared" si="376"/>
        <v>1+73.3453374548481i</v>
      </c>
      <c r="AJ451">
        <f t="shared" si="396"/>
        <v>73.352154203987382</v>
      </c>
      <c r="AK451">
        <f t="shared" si="397"/>
        <v>1.5571630396845599</v>
      </c>
      <c r="AL451" t="str">
        <f t="shared" si="377"/>
        <v>1-5.10842612006983i</v>
      </c>
      <c r="AM451">
        <f t="shared" si="398"/>
        <v>5.2053835040476804</v>
      </c>
      <c r="AN451">
        <f t="shared" si="399"/>
        <v>-1.3774858013599705</v>
      </c>
      <c r="AO451" s="58" t="str">
        <f t="shared" si="400"/>
        <v>0.258751901518548-1.42430255677145i</v>
      </c>
      <c r="AP451">
        <f t="shared" si="401"/>
        <v>3.2130638362860604</v>
      </c>
      <c r="AQ451" s="60">
        <f t="shared" si="402"/>
        <v>-79.703416800639047</v>
      </c>
      <c r="AR451" t="str">
        <f t="shared" si="378"/>
        <v>-1.94444444444444</v>
      </c>
      <c r="AS451" t="str">
        <f t="shared" si="379"/>
        <v>1+75.2259871331773i</v>
      </c>
      <c r="AT451">
        <f t="shared" si="403"/>
        <v>75.232633478836547</v>
      </c>
      <c r="AU451">
        <f t="shared" si="404"/>
        <v>1.5575038312012806</v>
      </c>
      <c r="AV451" t="str">
        <f t="shared" si="380"/>
        <v>1+75.2259871331773i</v>
      </c>
      <c r="AW451">
        <f t="shared" si="405"/>
        <v>75.232633478836547</v>
      </c>
      <c r="AX451">
        <f t="shared" si="406"/>
        <v>1.5575038312012806</v>
      </c>
      <c r="AY451" t="str">
        <f t="shared" si="381"/>
        <v>1-0.0000282835713501686i</v>
      </c>
      <c r="AZ451">
        <f t="shared" si="407"/>
        <v>1.00000000039998</v>
      </c>
      <c r="BA451">
        <f t="shared" si="408"/>
        <v>-2.8283571342626686E-5</v>
      </c>
      <c r="BB451" s="58" t="str">
        <f t="shared" si="409"/>
        <v>-0.000342813562552617+0.0258434844788427i</v>
      </c>
      <c r="BC451">
        <f t="shared" si="410"/>
        <v>-31.752214498298326</v>
      </c>
      <c r="BD451" s="60">
        <f t="shared" si="411"/>
        <v>90.759983367442956</v>
      </c>
      <c r="BE451" s="58" t="str">
        <f t="shared" si="412"/>
        <v>-0.00130135706532425-0.00204448752399801i</v>
      </c>
      <c r="BF451" s="37">
        <f t="shared" si="413"/>
        <v>-52.311060254464721</v>
      </c>
      <c r="BG451" s="60">
        <f t="shared" si="414"/>
        <v>-122.47756586090956</v>
      </c>
      <c r="BH451" s="58" t="str">
        <f t="shared" si="415"/>
        <v>0.0367202373579221+0.00717532098440525i</v>
      </c>
      <c r="BI451" s="37">
        <f t="shared" si="416"/>
        <v>-28.539150662012268</v>
      </c>
      <c r="BJ451" s="60">
        <f t="shared" si="417"/>
        <v>11.056566566803925</v>
      </c>
      <c r="BK451">
        <f t="shared" si="418"/>
        <v>-52.311060254464721</v>
      </c>
      <c r="BL451" s="60">
        <f t="shared" si="419"/>
        <v>-122.47756586090956</v>
      </c>
      <c r="BN451">
        <f t="shared" si="420"/>
        <v>0</v>
      </c>
      <c r="BO451">
        <f t="shared" si="421"/>
        <v>0</v>
      </c>
    </row>
    <row r="452" spans="13:67" ht="14.25" x14ac:dyDescent="0.2">
      <c r="M452" s="66">
        <v>34</v>
      </c>
      <c r="N452" s="36">
        <f t="shared" si="422"/>
        <v>218776.16239495538</v>
      </c>
      <c r="O452" s="91" t="str">
        <f t="shared" si="370"/>
        <v>99.7340425531915</v>
      </c>
      <c r="P452" s="67" t="str">
        <f t="shared" si="371"/>
        <v>1+39922.2179968155i</v>
      </c>
      <c r="Q452" s="67">
        <f t="shared" si="382"/>
        <v>39922.218009339857</v>
      </c>
      <c r="R452" s="67">
        <f t="shared" si="383"/>
        <v>1.5707712780864338</v>
      </c>
      <c r="S452" s="67" t="str">
        <f t="shared" si="372"/>
        <v>1+75.0537698340132i</v>
      </c>
      <c r="T452" s="67">
        <f t="shared" si="384"/>
        <v>75.060431428929505</v>
      </c>
      <c r="U452" s="67">
        <f t="shared" si="385"/>
        <v>1.557473334037403</v>
      </c>
      <c r="V452" t="str">
        <f t="shared" si="373"/>
        <v>1-7.75280699384312i</v>
      </c>
      <c r="W452" s="67">
        <f t="shared" si="386"/>
        <v>7.8170337266627428</v>
      </c>
      <c r="X452" s="67">
        <f t="shared" si="387"/>
        <v>-1.4425190519307873</v>
      </c>
      <c r="Y452" t="str">
        <f t="shared" si="374"/>
        <v>-10.3285228952104+11.9837896795175i</v>
      </c>
      <c r="Z452" s="67">
        <f t="shared" si="388"/>
        <v>15.82054361517946</v>
      </c>
      <c r="AA452" s="67">
        <f t="shared" si="389"/>
        <v>2.2821438903214561</v>
      </c>
      <c r="AB452" s="92" t="str">
        <f t="shared" si="390"/>
        <v>-0.0766594763386126+0.052037863687886i</v>
      </c>
      <c r="AC452" s="37">
        <f t="shared" si="391"/>
        <v>-20.662791989312623</v>
      </c>
      <c r="AD452" s="60">
        <f t="shared" si="392"/>
        <v>145.83061722995643</v>
      </c>
      <c r="AE452" t="str">
        <f t="shared" si="393"/>
        <v>118.329284003155</v>
      </c>
      <c r="AF452" t="str">
        <f t="shared" si="375"/>
        <v>1+31937.7743974524i</v>
      </c>
      <c r="AG452">
        <f t="shared" si="394"/>
        <v>31937.774413107836</v>
      </c>
      <c r="AH452">
        <f t="shared" si="395"/>
        <v>1.5707650159093218</v>
      </c>
      <c r="AI452" t="str">
        <f t="shared" si="376"/>
        <v>1+75.0537698340132i</v>
      </c>
      <c r="AJ452">
        <f t="shared" si="396"/>
        <v>75.060431428929505</v>
      </c>
      <c r="AK452">
        <f t="shared" si="397"/>
        <v>1.557473334037403</v>
      </c>
      <c r="AL452" t="str">
        <f t="shared" si="377"/>
        <v>1-5.22741665025142i</v>
      </c>
      <c r="AM452">
        <f t="shared" si="398"/>
        <v>5.322206763676677</v>
      </c>
      <c r="AN452">
        <f t="shared" si="399"/>
        <v>-1.3817808616147851</v>
      </c>
      <c r="AO452" s="58" t="str">
        <f t="shared" si="400"/>
        <v>0.258751896063277-1.45730459603626i</v>
      </c>
      <c r="AP452">
        <f t="shared" si="401"/>
        <v>3.4058077301785659</v>
      </c>
      <c r="AQ452" s="60">
        <f t="shared" si="402"/>
        <v>-79.931768856369132</v>
      </c>
      <c r="AR452" t="str">
        <f t="shared" si="378"/>
        <v>-1.94444444444444</v>
      </c>
      <c r="AS452" t="str">
        <f t="shared" si="379"/>
        <v>1+76.9782254707825i</v>
      </c>
      <c r="AT452">
        <f t="shared" si="403"/>
        <v>76.984720540056699</v>
      </c>
      <c r="AU452">
        <f t="shared" si="404"/>
        <v>1.5578063709088803</v>
      </c>
      <c r="AV452" t="str">
        <f t="shared" si="380"/>
        <v>1+76.9782254707825i</v>
      </c>
      <c r="AW452">
        <f t="shared" si="405"/>
        <v>76.984720540056699</v>
      </c>
      <c r="AX452">
        <f t="shared" si="406"/>
        <v>1.5578063709088803</v>
      </c>
      <c r="AY452" t="str">
        <f t="shared" si="381"/>
        <v>1-0.0000276397586649441i</v>
      </c>
      <c r="AZ452">
        <f t="shared" si="407"/>
        <v>1.000000000381978</v>
      </c>
      <c r="BA452">
        <f t="shared" si="408"/>
        <v>-2.7639758657905578E-5</v>
      </c>
      <c r="BB452" s="58" t="str">
        <f t="shared" si="409"/>
        <v>-0.000327387013977867+0.0252554153533763i</v>
      </c>
      <c r="BC452">
        <f t="shared" si="410"/>
        <v>-31.952179963605051</v>
      </c>
      <c r="BD452" s="60">
        <f t="shared" si="411"/>
        <v>90.742686006811994</v>
      </c>
      <c r="BE452" s="58" t="str">
        <f t="shared" si="412"/>
        <v>-0.00128914054448833-0.00195310343651055i</v>
      </c>
      <c r="BF452" s="37">
        <f t="shared" si="413"/>
        <v>-52.614971952917678</v>
      </c>
      <c r="BG452" s="60">
        <f t="shared" si="414"/>
        <v>-123.42669676323146</v>
      </c>
      <c r="BH452" s="58" t="str">
        <f t="shared" si="415"/>
        <v>0.0367201208586667+0.00701198920870425i</v>
      </c>
      <c r="BI452" s="37">
        <f t="shared" si="416"/>
        <v>-28.546372233426496</v>
      </c>
      <c r="BJ452" s="60">
        <f t="shared" si="417"/>
        <v>10.810917150442897</v>
      </c>
      <c r="BK452">
        <f t="shared" si="418"/>
        <v>-52.614971952917678</v>
      </c>
      <c r="BL452" s="60">
        <f t="shared" si="419"/>
        <v>-123.42669676323146</v>
      </c>
      <c r="BN452">
        <f t="shared" si="420"/>
        <v>0</v>
      </c>
      <c r="BO452">
        <f t="shared" si="421"/>
        <v>0</v>
      </c>
    </row>
    <row r="453" spans="13:67" ht="14.25" x14ac:dyDescent="0.2">
      <c r="M453" s="66">
        <v>35</v>
      </c>
      <c r="N453" s="36">
        <f t="shared" si="422"/>
        <v>223872.11385683404</v>
      </c>
      <c r="O453" s="91" t="str">
        <f t="shared" si="370"/>
        <v>99.7340425531915</v>
      </c>
      <c r="P453" s="67" t="str">
        <f t="shared" si="371"/>
        <v>1+40852.125912446i</v>
      </c>
      <c r="Q453" s="67">
        <f t="shared" si="382"/>
        <v>40852.125924685264</v>
      </c>
      <c r="R453" s="67">
        <f t="shared" si="383"/>
        <v>1.5707718482646498</v>
      </c>
      <c r="S453" s="67" t="str">
        <f t="shared" si="372"/>
        <v>1+76.8019967153986i</v>
      </c>
      <c r="T453" s="67">
        <f t="shared" si="384"/>
        <v>76.808506686903485</v>
      </c>
      <c r="U453" s="67">
        <f t="shared" si="385"/>
        <v>1.5577765677076689</v>
      </c>
      <c r="V453" t="str">
        <f t="shared" si="373"/>
        <v>1-7.9333930673049i</v>
      </c>
      <c r="W453" s="67">
        <f t="shared" si="386"/>
        <v>7.9961694304436453</v>
      </c>
      <c r="X453" s="67">
        <f t="shared" si="387"/>
        <v>-1.4454081406980619</v>
      </c>
      <c r="Y453" t="str">
        <f t="shared" si="374"/>
        <v>-10.8624197308231+12.2629280000167i</v>
      </c>
      <c r="Z453" s="67">
        <f t="shared" si="388"/>
        <v>16.382050101930727</v>
      </c>
      <c r="AA453" s="67">
        <f t="shared" si="389"/>
        <v>2.2957067593745961</v>
      </c>
      <c r="AB453" s="92" t="str">
        <f t="shared" si="390"/>
        <v>-0.0748881325377588+0.0526218525137121i</v>
      </c>
      <c r="AC453" s="37">
        <f t="shared" si="391"/>
        <v>-20.768963590670072</v>
      </c>
      <c r="AD453" s="60">
        <f t="shared" si="392"/>
        <v>144.90533082282656</v>
      </c>
      <c r="AE453" t="str">
        <f t="shared" si="393"/>
        <v>118.329284003155</v>
      </c>
      <c r="AF453" t="str">
        <f t="shared" si="375"/>
        <v>1+32681.7007299568i</v>
      </c>
      <c r="AG453">
        <f t="shared" si="394"/>
        <v>32681.700745255879</v>
      </c>
      <c r="AH453">
        <f t="shared" si="395"/>
        <v>1.5707657286320913</v>
      </c>
      <c r="AI453" t="str">
        <f t="shared" si="376"/>
        <v>1+76.8019967153986i</v>
      </c>
      <c r="AJ453">
        <f t="shared" si="396"/>
        <v>76.808506686903485</v>
      </c>
      <c r="AK453">
        <f t="shared" si="397"/>
        <v>1.5577765677076689</v>
      </c>
      <c r="AL453" t="str">
        <f t="shared" si="377"/>
        <v>1-5.34917882593403i</v>
      </c>
      <c r="AM453">
        <f t="shared" si="398"/>
        <v>5.4418484094856012</v>
      </c>
      <c r="AN453">
        <f t="shared" si="399"/>
        <v>-1.3859849854179909</v>
      </c>
      <c r="AO453" s="58" t="str">
        <f t="shared" si="400"/>
        <v>0.258751890853534-1.49107931748759i</v>
      </c>
      <c r="AP453">
        <f t="shared" si="401"/>
        <v>3.5988669801209228</v>
      </c>
      <c r="AQ453" s="60">
        <f t="shared" si="402"/>
        <v>-80.155314233337478</v>
      </c>
      <c r="AR453" t="str">
        <f t="shared" si="378"/>
        <v>-1.94444444444444</v>
      </c>
      <c r="AS453" t="str">
        <f t="shared" si="379"/>
        <v>1+78.7712786824598i</v>
      </c>
      <c r="AT453">
        <f t="shared" si="403"/>
        <v>78.777625917958105</v>
      </c>
      <c r="AU453">
        <f t="shared" si="404"/>
        <v>1.5581020262698884</v>
      </c>
      <c r="AV453" t="str">
        <f t="shared" si="380"/>
        <v>1+78.7712786824598i</v>
      </c>
      <c r="AW453">
        <f t="shared" si="405"/>
        <v>78.777625917958105</v>
      </c>
      <c r="AX453">
        <f t="shared" si="406"/>
        <v>1.5581020262698884</v>
      </c>
      <c r="AY453" t="str">
        <f t="shared" si="381"/>
        <v>1-0.0000270106009456192i</v>
      </c>
      <c r="AZ453">
        <f t="shared" si="407"/>
        <v>1.0000000003647862</v>
      </c>
      <c r="BA453">
        <f t="shared" si="408"/>
        <v>-2.7010600939050468E-5</v>
      </c>
      <c r="BB453" s="58" t="str">
        <f t="shared" si="409"/>
        <v>-0.000312654545431187+0.0246807189424477i</v>
      </c>
      <c r="BC453">
        <f t="shared" si="410"/>
        <v>-32.152146982972667</v>
      </c>
      <c r="BD453" s="60">
        <f t="shared" si="411"/>
        <v>90.725782250517753</v>
      </c>
      <c r="BE453" s="58" t="str">
        <f t="shared" si="412"/>
        <v>-0.00127533103708508-0.00186474541266662i</v>
      </c>
      <c r="BF453" s="37">
        <f t="shared" si="413"/>
        <v>-52.921110573642736</v>
      </c>
      <c r="BG453" s="60">
        <f t="shared" si="414"/>
        <v>-124.36888692665565</v>
      </c>
      <c r="BH453" s="58" t="str">
        <f t="shared" si="415"/>
        <v>0.0367200096009937+0.0068523754201939i</v>
      </c>
      <c r="BI453" s="37">
        <f t="shared" si="416"/>
        <v>-28.553280002851743</v>
      </c>
      <c r="BJ453" s="60">
        <f t="shared" si="417"/>
        <v>10.57046801718028</v>
      </c>
      <c r="BK453">
        <f t="shared" si="418"/>
        <v>-52.921110573642736</v>
      </c>
      <c r="BL453" s="60">
        <f t="shared" si="419"/>
        <v>-124.36888692665565</v>
      </c>
      <c r="BN453">
        <f t="shared" si="420"/>
        <v>0</v>
      </c>
      <c r="BO453">
        <f t="shared" si="421"/>
        <v>0</v>
      </c>
    </row>
    <row r="454" spans="13:67" ht="14.25" x14ac:dyDescent="0.2">
      <c r="M454" s="66">
        <v>36</v>
      </c>
      <c r="N454" s="36">
        <f t="shared" si="422"/>
        <v>229086.76527677779</v>
      </c>
      <c r="O454" s="91" t="str">
        <f t="shared" si="370"/>
        <v>99.7340425531915</v>
      </c>
      <c r="P454" s="67" t="str">
        <f t="shared" si="371"/>
        <v>1+41803.694165977i</v>
      </c>
      <c r="Q454" s="67">
        <f t="shared" si="382"/>
        <v>41803.694177937672</v>
      </c>
      <c r="R454" s="67">
        <f t="shared" si="383"/>
        <v>1.5707724054640249</v>
      </c>
      <c r="S454" s="67" t="str">
        <f t="shared" si="372"/>
        <v>1+78.5909450320368i</v>
      </c>
      <c r="T454" s="67">
        <f t="shared" si="384"/>
        <v>78.597306830632746</v>
      </c>
      <c r="U454" s="67">
        <f t="shared" si="385"/>
        <v>1.5580729012506755</v>
      </c>
      <c r="V454" t="str">
        <f t="shared" si="373"/>
        <v>1-8.11818553078182i</v>
      </c>
      <c r="W454" s="67">
        <f t="shared" si="386"/>
        <v>8.1795437716412582</v>
      </c>
      <c r="X454" s="67">
        <f t="shared" si="387"/>
        <v>-1.4482335005156148</v>
      </c>
      <c r="Y454" t="str">
        <f t="shared" si="374"/>
        <v>-11.4214783491072+12.5485682872605i</v>
      </c>
      <c r="Z454" s="67">
        <f t="shared" si="388"/>
        <v>16.968109315394113</v>
      </c>
      <c r="AA454" s="67">
        <f t="shared" si="389"/>
        <v>2.3092083325088169</v>
      </c>
      <c r="AB454" s="92" t="str">
        <f t="shared" si="390"/>
        <v>-0.0731167803643549+0.0531481657051362i</v>
      </c>
      <c r="AC454" s="37">
        <f t="shared" si="391"/>
        <v>-20.877358934294374</v>
      </c>
      <c r="AD454" s="60">
        <f t="shared" si="392"/>
        <v>143.98681320846677</v>
      </c>
      <c r="AE454" t="str">
        <f t="shared" si="393"/>
        <v>118.329284003155</v>
      </c>
      <c r="AF454" t="str">
        <f t="shared" si="375"/>
        <v>1+33442.9553327816i</v>
      </c>
      <c r="AG454">
        <f t="shared" si="394"/>
        <v>33442.95534773243</v>
      </c>
      <c r="AH454">
        <f t="shared" si="395"/>
        <v>1.57076642513131</v>
      </c>
      <c r="AI454" t="str">
        <f t="shared" si="376"/>
        <v>1+78.5909450320368i</v>
      </c>
      <c r="AJ454">
        <f t="shared" si="396"/>
        <v>78.597306830632746</v>
      </c>
      <c r="AK454">
        <f t="shared" si="397"/>
        <v>1.5580729012506755</v>
      </c>
      <c r="AL454" t="str">
        <f t="shared" si="377"/>
        <v>1-5.47377720703488i</v>
      </c>
      <c r="AM454">
        <f t="shared" si="398"/>
        <v>5.5643721040432386</v>
      </c>
      <c r="AN454">
        <f t="shared" si="399"/>
        <v>-1.3900998071111703</v>
      </c>
      <c r="AO454" s="58" t="str">
        <f t="shared" si="400"/>
        <v>0.258751885878268-1.5256446289298i</v>
      </c>
      <c r="AP454">
        <f t="shared" si="401"/>
        <v>3.7922283475897429</v>
      </c>
      <c r="AQ454" s="60">
        <f t="shared" si="402"/>
        <v>-80.374137394928795</v>
      </c>
      <c r="AR454" t="str">
        <f t="shared" si="378"/>
        <v>-1.94444444444444</v>
      </c>
      <c r="AS454" t="str">
        <f t="shared" si="379"/>
        <v>1+80.6060974687554i</v>
      </c>
      <c r="AT454">
        <f t="shared" si="403"/>
        <v>80.612300234781131</v>
      </c>
      <c r="AU454">
        <f t="shared" si="404"/>
        <v>1.5583909538378211</v>
      </c>
      <c r="AV454" t="str">
        <f t="shared" si="380"/>
        <v>1+80.6060974687554i</v>
      </c>
      <c r="AW454">
        <f t="shared" si="405"/>
        <v>80.612300234781131</v>
      </c>
      <c r="AX454">
        <f t="shared" si="406"/>
        <v>1.5583909538378211</v>
      </c>
      <c r="AY454" t="str">
        <f t="shared" si="381"/>
        <v>1-0.0000263957646044433i</v>
      </c>
      <c r="AZ454">
        <f t="shared" si="407"/>
        <v>1.0000000003483682</v>
      </c>
      <c r="BA454">
        <f t="shared" si="408"/>
        <v>-2.6395764598313005E-5</v>
      </c>
      <c r="BB454" s="58" t="str">
        <f t="shared" si="409"/>
        <v>-0.00029858493831281+0.0241190917381867i</v>
      </c>
      <c r="BC454">
        <f t="shared" si="410"/>
        <v>-32.352115486479434</v>
      </c>
      <c r="BD454" s="60">
        <f t="shared" si="411"/>
        <v>90.709263147817651</v>
      </c>
      <c r="BE454" s="58" t="str">
        <f t="shared" si="412"/>
        <v>-0.00126005391500381-0.00177937957498723i</v>
      </c>
      <c r="BF454" s="37">
        <f t="shared" si="413"/>
        <v>-53.229474420773798</v>
      </c>
      <c r="BG454" s="60">
        <f t="shared" si="414"/>
        <v>-125.30392364371568</v>
      </c>
      <c r="BH454" s="58" t="str">
        <f t="shared" si="415"/>
        <v>0.0367199033491464+0.00669639498034304i</v>
      </c>
      <c r="BI454" s="37">
        <f t="shared" si="416"/>
        <v>-28.559887138889685</v>
      </c>
      <c r="BJ454" s="60">
        <f t="shared" si="417"/>
        <v>10.335125752888853</v>
      </c>
      <c r="BK454">
        <f t="shared" si="418"/>
        <v>-53.229474420773798</v>
      </c>
      <c r="BL454" s="60">
        <f t="shared" si="419"/>
        <v>-125.30392364371568</v>
      </c>
      <c r="BN454">
        <f t="shared" si="420"/>
        <v>0</v>
      </c>
      <c r="BO454">
        <f t="shared" si="421"/>
        <v>0</v>
      </c>
    </row>
    <row r="455" spans="13:67" ht="14.25" x14ac:dyDescent="0.2">
      <c r="M455" s="66">
        <v>37</v>
      </c>
      <c r="N455" s="36">
        <f t="shared" si="422"/>
        <v>234422.88153199267</v>
      </c>
      <c r="O455" s="91" t="str">
        <f t="shared" si="370"/>
        <v>99.7340425531915</v>
      </c>
      <c r="P455" s="67" t="str">
        <f t="shared" si="371"/>
        <v>1+42777.4272914922i</v>
      </c>
      <c r="Q455" s="67">
        <f t="shared" si="382"/>
        <v>42777.427303180608</v>
      </c>
      <c r="R455" s="67">
        <f t="shared" si="383"/>
        <v>1.5707729499799936</v>
      </c>
      <c r="S455" s="67" t="str">
        <f t="shared" si="372"/>
        <v>1+80.4215633080052i</v>
      </c>
      <c r="T455" s="67">
        <f t="shared" si="384"/>
        <v>80.427780305709604</v>
      </c>
      <c r="U455" s="67">
        <f t="shared" si="385"/>
        <v>1.5583624915780934</v>
      </c>
      <c r="V455" t="str">
        <f t="shared" si="373"/>
        <v>1-8.30728236368406i</v>
      </c>
      <c r="W455" s="67">
        <f t="shared" si="386"/>
        <v>8.3672540459804505</v>
      </c>
      <c r="X455" s="67">
        <f t="shared" si="387"/>
        <v>-1.4509964488991185</v>
      </c>
      <c r="Y455" t="str">
        <f t="shared" si="374"/>
        <v>-12.0068845883463+12.8408619915102i</v>
      </c>
      <c r="Z455" s="67">
        <f t="shared" si="388"/>
        <v>17.579903702889823</v>
      </c>
      <c r="AA455" s="67">
        <f t="shared" si="389"/>
        <v>2.3226435824249498</v>
      </c>
      <c r="AB455" s="92" t="str">
        <f t="shared" si="390"/>
        <v>-0.0713475981272811+0.0536174317732789i</v>
      </c>
      <c r="AC455" s="37">
        <f t="shared" si="391"/>
        <v>-20.987973855667327</v>
      </c>
      <c r="AD455" s="60">
        <f t="shared" si="392"/>
        <v>143.07528591526355</v>
      </c>
      <c r="AE455" t="str">
        <f t="shared" si="393"/>
        <v>118.329284003155</v>
      </c>
      <c r="AF455" t="str">
        <f t="shared" si="375"/>
        <v>1+34221.9418331937i</v>
      </c>
      <c r="AG455">
        <f t="shared" si="394"/>
        <v>34221.941847804199</v>
      </c>
      <c r="AH455">
        <f t="shared" si="395"/>
        <v>1.5707671057762709</v>
      </c>
      <c r="AI455" t="str">
        <f t="shared" si="376"/>
        <v>1+80.4215633080052i</v>
      </c>
      <c r="AJ455">
        <f t="shared" si="396"/>
        <v>80.427780305709604</v>
      </c>
      <c r="AK455">
        <f t="shared" si="397"/>
        <v>1.5583624915780934</v>
      </c>
      <c r="AL455" t="str">
        <f t="shared" si="377"/>
        <v>1-5.60127785726491i</v>
      </c>
      <c r="AM455">
        <f t="shared" si="398"/>
        <v>5.6898430236946069</v>
      </c>
      <c r="AN455">
        <f t="shared" si="399"/>
        <v>-1.3941269507849623</v>
      </c>
      <c r="AO455" s="58" t="str">
        <f t="shared" si="400"/>
        <v>0.258751881126926-1.56101885734854i</v>
      </c>
      <c r="AP455">
        <f t="shared" si="401"/>
        <v>3.9858791099546536</v>
      </c>
      <c r="AQ455" s="60">
        <f t="shared" si="402"/>
        <v>-80.588322425464611</v>
      </c>
      <c r="AR455" t="str">
        <f t="shared" si="378"/>
        <v>-1.94444444444444</v>
      </c>
      <c r="AS455" t="str">
        <f t="shared" si="379"/>
        <v>1+82.4836546748769i</v>
      </c>
      <c r="AT455">
        <f t="shared" si="403"/>
        <v>82.489716259206162</v>
      </c>
      <c r="AU455">
        <f t="shared" si="404"/>
        <v>1.5586733066128331</v>
      </c>
      <c r="AV455" t="str">
        <f t="shared" si="380"/>
        <v>1+82.4836546748769i</v>
      </c>
      <c r="AW455">
        <f t="shared" si="405"/>
        <v>82.489716259206162</v>
      </c>
      <c r="AX455">
        <f t="shared" si="406"/>
        <v>1.5586733066128331</v>
      </c>
      <c r="AY455" t="str">
        <f t="shared" si="381"/>
        <v>1-0.0000257949236470499i</v>
      </c>
      <c r="AZ455">
        <f t="shared" si="407"/>
        <v>1.000000000332689</v>
      </c>
      <c r="BA455">
        <f t="shared" si="408"/>
        <v>-2.5794923641328776E-5</v>
      </c>
      <c r="BB455" s="58" t="str">
        <f t="shared" si="409"/>
        <v>-0.000285148377319267+0.0235702370818843i</v>
      </c>
      <c r="BC455">
        <f t="shared" si="410"/>
        <v>-32.552085407348692</v>
      </c>
      <c r="BD455" s="60">
        <f t="shared" si="411"/>
        <v>90.693119951126647</v>
      </c>
      <c r="BE455" s="58" t="str">
        <f t="shared" si="412"/>
        <v>-0.00124343092678632-0.0016969687267492i</v>
      </c>
      <c r="BF455" s="37">
        <f t="shared" si="413"/>
        <v>-53.540059263015998</v>
      </c>
      <c r="BG455" s="60">
        <f t="shared" si="414"/>
        <v>-126.23159413360979</v>
      </c>
      <c r="BH455" s="58" t="str">
        <f t="shared" si="415"/>
        <v>0.0367198018779656+0.0065439651776829i</v>
      </c>
      <c r="BI455" s="37">
        <f t="shared" si="416"/>
        <v>-28.566206297394029</v>
      </c>
      <c r="BJ455" s="60">
        <f t="shared" si="417"/>
        <v>10.104797525662033</v>
      </c>
      <c r="BK455">
        <f t="shared" si="418"/>
        <v>-53.540059263015998</v>
      </c>
      <c r="BL455" s="60">
        <f t="shared" si="419"/>
        <v>-126.23159413360979</v>
      </c>
      <c r="BN455">
        <f t="shared" si="420"/>
        <v>0</v>
      </c>
      <c r="BO455">
        <f t="shared" si="421"/>
        <v>0</v>
      </c>
    </row>
    <row r="456" spans="13:67" ht="14.25" x14ac:dyDescent="0.2">
      <c r="M456" s="66">
        <v>38</v>
      </c>
      <c r="N456" s="36">
        <f t="shared" si="422"/>
        <v>239883.29190194907</v>
      </c>
      <c r="O456" s="91" t="str">
        <f t="shared" si="370"/>
        <v>99.7340425531915</v>
      </c>
      <c r="P456" s="67" t="str">
        <f t="shared" si="371"/>
        <v>1+43773.8415751833i</v>
      </c>
      <c r="Q456" s="67">
        <f t="shared" si="382"/>
        <v>43773.841586605653</v>
      </c>
      <c r="R456" s="67">
        <f t="shared" si="383"/>
        <v>1.5707734821012658</v>
      </c>
      <c r="S456" s="67" t="str">
        <f t="shared" si="372"/>
        <v>1+82.2948221613446i</v>
      </c>
      <c r="T456" s="67">
        <f t="shared" si="384"/>
        <v>82.300897653472376</v>
      </c>
      <c r="U456" s="67">
        <f t="shared" si="385"/>
        <v>1.5586454920401491</v>
      </c>
      <c r="V456" t="str">
        <f t="shared" si="373"/>
        <v>1-8.50078382765537i</v>
      </c>
      <c r="W456" s="67">
        <f t="shared" si="386"/>
        <v>8.5593998437114198</v>
      </c>
      <c r="X456" s="67">
        <f t="shared" si="387"/>
        <v>-1.4536982819736692</v>
      </c>
      <c r="Y456" t="str">
        <f t="shared" si="374"/>
        <v>-12.6198801736606+13.1399640907566i</v>
      </c>
      <c r="Z456" s="67">
        <f t="shared" si="388"/>
        <v>18.218672616409922</v>
      </c>
      <c r="AA456" s="67">
        <f t="shared" si="389"/>
        <v>2.3360075176817925</v>
      </c>
      <c r="AB456" s="92" t="str">
        <f t="shared" si="390"/>
        <v>-0.0695827260518147+0.0540303860684639i</v>
      </c>
      <c r="AC456" s="37">
        <f t="shared" si="391"/>
        <v>-21.100801686827225</v>
      </c>
      <c r="AD456" s="60">
        <f t="shared" si="392"/>
        <v>142.17096943901277</v>
      </c>
      <c r="AE456" t="str">
        <f t="shared" si="393"/>
        <v>118.329284003155</v>
      </c>
      <c r="AF456" t="str">
        <f t="shared" si="375"/>
        <v>1+35019.0732601466i</v>
      </c>
      <c r="AG456">
        <f t="shared" si="394"/>
        <v>35019.073274424532</v>
      </c>
      <c r="AH456">
        <f t="shared" si="395"/>
        <v>1.5707677709278609</v>
      </c>
      <c r="AI456" t="str">
        <f t="shared" si="376"/>
        <v>1+82.2948221613446i</v>
      </c>
      <c r="AJ456">
        <f t="shared" si="396"/>
        <v>82.300897653472376</v>
      </c>
      <c r="AK456">
        <f t="shared" si="397"/>
        <v>1.5586454920401491</v>
      </c>
      <c r="AL456" t="str">
        <f t="shared" si="377"/>
        <v>1-5.73174837915653i</v>
      </c>
      <c r="AM456">
        <f t="shared" si="398"/>
        <v>5.8183278939884007</v>
      </c>
      <c r="AN456">
        <f t="shared" si="399"/>
        <v>-1.3980680289324166</v>
      </c>
      <c r="AO456" s="58" t="str">
        <f t="shared" si="400"/>
        <v>0.25875187658943-1.59722075862797i</v>
      </c>
      <c r="AP456">
        <f t="shared" si="401"/>
        <v>4.1798070437887667</v>
      </c>
      <c r="AQ456" s="60">
        <f t="shared" si="402"/>
        <v>-80.797952948347799</v>
      </c>
      <c r="AR456" t="str">
        <f t="shared" si="378"/>
        <v>-1.94444444444444</v>
      </c>
      <c r="AS456" t="str">
        <f t="shared" si="379"/>
        <v>1+84.404945806507i</v>
      </c>
      <c r="AT456">
        <f t="shared" si="403"/>
        <v>84.410869422127064</v>
      </c>
      <c r="AU456">
        <f t="shared" si="404"/>
        <v>1.5589492341219195</v>
      </c>
      <c r="AV456" t="str">
        <f t="shared" si="380"/>
        <v>1+84.404945806507i</v>
      </c>
      <c r="AW456">
        <f t="shared" si="405"/>
        <v>84.410869422127064</v>
      </c>
      <c r="AX456">
        <f t="shared" si="406"/>
        <v>1.5589492341219195</v>
      </c>
      <c r="AY456" t="str">
        <f t="shared" si="381"/>
        <v>1-0.0000252077594996104i</v>
      </c>
      <c r="AZ456">
        <f t="shared" si="407"/>
        <v>1.0000000003177156</v>
      </c>
      <c r="BA456">
        <f t="shared" si="408"/>
        <v>-2.5207759494271135E-5</v>
      </c>
      <c r="BB456" s="58" t="str">
        <f t="shared" si="409"/>
        <v>-0.000272316387440513+0.0230338650120562i</v>
      </c>
      <c r="BC456">
        <f t="shared" si="410"/>
        <v>-32.752056681807325</v>
      </c>
      <c r="BD456" s="60">
        <f t="shared" si="411"/>
        <v>90.67734411143195</v>
      </c>
      <c r="BE456" s="58" t="str">
        <f t="shared" si="412"/>
        <v>-0.00122558010266359-0.00161747247859457i</v>
      </c>
      <c r="BF456" s="37">
        <f t="shared" si="413"/>
        <v>-53.852858368634529</v>
      </c>
      <c r="BG456" s="60">
        <f t="shared" si="414"/>
        <v>-127.15168644955533</v>
      </c>
      <c r="BH456" s="58" t="str">
        <f t="shared" si="415"/>
        <v>0.0367197049724144+0.00639500518391172i</v>
      </c>
      <c r="BI456" s="37">
        <f t="shared" si="416"/>
        <v>-28.572249638018555</v>
      </c>
      <c r="BJ456" s="60">
        <f t="shared" si="417"/>
        <v>9.8793911630841471</v>
      </c>
      <c r="BK456">
        <f t="shared" si="418"/>
        <v>-53.852858368634529</v>
      </c>
      <c r="BL456" s="60">
        <f t="shared" si="419"/>
        <v>-127.15168644955533</v>
      </c>
      <c r="BN456">
        <f t="shared" si="420"/>
        <v>0</v>
      </c>
      <c r="BO456">
        <f t="shared" si="421"/>
        <v>0</v>
      </c>
    </row>
    <row r="457" spans="13:67" ht="14.25" x14ac:dyDescent="0.2">
      <c r="M457" s="66">
        <v>39</v>
      </c>
      <c r="N457" s="36">
        <f t="shared" si="422"/>
        <v>245470.89156850305</v>
      </c>
      <c r="O457" s="91" t="str">
        <f t="shared" si="370"/>
        <v>99.7340425531915</v>
      </c>
      <c r="P457" s="67" t="str">
        <f t="shared" si="371"/>
        <v>1+44793.4653290929i</v>
      </c>
      <c r="Q457" s="67">
        <f t="shared" si="382"/>
        <v>44793.465340255243</v>
      </c>
      <c r="R457" s="67">
        <f t="shared" si="383"/>
        <v>1.5707740021099792</v>
      </c>
      <c r="S457" s="67" t="str">
        <f t="shared" si="372"/>
        <v>1+84.2117148186946i</v>
      </c>
      <c r="T457" s="67">
        <f t="shared" si="384"/>
        <v>84.217652025600586</v>
      </c>
      <c r="U457" s="67">
        <f t="shared" si="385"/>
        <v>1.5589220525060072</v>
      </c>
      <c r="V457" t="str">
        <f t="shared" si="373"/>
        <v>1-8.69879251973329i</v>
      </c>
      <c r="W457" s="67">
        <f t="shared" si="386"/>
        <v>8.7560831026988222</v>
      </c>
      <c r="X457" s="67">
        <f t="shared" si="387"/>
        <v>-1.456340274417111</v>
      </c>
      <c r="Y457" t="str">
        <f t="shared" si="374"/>
        <v>-13.2617653508724+13.446033172892i</v>
      </c>
      <c r="Z457" s="67">
        <f t="shared" si="388"/>
        <v>18.885714927111227</v>
      </c>
      <c r="AA457" s="67">
        <f t="shared" si="389"/>
        <v>2.3492951982826731</v>
      </c>
      <c r="AB457" s="92" t="str">
        <f t="shared" si="390"/>
        <v>-0.0678242587609612+0.0543878678223473i</v>
      </c>
      <c r="AC457" s="37">
        <f t="shared" si="391"/>
        <v>-21.215833301157904</v>
      </c>
      <c r="AD457" s="60">
        <f t="shared" si="392"/>
        <v>141.27408235771904</v>
      </c>
      <c r="AE457" t="str">
        <f t="shared" si="393"/>
        <v>118.329284003155</v>
      </c>
      <c r="AF457" t="str">
        <f t="shared" si="375"/>
        <v>1+35834.7722632743i</v>
      </c>
      <c r="AG457">
        <f t="shared" si="394"/>
        <v>35834.772277227225</v>
      </c>
      <c r="AH457">
        <f t="shared" si="395"/>
        <v>1.5707684209387525</v>
      </c>
      <c r="AI457" t="str">
        <f t="shared" si="376"/>
        <v>1+84.2117148186946i</v>
      </c>
      <c r="AJ457">
        <f t="shared" si="396"/>
        <v>84.217652025600586</v>
      </c>
      <c r="AK457">
        <f t="shared" si="397"/>
        <v>1.5589220525060072</v>
      </c>
      <c r="AL457" t="str">
        <f t="shared" si="377"/>
        <v>1-5.86525794990744i</v>
      </c>
      <c r="AM457">
        <f t="shared" si="398"/>
        <v>5.949895025876712</v>
      </c>
      <c r="AN457">
        <f t="shared" si="399"/>
        <v>-1.4019246412163966</v>
      </c>
      <c r="AO457" s="58" t="str">
        <f t="shared" si="400"/>
        <v>0.258751872256155-1.63426952749532i</v>
      </c>
      <c r="AP457">
        <f t="shared" si="401"/>
        <v>4.3740004084169701</v>
      </c>
      <c r="AQ457" s="60">
        <f t="shared" si="402"/>
        <v>-81.00311205084499</v>
      </c>
      <c r="AR457" t="str">
        <f t="shared" si="378"/>
        <v>-1.94444444444444</v>
      </c>
      <c r="AS457" t="str">
        <f t="shared" si="379"/>
        <v>1+86.3709895576352i</v>
      </c>
      <c r="AT457">
        <f t="shared" si="403"/>
        <v>86.376778344443522</v>
      </c>
      <c r="AU457">
        <f t="shared" si="404"/>
        <v>1.5592188824973374</v>
      </c>
      <c r="AV457" t="str">
        <f t="shared" si="380"/>
        <v>1+86.3709895576352i</v>
      </c>
      <c r="AW457">
        <f t="shared" si="405"/>
        <v>86.376778344443522</v>
      </c>
      <c r="AX457">
        <f t="shared" si="406"/>
        <v>1.5592188824973374</v>
      </c>
      <c r="AY457" t="str">
        <f t="shared" si="381"/>
        <v>1-0.0000246339608399218i</v>
      </c>
      <c r="AZ457">
        <f t="shared" si="407"/>
        <v>1.000000000303416</v>
      </c>
      <c r="BA457">
        <f t="shared" si="408"/>
        <v>-2.4633960834938908E-5</v>
      </c>
      <c r="BB457" s="58" t="str">
        <f t="shared" si="409"/>
        <v>-0.000260061773778925+0.0225096921156995i</v>
      </c>
      <c r="BC457">
        <f t="shared" si="410"/>
        <v>-32.952029248950915</v>
      </c>
      <c r="BD457" s="60">
        <f t="shared" si="411"/>
        <v>90.661927273809411</v>
      </c>
      <c r="BE457" s="58" t="str">
        <f t="shared" si="412"/>
        <v>-0.00120661566247178-0.0015408473880627i</v>
      </c>
      <c r="BF457" s="37">
        <f t="shared" si="413"/>
        <v>-54.167862550108836</v>
      </c>
      <c r="BG457" s="60">
        <f t="shared" si="414"/>
        <v>-128.06399036847159</v>
      </c>
      <c r="BH457" s="58" t="str">
        <f t="shared" si="415"/>
        <v>0.0367196124271218+0.00624943601100013i</v>
      </c>
      <c r="BI457" s="37">
        <f t="shared" si="416"/>
        <v>-28.578028840533946</v>
      </c>
      <c r="BJ457" s="60">
        <f t="shared" si="417"/>
        <v>9.6588152229644209</v>
      </c>
      <c r="BK457">
        <f t="shared" si="418"/>
        <v>-54.167862550108836</v>
      </c>
      <c r="BL457" s="60">
        <f t="shared" si="419"/>
        <v>-128.06399036847159</v>
      </c>
      <c r="BN457">
        <f t="shared" si="420"/>
        <v>0</v>
      </c>
      <c r="BO457">
        <f t="shared" si="421"/>
        <v>0</v>
      </c>
    </row>
    <row r="458" spans="13:67" ht="14.25" x14ac:dyDescent="0.2">
      <c r="M458" s="66">
        <v>40</v>
      </c>
      <c r="N458" s="36">
        <f t="shared" si="422"/>
        <v>251188.64315095844</v>
      </c>
      <c r="O458" s="91" t="str">
        <f t="shared" si="370"/>
        <v>99.7340425531915</v>
      </c>
      <c r="P458" s="67" t="str">
        <f t="shared" si="371"/>
        <v>1+45836.8391712319i</v>
      </c>
      <c r="Q458" s="67">
        <f t="shared" si="382"/>
        <v>45836.839182140153</v>
      </c>
      <c r="R458" s="67">
        <f t="shared" si="383"/>
        <v>1.5707745102818489</v>
      </c>
      <c r="S458" s="67" t="str">
        <f t="shared" si="372"/>
        <v>1+86.1732576419159i</v>
      </c>
      <c r="T458" s="67">
        <f t="shared" si="384"/>
        <v>86.1790597106978</v>
      </c>
      <c r="U458" s="67">
        <f t="shared" si="385"/>
        <v>1.5591923194423674</v>
      </c>
      <c r="V458" t="str">
        <f t="shared" si="373"/>
        <v>1-8.90141342674735i</v>
      </c>
      <c r="W458" s="67">
        <f t="shared" si="386"/>
        <v>8.9574081627375897</v>
      </c>
      <c r="X458" s="67">
        <f t="shared" si="387"/>
        <v>-1.4589236794377245</v>
      </c>
      <c r="Y458" t="str">
        <f t="shared" si="374"/>
        <v>-13.9339016445017+13.759231519795i</v>
      </c>
      <c r="Z458" s="67">
        <f t="shared" si="388"/>
        <v>19.582391760302606</v>
      </c>
      <c r="AA458" s="67">
        <f t="shared" si="389"/>
        <v>2.362501750820782</v>
      </c>
      <c r="AB458" s="92" t="str">
        <f t="shared" si="390"/>
        <v>-0.0660742380689253+0.0546908165471314i</v>
      </c>
      <c r="AC458" s="37">
        <f t="shared" si="391"/>
        <v>-21.333057167478731</v>
      </c>
      <c r="AD458" s="60">
        <f t="shared" si="392"/>
        <v>140.38484046960551</v>
      </c>
      <c r="AE458" t="str">
        <f t="shared" si="393"/>
        <v>118.329284003155</v>
      </c>
      <c r="AF458" t="str">
        <f t="shared" si="375"/>
        <v>1+36669.4713369855i</v>
      </c>
      <c r="AG458">
        <f t="shared" si="394"/>
        <v>36669.471350620821</v>
      </c>
      <c r="AH458">
        <f t="shared" si="395"/>
        <v>1.5707690561535894</v>
      </c>
      <c r="AI458" t="str">
        <f t="shared" si="376"/>
        <v>1+86.1732576419159i</v>
      </c>
      <c r="AJ458">
        <f t="shared" si="396"/>
        <v>86.1790597106978</v>
      </c>
      <c r="AK458">
        <f t="shared" si="397"/>
        <v>1.5591923194423674</v>
      </c>
      <c r="AL458" t="str">
        <f t="shared" si="377"/>
        <v>1-6.00187735805928i</v>
      </c>
      <c r="AM458">
        <f t="shared" si="398"/>
        <v>6.0846143527083667</v>
      </c>
      <c r="AN458">
        <f t="shared" si="399"/>
        <v>-1.4056983733450106</v>
      </c>
      <c r="AO458" s="58" t="str">
        <f t="shared" si="400"/>
        <v>0.258751868117909-1.67218480769826i</v>
      </c>
      <c r="AP458">
        <f t="shared" si="401"/>
        <v>4.5684479297301657</v>
      </c>
      <c r="AQ458" s="60">
        <f t="shared" si="402"/>
        <v>-81.203882215161372</v>
      </c>
      <c r="AR458" t="str">
        <f t="shared" si="378"/>
        <v>-1.94444444444444</v>
      </c>
      <c r="AS458" t="str">
        <f t="shared" si="379"/>
        <v>1+88.3828283506827i</v>
      </c>
      <c r="AT458">
        <f t="shared" si="403"/>
        <v>88.388485377147632</v>
      </c>
      <c r="AU458">
        <f t="shared" si="404"/>
        <v>1.559482394553285</v>
      </c>
      <c r="AV458" t="str">
        <f t="shared" si="380"/>
        <v>1+88.3828283506827i</v>
      </c>
      <c r="AW458">
        <f t="shared" si="405"/>
        <v>88.388485377147632</v>
      </c>
      <c r="AX458">
        <f t="shared" si="406"/>
        <v>1.559482394553285</v>
      </c>
      <c r="AY458" t="str">
        <f t="shared" si="381"/>
        <v>1-0.0000240732234323394i</v>
      </c>
      <c r="AZ458">
        <f t="shared" si="407"/>
        <v>1.00000000028976</v>
      </c>
      <c r="BA458">
        <f t="shared" si="408"/>
        <v>-2.4073223427689095E-5</v>
      </c>
      <c r="BB458" s="58" t="str">
        <f t="shared" si="409"/>
        <v>-0.000248358564064399+0.0219974413826887i</v>
      </c>
      <c r="BC458">
        <f t="shared" si="410"/>
        <v>-33.152003050614738</v>
      </c>
      <c r="BD458" s="60">
        <f t="shared" si="411"/>
        <v>90.646861273039661</v>
      </c>
      <c r="BE458" s="58" t="str">
        <f t="shared" si="412"/>
        <v>-0.00118664792827846-0.00146704711149216i</v>
      </c>
      <c r="BF458" s="37">
        <f t="shared" si="413"/>
        <v>-54.485060218093444</v>
      </c>
      <c r="BG458" s="60">
        <f t="shared" si="414"/>
        <v>-128.96829825735483</v>
      </c>
      <c r="BH458" s="58" t="str">
        <f t="shared" si="415"/>
        <v>0.0367195240459503+0.00610718046927514i</v>
      </c>
      <c r="BI458" s="37">
        <f t="shared" si="416"/>
        <v>-28.583555120884576</v>
      </c>
      <c r="BJ458" s="60">
        <f t="shared" si="417"/>
        <v>9.4429790578782757</v>
      </c>
      <c r="BK458">
        <f t="shared" si="418"/>
        <v>-54.485060218093444</v>
      </c>
      <c r="BL458" s="60">
        <f t="shared" si="419"/>
        <v>-128.96829825735483</v>
      </c>
      <c r="BN458">
        <f t="shared" si="420"/>
        <v>0</v>
      </c>
      <c r="BO458">
        <f t="shared" si="421"/>
        <v>0</v>
      </c>
    </row>
    <row r="459" spans="13:67" ht="14.25" x14ac:dyDescent="0.2">
      <c r="M459" s="66">
        <v>41</v>
      </c>
      <c r="N459" s="36">
        <f t="shared" si="422"/>
        <v>257039.57827688678</v>
      </c>
      <c r="O459" s="91" t="str">
        <f t="shared" si="370"/>
        <v>99.7340425531915</v>
      </c>
      <c r="P459" s="67" t="str">
        <f t="shared" si="371"/>
        <v>1+46904.5163122214i</v>
      </c>
      <c r="Q459" s="67">
        <f t="shared" si="382"/>
        <v>46904.516322881354</v>
      </c>
      <c r="R459" s="67">
        <f t="shared" si="383"/>
        <v>1.5707750068863149</v>
      </c>
      <c r="S459" s="67" t="str">
        <f t="shared" si="372"/>
        <v>1+88.1804906669762i</v>
      </c>
      <c r="T459" s="67">
        <f t="shared" si="384"/>
        <v>88.186160673138943</v>
      </c>
      <c r="U459" s="67">
        <f t="shared" si="385"/>
        <v>1.5594564359903138</v>
      </c>
      <c r="V459" t="str">
        <f t="shared" si="373"/>
        <v>1-9.10875398098436i</v>
      </c>
      <c r="W459" s="67">
        <f t="shared" si="386"/>
        <v>9.1634818211255489</v>
      </c>
      <c r="X459" s="67">
        <f t="shared" si="387"/>
        <v>-1.4614497287836314</v>
      </c>
      <c r="Y459" t="str">
        <f t="shared" si="374"/>
        <v>-14.6377147457419+14.0797251933746i</v>
      </c>
      <c r="Z459" s="67">
        <f t="shared" si="388"/>
        <v>20.310129357014379</v>
      </c>
      <c r="AA459" s="67">
        <f t="shared" si="389"/>
        <v>2.3756223830928205</v>
      </c>
      <c r="AB459" s="92" t="str">
        <f t="shared" si="390"/>
        <v>-0.064334646149171+0.0549402678318967i</v>
      </c>
      <c r="AC459" s="37">
        <f t="shared" si="391"/>
        <v>-21.452459413001158</v>
      </c>
      <c r="AD459" s="60">
        <f t="shared" si="392"/>
        <v>139.50345595966922</v>
      </c>
      <c r="AE459" t="str">
        <f t="shared" si="393"/>
        <v>118.329284003155</v>
      </c>
      <c r="AF459" t="str">
        <f t="shared" si="375"/>
        <v>1+37523.6130497771i</v>
      </c>
      <c r="AG459">
        <f t="shared" si="394"/>
        <v>37523.613063102042</v>
      </c>
      <c r="AH459">
        <f t="shared" si="395"/>
        <v>1.5707696769091717</v>
      </c>
      <c r="AI459" t="str">
        <f t="shared" si="376"/>
        <v>1+88.1804906669762i</v>
      </c>
      <c r="AJ459">
        <f t="shared" si="396"/>
        <v>88.186160673138943</v>
      </c>
      <c r="AK459">
        <f t="shared" si="397"/>
        <v>1.5594564359903138</v>
      </c>
      <c r="AL459" t="str">
        <f t="shared" si="377"/>
        <v>1-6.14167904103058i</v>
      </c>
      <c r="AM459">
        <f t="shared" si="398"/>
        <v>6.2225574680379045</v>
      </c>
      <c r="AN459">
        <f t="shared" si="399"/>
        <v>-1.4093907960492347</v>
      </c>
      <c r="AO459" s="58" t="str">
        <f t="shared" si="400"/>
        <v>0.258751864165915-1.71098670242021i</v>
      </c>
      <c r="AP459">
        <f t="shared" si="401"/>
        <v>4.7631387842873494</v>
      </c>
      <c r="AQ459" s="60">
        <f t="shared" si="402"/>
        <v>-81.400345255469759</v>
      </c>
      <c r="AR459" t="str">
        <f t="shared" si="378"/>
        <v>-1.94444444444444</v>
      </c>
      <c r="AS459" t="str">
        <f t="shared" si="379"/>
        <v>1+90.4415288892061i</v>
      </c>
      <c r="AT459">
        <f t="shared" si="403"/>
        <v>90.447057153989817</v>
      </c>
      <c r="AU459">
        <f t="shared" si="404"/>
        <v>1.5597399098608749</v>
      </c>
      <c r="AV459" t="str">
        <f t="shared" si="380"/>
        <v>1+90.4415288892061i</v>
      </c>
      <c r="AW459">
        <f t="shared" si="405"/>
        <v>90.447057153989817</v>
      </c>
      <c r="AX459">
        <f t="shared" si="406"/>
        <v>1.5597399098608749</v>
      </c>
      <c r="AY459" t="str">
        <f t="shared" si="381"/>
        <v>1-0.0000235252499664677i</v>
      </c>
      <c r="AZ459">
        <f t="shared" si="407"/>
        <v>1.0000000002767186</v>
      </c>
      <c r="BA459">
        <f t="shared" si="408"/>
        <v>-2.3525249962127781E-5</v>
      </c>
      <c r="BB459" s="58" t="str">
        <f t="shared" si="409"/>
        <v>-0.00023718195374531+0.0214968420632563i</v>
      </c>
      <c r="BC459">
        <f t="shared" si="410"/>
        <v>-33.35197803125034</v>
      </c>
      <c r="BD459" s="60">
        <f t="shared" si="411"/>
        <v>90.632138129321604</v>
      </c>
      <c r="BE459" s="58" t="str">
        <f t="shared" si="412"/>
        <v>-0.00116578324342811-0.00139602256752787i</v>
      </c>
      <c r="BF459" s="37">
        <f t="shared" si="413"/>
        <v>-54.804437444251491</v>
      </c>
      <c r="BG459" s="60">
        <f t="shared" si="414"/>
        <v>-129.86440591100916</v>
      </c>
      <c r="BH459" s="58" t="str">
        <f t="shared" si="415"/>
        <v>0.0367194396415808+0.00596816312646009i</v>
      </c>
      <c r="BI459" s="37">
        <f t="shared" si="416"/>
        <v>-28.588839246963001</v>
      </c>
      <c r="BJ459" s="60">
        <f t="shared" si="417"/>
        <v>9.2317928738518482</v>
      </c>
      <c r="BK459">
        <f t="shared" si="418"/>
        <v>-54.804437444251491</v>
      </c>
      <c r="BL459" s="60">
        <f t="shared" si="419"/>
        <v>-129.86440591100916</v>
      </c>
      <c r="BN459">
        <f t="shared" si="420"/>
        <v>0</v>
      </c>
      <c r="BO459">
        <f t="shared" si="421"/>
        <v>0</v>
      </c>
    </row>
    <row r="460" spans="13:67" ht="14.25" x14ac:dyDescent="0.2">
      <c r="M460" s="66">
        <v>42</v>
      </c>
      <c r="N460" s="36">
        <f t="shared" si="422"/>
        <v>263026.79918953858</v>
      </c>
      <c r="O460" s="91" t="str">
        <f t="shared" si="370"/>
        <v>99.7340425531915</v>
      </c>
      <c r="P460" s="67" t="str">
        <f t="shared" si="371"/>
        <v>1+47997.0628486144i</v>
      </c>
      <c r="Q460" s="67">
        <f t="shared" si="382"/>
        <v>47997.062859031706</v>
      </c>
      <c r="R460" s="67">
        <f t="shared" si="383"/>
        <v>1.570775492186683</v>
      </c>
      <c r="S460" s="67" t="str">
        <f t="shared" si="372"/>
        <v>1+90.2344781553951i</v>
      </c>
      <c r="T460" s="67">
        <f t="shared" si="384"/>
        <v>90.240019104477554</v>
      </c>
      <c r="U460" s="67">
        <f t="shared" si="385"/>
        <v>1.5597145420404592</v>
      </c>
      <c r="V460" t="str">
        <f t="shared" si="373"/>
        <v>1-9.3209241171507i</v>
      </c>
      <c r="W460" s="67">
        <f t="shared" si="386"/>
        <v>9.3744133895237169</v>
      </c>
      <c r="X460" s="67">
        <f t="shared" si="387"/>
        <v>-1.463919632781411</v>
      </c>
      <c r="Y460" t="str">
        <f t="shared" si="374"/>
        <v>-15.3746975365429+14.407684123619i</v>
      </c>
      <c r="Z460" s="67">
        <f t="shared" si="388"/>
        <v>21.070422068533922</v>
      </c>
      <c r="AA460" s="67">
        <f t="shared" si="389"/>
        <v>2.3886523980969603</v>
      </c>
      <c r="AB460" s="92" t="str">
        <f t="shared" si="390"/>
        <v>-0.0626073991338364+0.0551373485826663i</v>
      </c>
      <c r="AC460" s="37">
        <f t="shared" si="391"/>
        <v>-21.574023894644011</v>
      </c>
      <c r="AD460" s="60">
        <f t="shared" si="392"/>
        <v>138.63013659974183</v>
      </c>
      <c r="AE460" t="str">
        <f t="shared" si="393"/>
        <v>118.329284003155</v>
      </c>
      <c r="AF460" t="str">
        <f t="shared" si="375"/>
        <v>1+38397.6502788915i</v>
      </c>
      <c r="AG460">
        <f t="shared" si="394"/>
        <v>38397.650291913131</v>
      </c>
      <c r="AH460">
        <f t="shared" si="395"/>
        <v>1.5707702835346318</v>
      </c>
      <c r="AI460" t="str">
        <f t="shared" si="376"/>
        <v>1+90.2344781553951i</v>
      </c>
      <c r="AJ460">
        <f t="shared" si="396"/>
        <v>90.240019104477554</v>
      </c>
      <c r="AK460">
        <f t="shared" si="397"/>
        <v>1.5597145420404592</v>
      </c>
      <c r="AL460" t="str">
        <f t="shared" si="377"/>
        <v>1-6.28473712352416i</v>
      </c>
      <c r="AM460">
        <f t="shared" si="398"/>
        <v>6.3637976642727043</v>
      </c>
      <c r="AN460">
        <f t="shared" si="399"/>
        <v>-1.413003464157067</v>
      </c>
      <c r="AO460" s="58" t="str">
        <f t="shared" si="400"/>
        <v>0.25875186039179-1.75069578493936i</v>
      </c>
      <c r="AP460">
        <f t="shared" si="401"/>
        <v>4.9580625837268588</v>
      </c>
      <c r="AQ460" s="60">
        <f t="shared" si="402"/>
        <v>-81.592582260568562</v>
      </c>
      <c r="AR460" t="str">
        <f t="shared" si="378"/>
        <v>-1.94444444444444</v>
      </c>
      <c r="AS460" t="str">
        <f t="shared" si="379"/>
        <v>1+92.5481827234819i</v>
      </c>
      <c r="AT460">
        <f t="shared" si="403"/>
        <v>92.553585157026703</v>
      </c>
      <c r="AU460">
        <f t="shared" si="404"/>
        <v>1.5599915648214382</v>
      </c>
      <c r="AV460" t="str">
        <f t="shared" si="380"/>
        <v>1+92.5481827234819i</v>
      </c>
      <c r="AW460">
        <f t="shared" si="405"/>
        <v>92.553585157026703</v>
      </c>
      <c r="AX460">
        <f t="shared" si="406"/>
        <v>1.5599915648214382</v>
      </c>
      <c r="AY460" t="str">
        <f t="shared" si="381"/>
        <v>1-0.0000229897498995217i</v>
      </c>
      <c r="AZ460">
        <f t="shared" si="407"/>
        <v>1.0000000002642642</v>
      </c>
      <c r="BA460">
        <f t="shared" si="408"/>
        <v>-2.2989749895471453E-5</v>
      </c>
      <c r="BB460" s="58" t="str">
        <f t="shared" si="409"/>
        <v>-0.000226508253540354+0.0210076295285007i</v>
      </c>
      <c r="BC460">
        <f t="shared" si="410"/>
        <v>-33.551954137808302</v>
      </c>
      <c r="BD460" s="60">
        <f t="shared" si="411"/>
        <v>90.617750044081546</v>
      </c>
      <c r="BE460" s="58" t="str">
        <f t="shared" si="412"/>
        <v>-0.00114412389957195-0.00132772211127892i</v>
      </c>
      <c r="BF460" s="37">
        <f t="shared" si="413"/>
        <v>-55.125978032452288</v>
      </c>
      <c r="BG460" s="60">
        <f t="shared" si="414"/>
        <v>-130.75211335617661</v>
      </c>
      <c r="BH460" s="58" t="str">
        <f t="shared" si="415"/>
        <v>0.0367193590351162+0.00583231026764813i</v>
      </c>
      <c r="BI460" s="37">
        <f t="shared" si="416"/>
        <v>-28.593891554081431</v>
      </c>
      <c r="BJ460" s="60">
        <f t="shared" si="417"/>
        <v>9.0251677835129573</v>
      </c>
      <c r="BK460">
        <f t="shared" si="418"/>
        <v>-55.125978032452288</v>
      </c>
      <c r="BL460" s="60">
        <f t="shared" si="419"/>
        <v>-130.75211335617661</v>
      </c>
      <c r="BN460">
        <f t="shared" si="420"/>
        <v>0</v>
      </c>
      <c r="BO460">
        <f t="shared" si="421"/>
        <v>0</v>
      </c>
    </row>
    <row r="461" spans="13:67" ht="14.25" x14ac:dyDescent="0.2">
      <c r="M461" s="66">
        <v>43</v>
      </c>
      <c r="N461" s="36">
        <f t="shared" si="422"/>
        <v>269153.48039269145</v>
      </c>
      <c r="O461" s="91" t="str">
        <f t="shared" si="370"/>
        <v>99.7340425531915</v>
      </c>
      <c r="P461" s="67" t="str">
        <f t="shared" si="371"/>
        <v>1+49115.0580630462i</v>
      </c>
      <c r="Q461" s="67">
        <f t="shared" si="382"/>
        <v>49115.058073226377</v>
      </c>
      <c r="R461" s="67">
        <f t="shared" si="383"/>
        <v>1.5707759664402661</v>
      </c>
      <c r="S461" s="67" t="str">
        <f t="shared" si="372"/>
        <v>1+92.3363091585268i</v>
      </c>
      <c r="T461" s="67">
        <f t="shared" si="384"/>
        <v>92.341723987691722</v>
      </c>
      <c r="U461" s="67">
        <f t="shared" si="385"/>
        <v>1.559966774306411</v>
      </c>
      <c r="V461" t="str">
        <f t="shared" si="373"/>
        <v>1-9.53803633066101i</v>
      </c>
      <c r="W461" s="67">
        <f t="shared" si="386"/>
        <v>9.5903147521345371</v>
      </c>
      <c r="X461" s="67">
        <f t="shared" si="387"/>
        <v>-1.4663345804015586</v>
      </c>
      <c r="Y461" t="str">
        <f t="shared" si="374"/>
        <v>-16.1464132562128+14.7432821986941i</v>
      </c>
      <c r="Z461" s="67">
        <f t="shared" si="388"/>
        <v>21.864835490593904</v>
      </c>
      <c r="AA461" s="67">
        <f t="shared" si="389"/>
        <v>2.401587207338137</v>
      </c>
      <c r="AB461" s="92" t="str">
        <f t="shared" si="390"/>
        <v>-0.0608943411948558+0.0552832717585057i</v>
      </c>
      <c r="AC461" s="37">
        <f t="shared" si="391"/>
        <v>-21.697732278134566</v>
      </c>
      <c r="AD461" s="60">
        <f t="shared" si="392"/>
        <v>137.76508498660326</v>
      </c>
      <c r="AE461" t="str">
        <f t="shared" si="393"/>
        <v>118.329284003155</v>
      </c>
      <c r="AF461" t="str">
        <f t="shared" si="375"/>
        <v>1+39292.0464504369i</v>
      </c>
      <c r="AG461">
        <f t="shared" si="394"/>
        <v>39292.046463162122</v>
      </c>
      <c r="AH461">
        <f t="shared" si="395"/>
        <v>1.5707708763516104</v>
      </c>
      <c r="AI461" t="str">
        <f t="shared" si="376"/>
        <v>1+92.3363091585268i</v>
      </c>
      <c r="AJ461">
        <f t="shared" si="396"/>
        <v>92.341723987691722</v>
      </c>
      <c r="AK461">
        <f t="shared" si="397"/>
        <v>1.559966774306411</v>
      </c>
      <c r="AL461" t="str">
        <f t="shared" si="377"/>
        <v>1-6.43112745682899i</v>
      </c>
      <c r="AM461">
        <f t="shared" si="398"/>
        <v>6.508409972180587</v>
      </c>
      <c r="AN461">
        <f t="shared" si="399"/>
        <v>-1.4165379157587215</v>
      </c>
      <c r="AO461" s="58" t="str">
        <f t="shared" si="400"/>
        <v>0.258751856787528-1.79133310953688i</v>
      </c>
      <c r="AP461">
        <f t="shared" si="401"/>
        <v>5.1532093595026742</v>
      </c>
      <c r="AQ461" s="60">
        <f t="shared" si="402"/>
        <v>-81.780673541851499</v>
      </c>
      <c r="AR461" t="str">
        <f t="shared" si="378"/>
        <v>-1.94444444444444</v>
      </c>
      <c r="AS461" t="str">
        <f t="shared" si="379"/>
        <v>1+94.7039068292579i</v>
      </c>
      <c r="AT461">
        <f t="shared" si="403"/>
        <v>94.709186295336536</v>
      </c>
      <c r="AU461">
        <f t="shared" si="404"/>
        <v>1.5602374927381939</v>
      </c>
      <c r="AV461" t="str">
        <f t="shared" si="380"/>
        <v>1+94.7039068292579i</v>
      </c>
      <c r="AW461">
        <f t="shared" si="405"/>
        <v>94.709186295336536</v>
      </c>
      <c r="AX461">
        <f t="shared" si="406"/>
        <v>1.5602374927381939</v>
      </c>
      <c r="AY461" t="str">
        <f t="shared" si="381"/>
        <v>1-0.0000224664393022777i</v>
      </c>
      <c r="AZ461">
        <f t="shared" si="407"/>
        <v>1.0000000002523706</v>
      </c>
      <c r="BA461">
        <f t="shared" si="408"/>
        <v>-2.2466439298497787E-5</v>
      </c>
      <c r="BB461" s="58" t="str">
        <f t="shared" si="409"/>
        <v>-0.000216314839341492+0.0205295451338703i</v>
      </c>
      <c r="BC461">
        <f t="shared" si="410"/>
        <v>-33.751931319625577</v>
      </c>
      <c r="BD461" s="60">
        <f t="shared" si="411"/>
        <v>90.603689395875563</v>
      </c>
      <c r="BE461" s="58" t="str">
        <f t="shared" si="412"/>
        <v>-0.00112176807308189-0.0012620917180058i</v>
      </c>
      <c r="BF461" s="37">
        <f t="shared" si="413"/>
        <v>-55.449663597760157</v>
      </c>
      <c r="BG461" s="60">
        <f t="shared" si="414"/>
        <v>-131.63122561752127</v>
      </c>
      <c r="BH461" s="58" t="str">
        <f t="shared" si="415"/>
        <v>0.0367192820557033+0.00569954985618887i</v>
      </c>
      <c r="BI461" s="37">
        <f t="shared" si="416"/>
        <v>-28.598721960122901</v>
      </c>
      <c r="BJ461" s="60">
        <f t="shared" si="417"/>
        <v>8.8230158540240886</v>
      </c>
      <c r="BK461">
        <f t="shared" si="418"/>
        <v>-55.449663597760157</v>
      </c>
      <c r="BL461" s="60">
        <f t="shared" si="419"/>
        <v>-131.63122561752127</v>
      </c>
      <c r="BN461">
        <f t="shared" si="420"/>
        <v>0</v>
      </c>
      <c r="BO461">
        <f t="shared" si="421"/>
        <v>0</v>
      </c>
    </row>
    <row r="462" spans="13:67" ht="14.25" x14ac:dyDescent="0.2">
      <c r="M462" s="66">
        <v>44</v>
      </c>
      <c r="N462" s="36">
        <f t="shared" si="422"/>
        <v>275422.87033381703</v>
      </c>
      <c r="O462" s="91" t="str">
        <f t="shared" si="370"/>
        <v>99.7340425531915</v>
      </c>
      <c r="P462" s="67" t="str">
        <f t="shared" si="371"/>
        <v>1+50259.0947313776i</v>
      </c>
      <c r="Q462" s="67">
        <f t="shared" si="382"/>
        <v>50259.094741326044</v>
      </c>
      <c r="R462" s="67">
        <f t="shared" si="383"/>
        <v>1.5707764298985196</v>
      </c>
      <c r="S462" s="67" t="str">
        <f t="shared" si="372"/>
        <v>1+94.4870980949899i</v>
      </c>
      <c r="T462" s="67">
        <f t="shared" si="384"/>
        <v>94.492389674577723</v>
      </c>
      <c r="U462" s="67">
        <f t="shared" si="385"/>
        <v>1.5602132663966031</v>
      </c>
      <c r="V462" t="str">
        <f t="shared" si="373"/>
        <v>1-9.76020573728466i</v>
      </c>
      <c r="W462" s="67">
        <f t="shared" si="386"/>
        <v>9.8113004252303053</v>
      </c>
      <c r="X462" s="67">
        <f t="shared" si="387"/>
        <v>-1.4686957393485702</v>
      </c>
      <c r="Y462" t="str">
        <f t="shared" si="374"/>
        <v>-16.9544988172589+15.0866973571412i</v>
      </c>
      <c r="Z462" s="67">
        <f t="shared" si="388"/>
        <v>22.695009744223611</v>
      </c>
      <c r="AA462" s="67">
        <f t="shared" si="389"/>
        <v>2.414422343371692</v>
      </c>
      <c r="AB462" s="92" t="str">
        <f t="shared" si="390"/>
        <v>-0.0591972391501118+0.0553793306606978i</v>
      </c>
      <c r="AC462" s="37">
        <f t="shared" si="391"/>
        <v>-21.823564124268557</v>
      </c>
      <c r="AD462" s="60">
        <f t="shared" si="392"/>
        <v>136.90849782223046</v>
      </c>
      <c r="AE462" t="str">
        <f t="shared" si="393"/>
        <v>118.329284003155</v>
      </c>
      <c r="AF462" t="str">
        <f t="shared" si="375"/>
        <v>1+40207.2757851021i</v>
      </c>
      <c r="AG462">
        <f t="shared" si="394"/>
        <v>40207.275797537666</v>
      </c>
      <c r="AH462">
        <f t="shared" si="395"/>
        <v>1.5707714556744272</v>
      </c>
      <c r="AI462" t="str">
        <f t="shared" si="376"/>
        <v>1+94.4870980949899i</v>
      </c>
      <c r="AJ462">
        <f t="shared" si="396"/>
        <v>94.492389674577723</v>
      </c>
      <c r="AK462">
        <f t="shared" si="397"/>
        <v>1.5602132663966031</v>
      </c>
      <c r="AL462" t="str">
        <f t="shared" si="377"/>
        <v>1-6.58092765903747i</v>
      </c>
      <c r="AM462">
        <f t="shared" si="398"/>
        <v>6.6564712012810814</v>
      </c>
      <c r="AN462">
        <f t="shared" si="399"/>
        <v>-1.4199956714575734</v>
      </c>
      <c r="AO462" s="58" t="str">
        <f t="shared" si="400"/>
        <v>0.258751853345486-1.83292022266017i</v>
      </c>
      <c r="AP462">
        <f t="shared" si="401"/>
        <v>5.3485695479601789</v>
      </c>
      <c r="AQ462" s="60">
        <f t="shared" si="402"/>
        <v>-81.96469858628403</v>
      </c>
      <c r="AR462" t="str">
        <f t="shared" si="378"/>
        <v>-1.94444444444444</v>
      </c>
      <c r="AS462" t="str">
        <f t="shared" si="379"/>
        <v>1+96.9098441999893i</v>
      </c>
      <c r="AT462">
        <f t="shared" si="403"/>
        <v>96.915003497220169</v>
      </c>
      <c r="AU462">
        <f t="shared" si="404"/>
        <v>1.5604778238863197</v>
      </c>
      <c r="AV462" t="str">
        <f t="shared" si="380"/>
        <v>1+96.9098441999893i</v>
      </c>
      <c r="AW462">
        <f t="shared" si="405"/>
        <v>96.915003497220169</v>
      </c>
      <c r="AX462">
        <f t="shared" si="406"/>
        <v>1.5604778238863197</v>
      </c>
      <c r="AY462" t="str">
        <f t="shared" si="381"/>
        <v>1-0.0000219550407085302i</v>
      </c>
      <c r="AZ462">
        <f t="shared" si="407"/>
        <v>1.0000000002410119</v>
      </c>
      <c r="BA462">
        <f t="shared" si="408"/>
        <v>-2.1955040705002583E-5</v>
      </c>
      <c r="BB462" s="58" t="str">
        <f t="shared" si="409"/>
        <v>-0.000206580104362974+0.0200623360855665i</v>
      </c>
      <c r="BC462">
        <f t="shared" si="410"/>
        <v>-33.951909528318374</v>
      </c>
      <c r="BD462" s="60">
        <f t="shared" si="411"/>
        <v>90.589948736383477</v>
      </c>
      <c r="BE462" s="58" t="str">
        <f t="shared" si="412"/>
        <v>-0.00109880977206701-0.00119907517507464i</v>
      </c>
      <c r="BF462" s="37">
        <f t="shared" si="413"/>
        <v>-55.775473652586896</v>
      </c>
      <c r="BG462" s="60">
        <f t="shared" si="414"/>
        <v>-132.50155344138608</v>
      </c>
      <c r="BH462" s="58" t="str">
        <f t="shared" si="415"/>
        <v>0.0367192085401715+0.0055698114954665i</v>
      </c>
      <c r="BI462" s="37">
        <f t="shared" si="416"/>
        <v>-28.603339980358186</v>
      </c>
      <c r="BJ462" s="60">
        <f t="shared" si="417"/>
        <v>8.6252501500994665</v>
      </c>
      <c r="BK462">
        <f t="shared" si="418"/>
        <v>-55.775473652586896</v>
      </c>
      <c r="BL462" s="60">
        <f t="shared" si="419"/>
        <v>-132.50155344138608</v>
      </c>
      <c r="BN462">
        <f t="shared" si="420"/>
        <v>0</v>
      </c>
      <c r="BO462">
        <f t="shared" si="421"/>
        <v>0</v>
      </c>
    </row>
    <row r="463" spans="13:67" ht="14.25" x14ac:dyDescent="0.2">
      <c r="M463" s="66">
        <v>45</v>
      </c>
      <c r="N463" s="36">
        <f t="shared" si="422"/>
        <v>281838.29312644573</v>
      </c>
      <c r="O463" s="91" t="str">
        <f t="shared" si="370"/>
        <v>99.7340425531915</v>
      </c>
      <c r="P463" s="67" t="str">
        <f t="shared" si="371"/>
        <v>1+51429.7794369933i</v>
      </c>
      <c r="Q463" s="67">
        <f t="shared" si="382"/>
        <v>51429.7794467153</v>
      </c>
      <c r="R463" s="67">
        <f t="shared" si="383"/>
        <v>1.5707768828071755</v>
      </c>
      <c r="S463" s="67" t="str">
        <f t="shared" si="372"/>
        <v>1+96.6879853415473i</v>
      </c>
      <c r="T463" s="67">
        <f t="shared" si="384"/>
        <v>96.693156476594893</v>
      </c>
      <c r="U463" s="67">
        <f t="shared" si="385"/>
        <v>1.5604541488845241</v>
      </c>
      <c r="V463" t="str">
        <f t="shared" si="373"/>
        <v>1-9.98755013418181i</v>
      </c>
      <c r="W463" s="67">
        <f t="shared" si="386"/>
        <v>10.037487618064347</v>
      </c>
      <c r="X463" s="67">
        <f t="shared" si="387"/>
        <v>-1.4710042561735703</v>
      </c>
      <c r="Y463" t="str">
        <f t="shared" si="374"/>
        <v>-17.8006682774979+15.4381116822232i</v>
      </c>
      <c r="Z463" s="67">
        <f t="shared" si="388"/>
        <v>23.562662910594732</v>
      </c>
      <c r="AA463" s="67">
        <f t="shared" si="389"/>
        <v>2.4271534715246283</v>
      </c>
      <c r="AB463" s="92" t="str">
        <f t="shared" si="390"/>
        <v>-0.0575177776305246+0.0554268928357769i</v>
      </c>
      <c r="AC463" s="37">
        <f t="shared" si="391"/>
        <v>-21.951496981651477</v>
      </c>
      <c r="AD463" s="60">
        <f t="shared" si="392"/>
        <v>136.06056523978154</v>
      </c>
      <c r="AE463" t="str">
        <f t="shared" si="393"/>
        <v>118.329284003155</v>
      </c>
      <c r="AF463" t="str">
        <f t="shared" si="375"/>
        <v>1+41143.8235495946i</v>
      </c>
      <c r="AG463">
        <f t="shared" si="394"/>
        <v>41143.823561747093</v>
      </c>
      <c r="AH463">
        <f t="shared" si="395"/>
        <v>1.570772021810247</v>
      </c>
      <c r="AI463" t="str">
        <f t="shared" si="376"/>
        <v>1+96.6879853415473i</v>
      </c>
      <c r="AJ463">
        <f t="shared" si="396"/>
        <v>96.693156476594893</v>
      </c>
      <c r="AK463">
        <f t="shared" si="397"/>
        <v>1.5604541488845241</v>
      </c>
      <c r="AL463" t="str">
        <f t="shared" si="377"/>
        <v>1-6.73421715619963i</v>
      </c>
      <c r="AM463">
        <f t="shared" si="398"/>
        <v>6.8080599811439262</v>
      </c>
      <c r="AN463">
        <f t="shared" si="399"/>
        <v>-1.4233782337017693</v>
      </c>
      <c r="AO463" s="58" t="str">
        <f t="shared" si="400"/>
        <v>0.258751850058361-1.87547917434706i</v>
      </c>
      <c r="AP463">
        <f t="shared" si="401"/>
        <v>5.5441339757626462</v>
      </c>
      <c r="AQ463" s="60">
        <f t="shared" si="402"/>
        <v>-82.144736014093326</v>
      </c>
      <c r="AR463" t="str">
        <f t="shared" si="378"/>
        <v>-1.94444444444444</v>
      </c>
      <c r="AS463" t="str">
        <f t="shared" si="379"/>
        <v>1+99.1671644528687i</v>
      </c>
      <c r="AT463">
        <f t="shared" si="403"/>
        <v>99.172206316196807</v>
      </c>
      <c r="AU463">
        <f t="shared" si="404"/>
        <v>1.5607126855814573</v>
      </c>
      <c r="AV463" t="str">
        <f t="shared" si="380"/>
        <v>1+99.1671644528687i</v>
      </c>
      <c r="AW463">
        <f t="shared" si="405"/>
        <v>99.172206316196807</v>
      </c>
      <c r="AX463">
        <f t="shared" si="406"/>
        <v>1.5607126855814573</v>
      </c>
      <c r="AY463" t="str">
        <f t="shared" si="381"/>
        <v>1-0.0000214552829679757i</v>
      </c>
      <c r="AZ463">
        <f t="shared" si="407"/>
        <v>1.0000000002301646</v>
      </c>
      <c r="BA463">
        <f t="shared" si="408"/>
        <v>-2.1455282964683538E-5</v>
      </c>
      <c r="BB463" s="58" t="str">
        <f t="shared" si="409"/>
        <v>-0.000197283413436117+0.0196057553098138i</v>
      </c>
      <c r="BC463">
        <f t="shared" si="410"/>
        <v>-34.151888717679398</v>
      </c>
      <c r="BD463" s="60">
        <f t="shared" si="411"/>
        <v>90.576520786492111</v>
      </c>
      <c r="BE463" s="58" t="str">
        <f t="shared" si="412"/>
        <v>-0.0010753387950173-0.00113861428080315i</v>
      </c>
      <c r="BF463" s="37">
        <f t="shared" si="413"/>
        <v>-56.103385699330872</v>
      </c>
      <c r="BG463" s="60">
        <f t="shared" si="414"/>
        <v>-133.36291397372614</v>
      </c>
      <c r="BH463" s="58" t="str">
        <f t="shared" si="415"/>
        <v>0.0367191383326876+0.00544302639154939i</v>
      </c>
      <c r="BI463" s="37">
        <f t="shared" si="416"/>
        <v>-28.607754741916764</v>
      </c>
      <c r="BJ463" s="60">
        <f t="shared" si="417"/>
        <v>8.4317847723988013</v>
      </c>
      <c r="BK463">
        <f t="shared" si="418"/>
        <v>-56.103385699330872</v>
      </c>
      <c r="BL463" s="60">
        <f t="shared" si="419"/>
        <v>-133.36291397372614</v>
      </c>
      <c r="BN463">
        <f t="shared" si="420"/>
        <v>0</v>
      </c>
      <c r="BO463">
        <f t="shared" si="421"/>
        <v>0</v>
      </c>
    </row>
    <row r="464" spans="13:67" ht="14.25" x14ac:dyDescent="0.2">
      <c r="M464" s="66">
        <v>46</v>
      </c>
      <c r="N464" s="36">
        <f t="shared" si="422"/>
        <v>288403.1503126609</v>
      </c>
      <c r="O464" s="91" t="str">
        <f t="shared" si="370"/>
        <v>99.7340425531915</v>
      </c>
      <c r="P464" s="67" t="str">
        <f t="shared" si="371"/>
        <v>1+52627.73289242i</v>
      </c>
      <c r="Q464" s="67">
        <f t="shared" si="382"/>
        <v>52627.732901920688</v>
      </c>
      <c r="R464" s="67">
        <f t="shared" si="383"/>
        <v>1.5707773254063715</v>
      </c>
      <c r="S464" s="67" t="str">
        <f t="shared" si="372"/>
        <v>1+98.9401378377497i</v>
      </c>
      <c r="T464" s="67">
        <f t="shared" si="384"/>
        <v>98.945191269474577</v>
      </c>
      <c r="U464" s="67">
        <f t="shared" si="385"/>
        <v>1.5606895493773767</v>
      </c>
      <c r="V464" t="str">
        <f t="shared" si="373"/>
        <v>1-10.220190062361i</v>
      </c>
      <c r="W464" s="67">
        <f t="shared" si="386"/>
        <v>10.268996295197624</v>
      </c>
      <c r="X464" s="67">
        <f t="shared" si="387"/>
        <v>-1.4732612564075136</v>
      </c>
      <c r="Y464" t="str">
        <f t="shared" si="374"/>
        <v>-18.686716475803+15.7977114984667i</v>
      </c>
      <c r="Z464" s="67">
        <f t="shared" si="388"/>
        <v>24.469594627533866</v>
      </c>
      <c r="AA464" s="67">
        <f t="shared" si="389"/>
        <v>2.4397764007429696</v>
      </c>
      <c r="AB464" s="92" t="str">
        <f t="shared" si="390"/>
        <v>-0.0558575548362289+0.055427393655904i</v>
      </c>
      <c r="AC464" s="37">
        <f t="shared" si="391"/>
        <v>-22.081506485207207</v>
      </c>
      <c r="AD464" s="60">
        <f t="shared" si="392"/>
        <v>135.22147017838302</v>
      </c>
      <c r="AE464" t="str">
        <f t="shared" si="393"/>
        <v>118.329284003155</v>
      </c>
      <c r="AF464" t="str">
        <f t="shared" si="375"/>
        <v>1+42102.186313936i</v>
      </c>
      <c r="AG464">
        <f t="shared" si="394"/>
        <v>42102.186325811876</v>
      </c>
      <c r="AH464">
        <f t="shared" si="395"/>
        <v>1.5707725750592421</v>
      </c>
      <c r="AI464" t="str">
        <f t="shared" si="376"/>
        <v>1+98.9401378377497i</v>
      </c>
      <c r="AJ464">
        <f t="shared" si="396"/>
        <v>98.945191269474577</v>
      </c>
      <c r="AK464">
        <f t="shared" si="397"/>
        <v>1.5606895493773767</v>
      </c>
      <c r="AL464" t="str">
        <f t="shared" si="377"/>
        <v>1-6.89107722443591i</v>
      </c>
      <c r="AM464">
        <f t="shared" si="398"/>
        <v>6.9632568036184983</v>
      </c>
      <c r="AN464">
        <f t="shared" si="399"/>
        <v>-1.4266870861915972</v>
      </c>
      <c r="AO464" s="58" t="str">
        <f t="shared" si="400"/>
        <v>0.258751846919179-1.91903252991709i</v>
      </c>
      <c r="AP464">
        <f t="shared" si="401"/>
        <v>5.7398938456777984</v>
      </c>
      <c r="AQ464" s="60">
        <f t="shared" si="402"/>
        <v>-82.320863540888553</v>
      </c>
      <c r="AR464" t="str">
        <f t="shared" si="378"/>
        <v>-1.94444444444444</v>
      </c>
      <c r="AS464" t="str">
        <f t="shared" si="379"/>
        <v>1+101.477064448974i</v>
      </c>
      <c r="AT464">
        <f t="shared" si="403"/>
        <v>101.4819915511182</v>
      </c>
      <c r="AU464">
        <f t="shared" si="404"/>
        <v>1.5609422022466866</v>
      </c>
      <c r="AV464" t="str">
        <f t="shared" si="380"/>
        <v>1+101.477064448974i</v>
      </c>
      <c r="AW464">
        <f t="shared" si="405"/>
        <v>101.4819915511182</v>
      </c>
      <c r="AX464">
        <f t="shared" si="406"/>
        <v>1.5609422022466866</v>
      </c>
      <c r="AY464" t="str">
        <f t="shared" si="381"/>
        <v>1-0.0000209669011024451i</v>
      </c>
      <c r="AZ464">
        <f t="shared" si="407"/>
        <v>1.0000000002198055</v>
      </c>
      <c r="BA464">
        <f t="shared" si="408"/>
        <v>-2.0966901099372676E-5</v>
      </c>
      <c r="BB464" s="58" t="str">
        <f t="shared" si="409"/>
        <v>-0.000188405059353963+0.0191595613249408i</v>
      </c>
      <c r="BC464">
        <f t="shared" si="410"/>
        <v>-34.351868843580462</v>
      </c>
      <c r="BD464" s="60">
        <f t="shared" si="411"/>
        <v>90.563398432466215</v>
      </c>
      <c r="BE464" s="58" t="str">
        <f t="shared" si="412"/>
        <v>-0.00105144070189764-0.00108064904873755i</v>
      </c>
      <c r="BF464" s="37">
        <f t="shared" si="413"/>
        <v>-56.433375328787662</v>
      </c>
      <c r="BG464" s="60">
        <f t="shared" si="414"/>
        <v>-134.21513138915068</v>
      </c>
      <c r="BH464" s="58" t="str">
        <f t="shared" si="415"/>
        <v>0.036719071284426+0.00531912731669092i</v>
      </c>
      <c r="BI464" s="37">
        <f t="shared" si="416"/>
        <v>-28.611974997902671</v>
      </c>
      <c r="BJ464" s="60">
        <f t="shared" si="417"/>
        <v>8.242534891577689</v>
      </c>
      <c r="BK464">
        <f t="shared" si="418"/>
        <v>-56.433375328787662</v>
      </c>
      <c r="BL464" s="60">
        <f t="shared" si="419"/>
        <v>-134.21513138915068</v>
      </c>
      <c r="BN464">
        <f t="shared" si="420"/>
        <v>0</v>
      </c>
      <c r="BO464">
        <f t="shared" si="421"/>
        <v>0</v>
      </c>
    </row>
    <row r="465" spans="13:67" ht="14.25" x14ac:dyDescent="0.2">
      <c r="M465" s="66">
        <v>47</v>
      </c>
      <c r="N465" s="36">
        <f t="shared" si="422"/>
        <v>295120.92266663886</v>
      </c>
      <c r="O465" s="91" t="str">
        <f t="shared" si="370"/>
        <v>99.7340425531915</v>
      </c>
      <c r="P465" s="67" t="str">
        <f t="shared" si="371"/>
        <v>1+53853.5902684367i</v>
      </c>
      <c r="Q465" s="67">
        <f t="shared" si="382"/>
        <v>53853.590277721123</v>
      </c>
      <c r="R465" s="67">
        <f t="shared" si="383"/>
        <v>1.57077775793078</v>
      </c>
      <c r="S465" s="67" t="str">
        <f t="shared" si="372"/>
        <v>1+101.244749704661i</v>
      </c>
      <c r="T465" s="67">
        <f t="shared" si="384"/>
        <v>101.24968811191199</v>
      </c>
      <c r="U465" s="67">
        <f t="shared" si="385"/>
        <v>1.5609195925832038</v>
      </c>
      <c r="V465" t="str">
        <f t="shared" si="373"/>
        <v>1-10.4582488705914i</v>
      </c>
      <c r="W465" s="67">
        <f t="shared" si="386"/>
        <v>10.505949240274591</v>
      </c>
      <c r="X465" s="67">
        <f t="shared" si="387"/>
        <v>-1.4754678447131233</v>
      </c>
      <c r="Y465" t="str">
        <f t="shared" si="374"/>
        <v>-19.6145228391973+16.165687470454i</v>
      </c>
      <c r="Z465" s="67">
        <f t="shared" si="388"/>
        <v>25.41768985572422</v>
      </c>
      <c r="AA465" s="67">
        <f t="shared" si="389"/>
        <v>2.4522870935225196</v>
      </c>
      <c r="AB465" s="92" t="str">
        <f t="shared" si="390"/>
        <v>-0.0542180789021499+0.0553823296416919i</v>
      </c>
      <c r="AC465" s="37">
        <f t="shared" si="391"/>
        <v>-22.213566459710616</v>
      </c>
      <c r="AD465" s="60">
        <f t="shared" si="392"/>
        <v>134.3913878092722</v>
      </c>
      <c r="AE465" t="str">
        <f t="shared" si="393"/>
        <v>118.329284003155</v>
      </c>
      <c r="AF465" t="str">
        <f t="shared" si="375"/>
        <v>1+43082.8722147494i</v>
      </c>
      <c r="AG465">
        <f t="shared" si="394"/>
        <v>43082.872226354928</v>
      </c>
      <c r="AH465">
        <f t="shared" si="395"/>
        <v>1.5707731157147524</v>
      </c>
      <c r="AI465" t="str">
        <f t="shared" si="376"/>
        <v>1+101.244749704661i</v>
      </c>
      <c r="AJ465">
        <f t="shared" si="396"/>
        <v>101.24968811191199</v>
      </c>
      <c r="AK465">
        <f t="shared" si="397"/>
        <v>1.5609195925832038</v>
      </c>
      <c r="AL465" t="str">
        <f t="shared" si="377"/>
        <v>1-7.05159103303077i</v>
      </c>
      <c r="AM465">
        <f t="shared" si="398"/>
        <v>7.1221440660183202</v>
      </c>
      <c r="AN465">
        <f t="shared" si="399"/>
        <v>-1.4299236933579256</v>
      </c>
      <c r="AO465" s="58" t="str">
        <f t="shared" si="400"/>
        <v>0.258751843921286-1.96360338193587i</v>
      </c>
      <c r="AP465">
        <f t="shared" si="401"/>
        <v>5.935840722730318</v>
      </c>
      <c r="AQ465" s="60">
        <f t="shared" si="402"/>
        <v>-82.49315794394029</v>
      </c>
      <c r="AR465" t="str">
        <f t="shared" si="378"/>
        <v>-1.94444444444444</v>
      </c>
      <c r="AS465" t="str">
        <f t="shared" si="379"/>
        <v>1+103.840768927857i</v>
      </c>
      <c r="AT465">
        <f t="shared" si="403"/>
        <v>103.84558388072452</v>
      </c>
      <c r="AU465">
        <f t="shared" si="404"/>
        <v>1.5611664954780027</v>
      </c>
      <c r="AV465" t="str">
        <f t="shared" si="380"/>
        <v>1+103.840768927857i</v>
      </c>
      <c r="AW465">
        <f t="shared" si="405"/>
        <v>103.84558388072452</v>
      </c>
      <c r="AX465">
        <f t="shared" si="406"/>
        <v>1.5611664954780027</v>
      </c>
      <c r="AY465" t="str">
        <f t="shared" si="381"/>
        <v>1-0.0000204896361654088i</v>
      </c>
      <c r="AZ465">
        <f t="shared" si="407"/>
        <v>1.0000000002099125</v>
      </c>
      <c r="BA465">
        <f t="shared" si="408"/>
        <v>-2.0489636162541445E-5</v>
      </c>
      <c r="BB465" s="58" t="str">
        <f t="shared" si="409"/>
        <v>-0.0001799262211742+0.0187235181162231i</v>
      </c>
      <c r="BC465">
        <f t="shared" si="410"/>
        <v>-34.551849863878338</v>
      </c>
      <c r="BD465" s="60">
        <f t="shared" si="411"/>
        <v>90.550574722205056</v>
      </c>
      <c r="BE465" s="58" t="str">
        <f t="shared" si="412"/>
        <v>-0.00102719679830867-0.00102511791584347i</v>
      </c>
      <c r="BF465" s="37">
        <f t="shared" si="413"/>
        <v>-56.765416323588951</v>
      </c>
      <c r="BG465" s="60">
        <f t="shared" si="414"/>
        <v>-135.05803746852277</v>
      </c>
      <c r="BH465" s="58" t="str">
        <f t="shared" si="415"/>
        <v>0.0367190072532546+0.00519804857366293i</v>
      </c>
      <c r="BI465" s="37">
        <f t="shared" si="416"/>
        <v>-28.616009141148012</v>
      </c>
      <c r="BJ465" s="60">
        <f t="shared" si="417"/>
        <v>8.0574167782647805</v>
      </c>
      <c r="BK465">
        <f t="shared" si="418"/>
        <v>-56.765416323588951</v>
      </c>
      <c r="BL465" s="60">
        <f t="shared" si="419"/>
        <v>-135.05803746852277</v>
      </c>
      <c r="BN465">
        <f t="shared" si="420"/>
        <v>0</v>
      </c>
      <c r="BO465">
        <f t="shared" si="421"/>
        <v>0</v>
      </c>
    </row>
    <row r="466" spans="13:67" ht="14.25" x14ac:dyDescent="0.2">
      <c r="M466" s="66">
        <v>48</v>
      </c>
      <c r="N466" s="36">
        <f t="shared" si="422"/>
        <v>301995.17204020242</v>
      </c>
      <c r="O466" s="91" t="str">
        <f t="shared" si="370"/>
        <v>99.7340425531915</v>
      </c>
      <c r="P466" s="67" t="str">
        <f t="shared" si="371"/>
        <v>1+55108.0015308503i</v>
      </c>
      <c r="Q466" s="67">
        <f t="shared" si="382"/>
        <v>55108.001539923396</v>
      </c>
      <c r="R466" s="67">
        <f t="shared" si="383"/>
        <v>1.570778180609731</v>
      </c>
      <c r="S466" s="67" t="str">
        <f t="shared" si="372"/>
        <v>1+103.603042877999i</v>
      </c>
      <c r="T466" s="67">
        <f t="shared" si="384"/>
        <v>103.60786887867398</v>
      </c>
      <c r="U466" s="67">
        <f t="shared" si="385"/>
        <v>1.5611444003765111</v>
      </c>
      <c r="V466" t="str">
        <f t="shared" si="373"/>
        <v>1-10.7018527808042i</v>
      </c>
      <c r="W466" s="67">
        <f t="shared" si="386"/>
        <v>10.748472121283406</v>
      </c>
      <c r="X466" s="67">
        <f t="shared" si="387"/>
        <v>-1.4776251050538505</v>
      </c>
      <c r="Y466" t="str">
        <f t="shared" si="374"/>
        <v>-20.5860553693708+16.5422347039164i</v>
      </c>
      <c r="Z466" s="67">
        <f t="shared" si="388"/>
        <v>26.408922822982699</v>
      </c>
      <c r="AA466" s="67">
        <f t="shared" si="389"/>
        <v>2.4646816748899543</v>
      </c>
      <c r="AB466" s="92" t="str">
        <f t="shared" si="390"/>
        <v>-0.0526007648854437+0.0552932515932211i</v>
      </c>
      <c r="AC466" s="37">
        <f t="shared" si="391"/>
        <v>-22.347649027580545</v>
      </c>
      <c r="AD466" s="60">
        <f t="shared" si="392"/>
        <v>133.57048501529027</v>
      </c>
      <c r="AE466" t="str">
        <f t="shared" si="393"/>
        <v>118.329284003155</v>
      </c>
      <c r="AF466" t="str">
        <f t="shared" si="375"/>
        <v>1+44086.4012246802i</v>
      </c>
      <c r="AG466">
        <f t="shared" si="394"/>
        <v>44086.401236021564</v>
      </c>
      <c r="AH466">
        <f t="shared" si="395"/>
        <v>1.570773644063441</v>
      </c>
      <c r="AI466" t="str">
        <f t="shared" si="376"/>
        <v>1+103.603042877999i</v>
      </c>
      <c r="AJ466">
        <f t="shared" si="396"/>
        <v>103.60786887867398</v>
      </c>
      <c r="AK466">
        <f t="shared" si="397"/>
        <v>1.5611444003765111</v>
      </c>
      <c r="AL466" t="str">
        <f t="shared" si="377"/>
        <v>1-7.21584368853019i</v>
      </c>
      <c r="AM466">
        <f t="shared" si="398"/>
        <v>7.2848061152854964</v>
      </c>
      <c r="AN466">
        <f t="shared" si="399"/>
        <v>-1.4330894999072168</v>
      </c>
      <c r="AO466" s="58" t="str">
        <f t="shared" si="400"/>
        <v>0.25875184105832-2.00921536245912i</v>
      </c>
      <c r="AP466">
        <f t="shared" si="401"/>
        <v>6.1319665207263583</v>
      </c>
      <c r="AQ466" s="60">
        <f t="shared" si="402"/>
        <v>-82.661695032361365</v>
      </c>
      <c r="AR466" t="str">
        <f t="shared" si="378"/>
        <v>-1.94444444444444</v>
      </c>
      <c r="AS466" t="str">
        <f t="shared" si="379"/>
        <v>1+106.259531156921i</v>
      </c>
      <c r="AT466">
        <f t="shared" si="403"/>
        <v>106.26423651298995</v>
      </c>
      <c r="AU466">
        <f t="shared" si="404"/>
        <v>1.5613856841083247</v>
      </c>
      <c r="AV466" t="str">
        <f t="shared" si="380"/>
        <v>1+106.259531156921i</v>
      </c>
      <c r="AW466">
        <f t="shared" si="405"/>
        <v>106.26423651298995</v>
      </c>
      <c r="AX466">
        <f t="shared" si="406"/>
        <v>1.5613856841083247</v>
      </c>
      <c r="AY466" t="str">
        <f t="shared" si="381"/>
        <v>1-0.0000200232351046798i</v>
      </c>
      <c r="AZ466">
        <f t="shared" si="407"/>
        <v>1.000000000200465</v>
      </c>
      <c r="BA466">
        <f t="shared" si="408"/>
        <v>-2.0023235102003828E-5</v>
      </c>
      <c r="BB466" s="58" t="str">
        <f t="shared" si="409"/>
        <v>-0.000171828924392742+0.0182973950134299i</v>
      </c>
      <c r="BC466">
        <f t="shared" si="410"/>
        <v>-34.751831738326132</v>
      </c>
      <c r="BD466" s="60">
        <f t="shared" si="411"/>
        <v>90.538042861582682</v>
      </c>
      <c r="BE466" s="58" t="str">
        <f t="shared" si="412"/>
        <v>-0.00100268413312563-0.000971957953064957i</v>
      </c>
      <c r="BF466" s="37">
        <f t="shared" si="413"/>
        <v>-57.099480765906669</v>
      </c>
      <c r="BG466" s="60">
        <f t="shared" si="414"/>
        <v>-135.8914721231271</v>
      </c>
      <c r="BH466" s="58" t="str">
        <f t="shared" si="415"/>
        <v>0.0367189461034326+0.00507972596090103i</v>
      </c>
      <c r="BI466" s="37">
        <f t="shared" si="416"/>
        <v>-28.61986521759977</v>
      </c>
      <c r="BJ466" s="60">
        <f t="shared" si="417"/>
        <v>7.8763478292213192</v>
      </c>
      <c r="BK466">
        <f t="shared" si="418"/>
        <v>-57.099480765906669</v>
      </c>
      <c r="BL466" s="60">
        <f t="shared" si="419"/>
        <v>-135.8914721231271</v>
      </c>
      <c r="BN466">
        <f t="shared" si="420"/>
        <v>0</v>
      </c>
      <c r="BO466">
        <f t="shared" si="421"/>
        <v>0</v>
      </c>
    </row>
    <row r="467" spans="13:67" ht="14.25" x14ac:dyDescent="0.2">
      <c r="M467" s="66">
        <v>49</v>
      </c>
      <c r="N467" s="36">
        <f t="shared" si="422"/>
        <v>309029.54325135931</v>
      </c>
      <c r="O467" s="91" t="str">
        <f t="shared" ref="O467:O530" si="423">COMPLEX(adc,0)</f>
        <v>99.7340425531915</v>
      </c>
      <c r="P467" s="67" t="str">
        <f t="shared" ref="P467:P530" si="424">IMSUM(COMPLEX(1,0),IMDIV(COMPLEX(0,2*PI()*N467),COMPLEX(wp_lf,0)))</f>
        <v>1+56391.6317851161i</v>
      </c>
      <c r="Q467" s="67">
        <f t="shared" si="382"/>
        <v>56391.631793982669</v>
      </c>
      <c r="R467" s="67">
        <f t="shared" si="383"/>
        <v>1.5707785936673342</v>
      </c>
      <c r="S467" s="67" t="str">
        <f t="shared" ref="S467:S530" si="425">IMSUM(COMPLEX(1,0),IMDIV(COMPLEX(0,2*PI()*N467),COMPLEX(wz_esr,0)))</f>
        <v>1+106.016267756018i</v>
      </c>
      <c r="T467" s="67">
        <f t="shared" si="384"/>
        <v>106.02098390844947</v>
      </c>
      <c r="U467" s="67">
        <f t="shared" si="385"/>
        <v>1.5613640918624225</v>
      </c>
      <c r="V467" t="str">
        <f t="shared" ref="V467:V530" si="426">IMSUB(COMPLEX(1,0),IMDIV(COMPLEX(0,2*PI()*N467),COMPLEX(wz_rhp,0)))</f>
        <v>1-10.9511309550173i</v>
      </c>
      <c r="W467" s="67">
        <f t="shared" si="386"/>
        <v>10.996693557335227</v>
      </c>
      <c r="X467" s="67">
        <f t="shared" si="387"/>
        <v>-1.4797341008782281</v>
      </c>
      <c r="Y467" t="str">
        <f t="shared" ref="Y467:Y530" si="427">IMSUM(COMPLEX(1,0),IMDIV(COMPLEX(0,2*PI()*N467),COMPLEX(Q*(wsl/2),0)),IMDIV(IMPOWER(COMPLEX(0,2*PI()*N467),2),IMPOWER(COMPLEX(wsl/2,0),2)))</f>
        <v>-21.6033748170755+16.9275528491811i</v>
      </c>
      <c r="Z467" s="67">
        <f t="shared" si="388"/>
        <v>27.445361155373256</v>
      </c>
      <c r="AA467" s="67">
        <f t="shared" si="389"/>
        <v>2.4769564404104121</v>
      </c>
      <c r="AB467" s="92" t="str">
        <f t="shared" si="390"/>
        <v>-0.051006932379598+0.0551617575945837i</v>
      </c>
      <c r="AC467" s="37">
        <f t="shared" si="391"/>
        <v>-22.483724720160513</v>
      </c>
      <c r="AD467" s="60">
        <f t="shared" si="392"/>
        <v>132.75891992518811</v>
      </c>
      <c r="AE467" t="str">
        <f t="shared" si="393"/>
        <v>118.329284003155</v>
      </c>
      <c r="AF467" t="str">
        <f t="shared" ref="AF467:AF530" si="428">IMSUM(COMPLEX(1,0),IMDIV(COMPLEX(0,2*PI()*N467),COMPLEX(wp_lf_DCM,0)))</f>
        <v>1+45113.3054280929i</v>
      </c>
      <c r="AG467">
        <f t="shared" si="394"/>
        <v>45113.305439176103</v>
      </c>
      <c r="AH467">
        <f t="shared" si="395"/>
        <v>1.570774160385445</v>
      </c>
      <c r="AI467" t="str">
        <f t="shared" ref="AI467:AI530" si="429">IMSUM(COMPLEX(1,0),IMDIV(COMPLEX(0,2*PI()*N467),COMPLEX(wz1_dcm,0)))</f>
        <v>1+106.016267756018i</v>
      </c>
      <c r="AJ467">
        <f t="shared" si="396"/>
        <v>106.02098390844947</v>
      </c>
      <c r="AK467">
        <f t="shared" si="397"/>
        <v>1.5613640918624225</v>
      </c>
      <c r="AL467" t="str">
        <f t="shared" ref="AL467:AL530" si="430">IMSUB(COMPLEX(1,0),IMDIV(COMPLEX(0,2*PI()*N467),COMPLEX(wz2_dcm,0)))</f>
        <v>1-7.38392227986625i</v>
      </c>
      <c r="AM467">
        <f t="shared" si="398"/>
        <v>7.451329293160061</v>
      </c>
      <c r="AN467">
        <f t="shared" si="399"/>
        <v>-1.4361859304288209</v>
      </c>
      <c r="AO467" s="58" t="str">
        <f t="shared" si="400"/>
        <v>0.258751838324207-2.05589265556263i</v>
      </c>
      <c r="AP467">
        <f t="shared" si="401"/>
        <v>6.3282634891519773</v>
      </c>
      <c r="AQ467" s="60">
        <f t="shared" si="402"/>
        <v>-82.826549620938778</v>
      </c>
      <c r="AR467" t="str">
        <f t="shared" ref="AR467:AR530" si="431">COMPLEX(adc_ea,0)</f>
        <v>-1.94444444444444</v>
      </c>
      <c r="AS467" t="str">
        <f t="shared" ref="AS467:AS530" si="432">IMSUM(COMPLEX(1,0), IMDIV(COMPLEX(0,2*PI()*N467), COMPLEX(wp0_ea,0)))</f>
        <v>1+108.734633595916i</v>
      </c>
      <c r="AT467">
        <f t="shared" si="403"/>
        <v>108.7392318495864</v>
      </c>
      <c r="AU467">
        <f t="shared" si="404"/>
        <v>1.5615998842700722</v>
      </c>
      <c r="AV467" t="str">
        <f t="shared" ref="AV467:AV530" si="433">IMSUM(COMPLEX(1,0),IMDIV(COMPLEX(0,2*PI()*N467),COMPLEX(wp1_ea,0)))</f>
        <v>1+108.734633595916i</v>
      </c>
      <c r="AW467">
        <f t="shared" si="405"/>
        <v>108.7392318495864</v>
      </c>
      <c r="AX467">
        <f t="shared" si="406"/>
        <v>1.5615998842700722</v>
      </c>
      <c r="AY467" t="str">
        <f t="shared" ref="AY467:AY530" si="434">IMSUM(COMPLEX(1,0),IMDIV(COMPLEX(wz_ea,0),COMPLEX(0,2*PI()*N467)))</f>
        <v>1-0.0000195674506282421i</v>
      </c>
      <c r="AZ467">
        <f t="shared" si="407"/>
        <v>1.0000000001914424</v>
      </c>
      <c r="BA467">
        <f t="shared" si="408"/>
        <v>-1.9567450625744738E-5</v>
      </c>
      <c r="BB467" s="58" t="str">
        <f t="shared" si="409"/>
        <v>-0.000164096002904377+0.0178809665710278i</v>
      </c>
      <c r="BC467">
        <f t="shared" si="410"/>
        <v>-34.95181442848758</v>
      </c>
      <c r="BD467" s="60">
        <f t="shared" si="411"/>
        <v>90.525796210870382</v>
      </c>
      <c r="BE467" s="58" t="str">
        <f t="shared" si="412"/>
        <v>-0.000977975509823984-0.000921105076704719i</v>
      </c>
      <c r="BF467" s="37">
        <f t="shared" si="413"/>
        <v>-57.43553914864809</v>
      </c>
      <c r="BG467" s="60">
        <f t="shared" si="414"/>
        <v>-136.71528386394149</v>
      </c>
      <c r="BH467" s="58" t="str">
        <f t="shared" si="415"/>
        <v>0.0367188877053238+0.00496409673844543i</v>
      </c>
      <c r="BI467" s="37">
        <f t="shared" si="416"/>
        <v>-28.623550939335605</v>
      </c>
      <c r="BJ467" s="60">
        <f t="shared" si="417"/>
        <v>7.6992465899316045</v>
      </c>
      <c r="BK467">
        <f t="shared" si="418"/>
        <v>-57.43553914864809</v>
      </c>
      <c r="BL467" s="60">
        <f t="shared" si="419"/>
        <v>-136.71528386394149</v>
      </c>
      <c r="BN467">
        <f t="shared" si="420"/>
        <v>0</v>
      </c>
      <c r="BO467">
        <f t="shared" si="421"/>
        <v>0</v>
      </c>
    </row>
    <row r="468" spans="13:67" ht="14.25" x14ac:dyDescent="0.2">
      <c r="M468" s="66">
        <v>50</v>
      </c>
      <c r="N468" s="36">
        <f t="shared" si="422"/>
        <v>316227.7660168382</v>
      </c>
      <c r="O468" s="91" t="str">
        <f t="shared" si="423"/>
        <v>99.7340425531915</v>
      </c>
      <c r="P468" s="67" t="str">
        <f t="shared" si="424"/>
        <v>1+57705.1616289859i</v>
      </c>
      <c r="Q468" s="67">
        <f t="shared" ref="Q468:Q531" si="435">IMABS(P468)</f>
        <v>57705.161637650643</v>
      </c>
      <c r="R468" s="67">
        <f t="shared" ref="R468:R531" si="436">IMARGUMENT(P468)</f>
        <v>1.5707789973225987</v>
      </c>
      <c r="S468" s="67" t="str">
        <f t="shared" si="425"/>
        <v>1+108.485703862493i</v>
      </c>
      <c r="T468" s="67">
        <f t="shared" ref="T468:T531" si="437">IMABS(S468)</f>
        <v>108.49031266680232</v>
      </c>
      <c r="U468" s="67">
        <f t="shared" ref="U468:U531" si="438">IMARGUMENT(S468)</f>
        <v>1.561578783439397</v>
      </c>
      <c r="V468" t="str">
        <f t="shared" si="426"/>
        <v>1-11.206215563818i</v>
      </c>
      <c r="W468" s="67">
        <f t="shared" ref="W468:W531" si="439">IMABS(V468)</f>
        <v>11.250745186997916</v>
      </c>
      <c r="X468" s="67">
        <f t="shared" ref="X468:X531" si="440">IMARGUMENT(V468)</f>
        <v>-1.4817958753181109</v>
      </c>
      <c r="Y468" t="str">
        <f t="shared" si="427"/>
        <v>-22.6686390532544+17.3218462070291i</v>
      </c>
      <c r="Z468" s="67">
        <f t="shared" ref="Z468:Z531" si="441">IMABS(Y468)</f>
        <v>28.529170204313672</v>
      </c>
      <c r="AA468" s="67">
        <f t="shared" ref="AA468:AA531" si="442">IMARGUMENT(Y468)</f>
        <v>2.4891078632069363</v>
      </c>
      <c r="AB468" s="92" t="str">
        <f t="shared" ref="AB468:AB531" si="443">(IMDIV(IMPRODUCT(O468,S468,V468),IMPRODUCT(P468,Y468)))</f>
        <v>-0.049437803752598+0.0549894859559644i</v>
      </c>
      <c r="AC468" s="37">
        <f t="shared" ref="AC468:AC531" si="444">20*LOG(IMABS(AB468))</f>
        <v>-22.621762591714788</v>
      </c>
      <c r="AD468" s="60">
        <f t="shared" ref="AD468:AD531" si="445">(180/PI())*IMARGUMENT(AB468)</f>
        <v>131.95684150366949</v>
      </c>
      <c r="AE468" t="str">
        <f t="shared" ref="AE468:AE531" si="446">COMPLEX($B$67,0)</f>
        <v>118.329284003155</v>
      </c>
      <c r="AF468" t="str">
        <f t="shared" si="428"/>
        <v>1+46164.1293031887i</v>
      </c>
      <c r="AG468">
        <f t="shared" ref="AG468:AG531" si="447">IMABS(AF468)</f>
        <v>46164.129314019621</v>
      </c>
      <c r="AH468">
        <f t="shared" ref="AH468:AH531" si="448">IMARGUMENT(AF468)</f>
        <v>1.5707746649545253</v>
      </c>
      <c r="AI468" t="str">
        <f t="shared" si="429"/>
        <v>1+108.485703862493i</v>
      </c>
      <c r="AJ468">
        <f t="shared" ref="AJ468:AJ531" si="449">IMABS(AI468)</f>
        <v>108.49031266680232</v>
      </c>
      <c r="AK468">
        <f t="shared" ref="AK468:AK531" si="450">IMARGUMENT(AI468)</f>
        <v>1.561578783439397</v>
      </c>
      <c r="AL468" t="str">
        <f t="shared" si="430"/>
        <v>1-7.55591592453285i</v>
      </c>
      <c r="AM468">
        <f t="shared" ref="AM468:AM531" si="451">IMABS(AL468)</f>
        <v>7.6218019823798313</v>
      </c>
      <c r="AN468">
        <f t="shared" ref="AN468:AN531" si="452">IMARGUMENT(AL468)</f>
        <v>-1.4392143890604521</v>
      </c>
      <c r="AO468" s="58" t="str">
        <f t="shared" ref="AO468:AO531" si="453">(IMDIV(IMPRODUCT(AE468,AI468,AL468),IMPRODUCT(AF468)))</f>
        <v>0.258751835713149-2.10366001016507i</v>
      </c>
      <c r="AP468">
        <f t="shared" ref="AP468:AP531" si="454">20*LOG(IMABS(AO468))</f>
        <v>6.5247242004482491</v>
      </c>
      <c r="AQ468" s="60">
        <f t="shared" ref="AQ468:AQ531" si="455">(180/PI())*IMARGUMENT(AO468)</f>
        <v>-82.987795507382359</v>
      </c>
      <c r="AR468" t="str">
        <f t="shared" si="431"/>
        <v>-1.94444444444444</v>
      </c>
      <c r="AS468" t="str">
        <f t="shared" si="432"/>
        <v>1+111.267388576916i</v>
      </c>
      <c r="AT468">
        <f t="shared" ref="AT468:AT531" si="456">IMABS(AS468)</f>
        <v>111.27188216583026</v>
      </c>
      <c r="AU468">
        <f t="shared" ref="AU468:AU531" si="457">IMARGUMENT(AS468)</f>
        <v>1.5618092094563385</v>
      </c>
      <c r="AV468" t="str">
        <f t="shared" si="433"/>
        <v>1+111.267388576916i</v>
      </c>
      <c r="AW468">
        <f t="shared" ref="AW468:AW531" si="458">IMABS(AV468)</f>
        <v>111.27188216583026</v>
      </c>
      <c r="AX468">
        <f t="shared" ref="AX468:AX531" si="459">IMARGUMENT(AV468)</f>
        <v>1.5618092094563385</v>
      </c>
      <c r="AY468" t="str">
        <f t="shared" si="434"/>
        <v>1-0.0000191220410731334i</v>
      </c>
      <c r="AZ468">
        <f t="shared" ref="AZ468:AZ531" si="460">IMABS(AY468)</f>
        <v>1.0000000001828262</v>
      </c>
      <c r="BA468">
        <f t="shared" ref="BA468:BA531" si="461">IMARGUMENT(AY468)</f>
        <v>-1.9122041070802728E-5</v>
      </c>
      <c r="BB468" s="58" t="str">
        <f t="shared" ref="BB468:BB531" si="462">IMDIV(IMPRODUCT(AR468,AY468), AS468)</f>
        <v>-0.000156711062670458+0.0174740124509864i</v>
      </c>
      <c r="BC468">
        <f t="shared" ref="BC468:BC531" si="463">20*LOG(IMABS(BB468))</f>
        <v>-35.151797897655598</v>
      </c>
      <c r="BD468" s="60">
        <f t="shared" ref="BD468:BD531" si="464">(180/PI())*IMARGUMENT(BB468)</f>
        <v>90.513828281239185</v>
      </c>
      <c r="BE468" s="58" t="str">
        <f t="shared" ref="BE468:BE531" si="465">IMPRODUCT(AB468,BB468)</f>
        <v>-0.000953139511505701-0.000872494259102181i</v>
      </c>
      <c r="BF468" s="37">
        <f t="shared" ref="BF468:BF531" si="466">20*LOG(IMABS(BE468))</f>
        <v>-57.773560489370382</v>
      </c>
      <c r="BG468" s="60">
        <f t="shared" ref="BG468:BG531" si="467">(180/PI())*IMARGUMENT(BE468)</f>
        <v>-137.52933021509131</v>
      </c>
      <c r="BH468" s="58" t="str">
        <f t="shared" ref="BH468:BH531" si="468">IMPRODUCT(AO468,BB468)</f>
        <v>0.0367188319351241+0.00485109959465747i</v>
      </c>
      <c r="BI468" s="37">
        <f t="shared" ref="BI468:BI531" si="469">20*LOG(IMABS(BH468))</f>
        <v>-28.627073697207347</v>
      </c>
      <c r="BJ468" s="60">
        <f t="shared" ref="BJ468:BJ531" si="470">(180/PI())*IMARGUMENT(BH468)</f>
        <v>7.5260327738568309</v>
      </c>
      <c r="BK468">
        <f t="shared" ref="BK468:BK531" si="471">IF($B$19=0,BF468,BI468)</f>
        <v>-57.773560489370382</v>
      </c>
      <c r="BL468" s="60">
        <f t="shared" ref="BL468:BL531" si="472">IF($B$19=0,BG468,BJ468)</f>
        <v>-137.52933021509131</v>
      </c>
      <c r="BN468">
        <f t="shared" si="420"/>
        <v>0</v>
      </c>
      <c r="BO468">
        <f t="shared" si="421"/>
        <v>0</v>
      </c>
    </row>
    <row r="469" spans="13:67" ht="14.25" x14ac:dyDescent="0.2">
      <c r="M469" s="66">
        <v>51</v>
      </c>
      <c r="N469" s="36">
        <f t="shared" si="422"/>
        <v>323593.65692962846</v>
      </c>
      <c r="O469" s="91" t="str">
        <f t="shared" si="423"/>
        <v>99.7340425531915</v>
      </c>
      <c r="P469" s="67" t="str">
        <f t="shared" si="424"/>
        <v>1+59049.2875133695i</v>
      </c>
      <c r="Q469" s="67">
        <f t="shared" si="435"/>
        <v>59049.287521837003</v>
      </c>
      <c r="R469" s="67">
        <f t="shared" si="436"/>
        <v>1.5707793917895474</v>
      </c>
      <c r="S469" s="67" t="str">
        <f t="shared" si="425"/>
        <v>1+111.012660525135i</v>
      </c>
      <c r="T469" s="67">
        <f t="shared" si="437"/>
        <v>111.01716442455586</v>
      </c>
      <c r="U469" s="67">
        <f t="shared" si="438"/>
        <v>1.5617885888605398</v>
      </c>
      <c r="V469" t="str">
        <f t="shared" si="426"/>
        <v>1-11.4672418564425i</v>
      </c>
      <c r="W469" s="67">
        <f t="shared" si="439"/>
        <v>11.51076173822336</v>
      </c>
      <c r="X469" s="67">
        <f t="shared" si="440"/>
        <v>-1.4838114513994054</v>
      </c>
      <c r="Y469" t="str">
        <f t="shared" si="427"/>
        <v>-23.7841076461751+17.7253238370178i</v>
      </c>
      <c r="Z469" s="67">
        <f t="shared" si="441"/>
        <v>29.662617579235928</v>
      </c>
      <c r="AA469" s="67">
        <f t="shared" si="442"/>
        <v>2.5011325999861604</v>
      </c>
      <c r="AB469" s="92" t="str">
        <f t="shared" si="443"/>
        <v>-0.0478945029996218+0.0547781081551009i</v>
      </c>
      <c r="AC469" s="37">
        <f t="shared" si="444"/>
        <v>-22.761730335371496</v>
      </c>
      <c r="AD469" s="60">
        <f t="shared" si="445"/>
        <v>131.16438919757749</v>
      </c>
      <c r="AE469" t="str">
        <f t="shared" si="446"/>
        <v>118.329284003155</v>
      </c>
      <c r="AF469" t="str">
        <f t="shared" si="428"/>
        <v>1+47239.4300106956i</v>
      </c>
      <c r="AG469">
        <f t="shared" si="447"/>
        <v>47239.430021279979</v>
      </c>
      <c r="AH469">
        <f t="shared" si="448"/>
        <v>1.5707751580382112</v>
      </c>
      <c r="AI469" t="str">
        <f t="shared" si="429"/>
        <v>1+111.012660525135i</v>
      </c>
      <c r="AJ469">
        <f t="shared" si="449"/>
        <v>111.01716442455586</v>
      </c>
      <c r="AK469">
        <f t="shared" si="450"/>
        <v>1.5617885888605398</v>
      </c>
      <c r="AL469" t="str">
        <f t="shared" si="430"/>
        <v>1-7.73191581583701i</v>
      </c>
      <c r="AM469">
        <f t="shared" si="451"/>
        <v>7.796314653936852</v>
      </c>
      <c r="AN469">
        <f t="shared" si="452"/>
        <v>-1.4421762592079432</v>
      </c>
      <c r="AO469" s="58" t="str">
        <f t="shared" si="453"/>
        <v>0.258751833219612-2.15254275315016i</v>
      </c>
      <c r="AP469">
        <f t="shared" si="454"/>
        <v>6.7213415376618277</v>
      </c>
      <c r="AQ469" s="60">
        <f t="shared" si="455"/>
        <v>-83.145505452763118</v>
      </c>
      <c r="AR469" t="str">
        <f t="shared" si="431"/>
        <v>-1.94444444444444</v>
      </c>
      <c r="AS469" t="str">
        <f t="shared" si="432"/>
        <v>1+113.859139000138i</v>
      </c>
      <c r="AT469">
        <f t="shared" si="456"/>
        <v>113.86353030647146</v>
      </c>
      <c r="AU469">
        <f t="shared" si="457"/>
        <v>1.5620137705806898</v>
      </c>
      <c r="AV469" t="str">
        <f t="shared" si="433"/>
        <v>1+113.859139000138i</v>
      </c>
      <c r="AW469">
        <f t="shared" si="458"/>
        <v>113.86353030647146</v>
      </c>
      <c r="AX469">
        <f t="shared" si="459"/>
        <v>1.5620137705806898</v>
      </c>
      <c r="AY469" t="str">
        <f t="shared" si="434"/>
        <v>1-0.0000186867702773118i</v>
      </c>
      <c r="AZ469">
        <f t="shared" si="460"/>
        <v>1.0000000001745977</v>
      </c>
      <c r="BA469">
        <f t="shared" si="461"/>
        <v>-1.8686770275136688E-5</v>
      </c>
      <c r="BB469" s="58" t="str">
        <f t="shared" si="462"/>
        <v>-0.000149658447017276+0.0170763173081352i</v>
      </c>
      <c r="BC469">
        <f t="shared" si="463"/>
        <v>-35.351782110774941</v>
      </c>
      <c r="BD469" s="60">
        <f t="shared" si="464"/>
        <v>90.50213273134095</v>
      </c>
      <c r="BE469" s="58" t="str">
        <f t="shared" si="465"/>
        <v>-0.000928240539456264-0.000826059737134012i</v>
      </c>
      <c r="BF469" s="37">
        <f t="shared" si="466"/>
        <v>-58.11351244614643</v>
      </c>
      <c r="BG469" s="60">
        <f t="shared" si="467"/>
        <v>-138.33347807108154</v>
      </c>
      <c r="BH469" s="58" t="str">
        <f t="shared" si="468"/>
        <v>0.0367187786745966+0.00474067461369452i</v>
      </c>
      <c r="BI469" s="37">
        <f t="shared" si="469"/>
        <v>-28.630440573113098</v>
      </c>
      <c r="BJ469" s="60">
        <f t="shared" si="470"/>
        <v>7.3566272785778279</v>
      </c>
      <c r="BK469">
        <f t="shared" si="471"/>
        <v>-58.11351244614643</v>
      </c>
      <c r="BL469" s="60">
        <f t="shared" si="472"/>
        <v>-138.33347807108154</v>
      </c>
      <c r="BN469">
        <f t="shared" ref="BN469:BN532" si="473">SUM((BK470&lt;0)*(BK469&gt;0))*N469</f>
        <v>0</v>
      </c>
      <c r="BO469">
        <f t="shared" ref="BO469:BO532" si="474">IF(BN469&gt;0,BL469,0)</f>
        <v>0</v>
      </c>
    </row>
    <row r="470" spans="13:67" ht="14.25" x14ac:dyDescent="0.2">
      <c r="M470" s="66">
        <v>52</v>
      </c>
      <c r="N470" s="36">
        <f t="shared" si="422"/>
        <v>331131.12148259126</v>
      </c>
      <c r="O470" s="91" t="str">
        <f t="shared" si="423"/>
        <v>99.7340425531915</v>
      </c>
      <c r="P470" s="67" t="str">
        <f t="shared" si="424"/>
        <v>1+60424.7221116026i</v>
      </c>
      <c r="Q470" s="67">
        <f t="shared" si="435"/>
        <v>60424.722119877362</v>
      </c>
      <c r="R470" s="67">
        <f t="shared" si="436"/>
        <v>1.5707797772773322</v>
      </c>
      <c r="S470" s="67" t="str">
        <f t="shared" si="425"/>
        <v>1+113.598477569813i</v>
      </c>
      <c r="T470" s="67">
        <f t="shared" si="437"/>
        <v>113.60287895198478</v>
      </c>
      <c r="U470" s="67">
        <f t="shared" si="438"/>
        <v>1.5619936192935373</v>
      </c>
      <c r="V470" t="str">
        <f t="shared" si="426"/>
        <v>1-11.7343482324862i</v>
      </c>
      <c r="W470" s="67">
        <f t="shared" si="439"/>
        <v>11.77688109990298</v>
      </c>
      <c r="X470" s="67">
        <f t="shared" si="440"/>
        <v>-1.4857818322639471</v>
      </c>
      <c r="Y470" t="str">
        <f t="shared" si="427"/>
        <v>-24.9521466542767+18.1381996683274i</v>
      </c>
      <c r="Z470" s="67">
        <f t="shared" si="441"/>
        <v>30.848077895788649</v>
      </c>
      <c r="AA470" s="67">
        <f t="shared" si="442"/>
        <v>2.5130274960731436</v>
      </c>
      <c r="AB470" s="92" t="str">
        <f t="shared" si="443"/>
        <v>-0.0463780551942404+0.0545293218369616i</v>
      </c>
      <c r="AC470" s="37">
        <f t="shared" si="444"/>
        <v>-22.903594400266563</v>
      </c>
      <c r="AD470" s="60">
        <f t="shared" si="445"/>
        <v>130.38169263813458</v>
      </c>
      <c r="AE470" t="str">
        <f t="shared" si="446"/>
        <v>118.329284003155</v>
      </c>
      <c r="AF470" t="str">
        <f t="shared" si="428"/>
        <v>1+48339.7776892821i</v>
      </c>
      <c r="AG470">
        <f t="shared" si="447"/>
        <v>48339.777699625542</v>
      </c>
      <c r="AH470">
        <f t="shared" si="448"/>
        <v>1.5707756398979422</v>
      </c>
      <c r="AI470" t="str">
        <f t="shared" si="429"/>
        <v>1+113.598477569813i</v>
      </c>
      <c r="AJ470">
        <f t="shared" si="449"/>
        <v>113.60287895198478</v>
      </c>
      <c r="AK470">
        <f t="shared" si="450"/>
        <v>1.5619936192935373</v>
      </c>
      <c r="AL470" t="str">
        <f t="shared" si="430"/>
        <v>1-7.91201527125077i</v>
      </c>
      <c r="AM470">
        <f t="shared" si="451"/>
        <v>7.9749599154168411</v>
      </c>
      <c r="AN470">
        <f t="shared" si="452"/>
        <v>-1.4450729033155694</v>
      </c>
      <c r="AO470" s="58" t="str">
        <f t="shared" si="453"/>
        <v>0.258751830838299-2.20256680279521i</v>
      </c>
      <c r="AP470">
        <f t="shared" si="454"/>
        <v>6.9181086824700779</v>
      </c>
      <c r="AQ470" s="60">
        <f t="shared" si="455"/>
        <v>-83.299751164927912</v>
      </c>
      <c r="AR470" t="str">
        <f t="shared" si="431"/>
        <v>-1.94444444444444</v>
      </c>
      <c r="AS470" t="str">
        <f t="shared" si="432"/>
        <v>1+116.511259045962i</v>
      </c>
      <c r="AT470">
        <f t="shared" si="456"/>
        <v>116.51555039768411</v>
      </c>
      <c r="AU470">
        <f t="shared" si="457"/>
        <v>1.5622136760356231</v>
      </c>
      <c r="AV470" t="str">
        <f t="shared" si="433"/>
        <v>1+116.511259045962i</v>
      </c>
      <c r="AW470">
        <f t="shared" si="458"/>
        <v>116.51555039768411</v>
      </c>
      <c r="AX470">
        <f t="shared" si="459"/>
        <v>1.5622136760356231</v>
      </c>
      <c r="AY470" t="str">
        <f t="shared" si="434"/>
        <v>1-0.0000182614074544397i</v>
      </c>
      <c r="AZ470">
        <f t="shared" si="460"/>
        <v>1.0000000001667395</v>
      </c>
      <c r="BA470">
        <f t="shared" si="461"/>
        <v>-1.8261407452409767E-5</v>
      </c>
      <c r="BB470" s="58" t="str">
        <f t="shared" si="462"/>
        <v>-0.000142923203492139+0.0166876706780239i</v>
      </c>
      <c r="BC470">
        <f t="shared" si="463"/>
        <v>-35.551767034367437</v>
      </c>
      <c r="BD470" s="60">
        <f t="shared" si="464"/>
        <v>90.490703363966134</v>
      </c>
      <c r="BE470" s="58" t="str">
        <f t="shared" si="465"/>
        <v>-0.000903338864891096-0.000781735217129892i</v>
      </c>
      <c r="BF470" s="37">
        <f t="shared" si="466"/>
        <v>-58.455361434634</v>
      </c>
      <c r="BG470" s="60">
        <f t="shared" si="467"/>
        <v>-139.12760399789926</v>
      </c>
      <c r="BH470" s="58" t="str">
        <f t="shared" si="468"/>
        <v>0.0367187278108216+0.00463276324372621i</v>
      </c>
      <c r="BI470" s="37">
        <f t="shared" si="469"/>
        <v>-28.633658351897363</v>
      </c>
      <c r="BJ470" s="60">
        <f t="shared" si="470"/>
        <v>7.1909521990382164</v>
      </c>
      <c r="BK470">
        <f t="shared" si="471"/>
        <v>-58.455361434634</v>
      </c>
      <c r="BL470" s="60">
        <f t="shared" si="472"/>
        <v>-139.12760399789926</v>
      </c>
      <c r="BN470">
        <f t="shared" si="473"/>
        <v>0</v>
      </c>
      <c r="BO470">
        <f t="shared" si="474"/>
        <v>0</v>
      </c>
    </row>
    <row r="471" spans="13:67" ht="14.25" x14ac:dyDescent="0.2">
      <c r="M471" s="66">
        <v>53</v>
      </c>
      <c r="N471" s="36">
        <f t="shared" si="422"/>
        <v>338844.15613920329</v>
      </c>
      <c r="O471" s="91" t="str">
        <f t="shared" si="423"/>
        <v>99.7340425531915</v>
      </c>
      <c r="P471" s="67" t="str">
        <f t="shared" si="424"/>
        <v>1+61832.194697315i</v>
      </c>
      <c r="Q471" s="67">
        <f t="shared" si="435"/>
        <v>61832.194705401402</v>
      </c>
      <c r="R471" s="67">
        <f t="shared" si="436"/>
        <v>1.5707801539903439</v>
      </c>
      <c r="S471" s="67" t="str">
        <f t="shared" si="425"/>
        <v>1+116.244526030952i</v>
      </c>
      <c r="T471" s="67">
        <f t="shared" si="437"/>
        <v>116.24882722918403</v>
      </c>
      <c r="U471" s="67">
        <f t="shared" si="438"/>
        <v>1.562193983379248</v>
      </c>
      <c r="V471" t="str">
        <f t="shared" si="426"/>
        <v>1-12.0076763152852i</v>
      </c>
      <c r="W471" s="67">
        <f t="shared" si="439"/>
        <v>12.049244395092217</v>
      </c>
      <c r="X471" s="67">
        <f t="shared" si="440"/>
        <v>-1.4877080014013162</v>
      </c>
      <c r="Y471" t="str">
        <f t="shared" si="427"/>
        <v>-26.1752336448969+18.5606926131886i</v>
      </c>
      <c r="Z471" s="67">
        <f t="shared" si="441"/>
        <v>32.088037750012326</v>
      </c>
      <c r="AA471" s="67">
        <f t="shared" si="442"/>
        <v>2.5247895894664634</v>
      </c>
      <c r="AB471" s="92" t="str">
        <f t="shared" si="443"/>
        <v>-0.0448893865162739+0.0542448439268881i</v>
      </c>
      <c r="AC471" s="37">
        <f t="shared" si="444"/>
        <v>-23.04732010915918</v>
      </c>
      <c r="AD471" s="60">
        <f t="shared" si="445"/>
        <v>129.60887139867071</v>
      </c>
      <c r="AE471" t="str">
        <f t="shared" si="446"/>
        <v>118.329284003155</v>
      </c>
      <c r="AF471" t="str">
        <f t="shared" si="428"/>
        <v>1+49465.755757852i</v>
      </c>
      <c r="AG471">
        <f t="shared" si="447"/>
        <v>49465.75576796</v>
      </c>
      <c r="AH471">
        <f t="shared" si="448"/>
        <v>1.5707761107892066</v>
      </c>
      <c r="AI471" t="str">
        <f t="shared" si="429"/>
        <v>1+116.244526030952i</v>
      </c>
      <c r="AJ471">
        <f t="shared" si="449"/>
        <v>116.24882722918403</v>
      </c>
      <c r="AK471">
        <f t="shared" si="450"/>
        <v>1.562193983379248</v>
      </c>
      <c r="AL471" t="str">
        <f t="shared" si="430"/>
        <v>1-8.09630978188923i</v>
      </c>
      <c r="AM471">
        <f t="shared" si="451"/>
        <v>8.1578325604485933</v>
      </c>
      <c r="AN471">
        <f t="shared" si="452"/>
        <v>-1.4479056626834073</v>
      </c>
      <c r="AO471" s="58" t="str">
        <f t="shared" si="453"/>
        <v>0.258751828564164-2.25375868251353i</v>
      </c>
      <c r="AP471">
        <f t="shared" si="454"/>
        <v>7.1150191035798329</v>
      </c>
      <c r="AQ471" s="60">
        <f t="shared" si="455"/>
        <v>-83.450603284686039</v>
      </c>
      <c r="AR471" t="str">
        <f t="shared" si="431"/>
        <v>-1.94444444444444</v>
      </c>
      <c r="AS471" t="str">
        <f t="shared" si="432"/>
        <v>1+119.22515490354i</v>
      </c>
      <c r="AT471">
        <f t="shared" si="456"/>
        <v>119.22934857564687</v>
      </c>
      <c r="AU471">
        <f t="shared" si="457"/>
        <v>1.5624090317497108</v>
      </c>
      <c r="AV471" t="str">
        <f t="shared" si="433"/>
        <v>1+119.22515490354i</v>
      </c>
      <c r="AW471">
        <f t="shared" si="458"/>
        <v>119.22934857564687</v>
      </c>
      <c r="AX471">
        <f t="shared" si="459"/>
        <v>1.5624090317497108</v>
      </c>
      <c r="AY471" t="str">
        <f t="shared" si="434"/>
        <v>1-0.0000178457270715184i</v>
      </c>
      <c r="AZ471">
        <f t="shared" si="460"/>
        <v>1.0000000001592348</v>
      </c>
      <c r="BA471">
        <f t="shared" si="461"/>
        <v>-1.7845727069623958E-5</v>
      </c>
      <c r="BB471" s="58" t="str">
        <f t="shared" si="462"/>
        <v>-0.000136491052207382+0.0163078668672336i</v>
      </c>
      <c r="BC471">
        <f t="shared" si="463"/>
        <v>-35.751752636461084</v>
      </c>
      <c r="BD471" s="60">
        <f t="shared" si="464"/>
        <v>90.479534122776698</v>
      </c>
      <c r="BE471" s="58" t="str">
        <f t="shared" si="465"/>
        <v>-0.000878490693395006-0.000739454074883592i</v>
      </c>
      <c r="BF471" s="37">
        <f t="shared" si="466"/>
        <v>-58.799072745620265</v>
      </c>
      <c r="BG471" s="60">
        <f t="shared" si="467"/>
        <v>-139.91159447855256</v>
      </c>
      <c r="BH471" s="58" t="str">
        <f t="shared" si="468"/>
        <v>0.0367186792359611+0.00452730826587543i</v>
      </c>
      <c r="BI471" s="37">
        <f t="shared" si="469"/>
        <v>-28.636733532881262</v>
      </c>
      <c r="BJ471" s="60">
        <f t="shared" si="470"/>
        <v>7.0289308380906741</v>
      </c>
      <c r="BK471">
        <f t="shared" si="471"/>
        <v>-58.799072745620265</v>
      </c>
      <c r="BL471" s="60">
        <f t="shared" si="472"/>
        <v>-139.91159447855256</v>
      </c>
      <c r="BN471">
        <f t="shared" si="473"/>
        <v>0</v>
      </c>
      <c r="BO471">
        <f t="shared" si="474"/>
        <v>0</v>
      </c>
    </row>
    <row r="472" spans="13:67" ht="14.25" x14ac:dyDescent="0.2">
      <c r="M472" s="66">
        <v>54</v>
      </c>
      <c r="N472" s="36">
        <f t="shared" si="422"/>
        <v>346736.85045253241</v>
      </c>
      <c r="O472" s="91" t="str">
        <f t="shared" si="423"/>
        <v>99.7340425531915</v>
      </c>
      <c r="P472" s="67" t="str">
        <f t="shared" si="424"/>
        <v>1+63272.4515311016i</v>
      </c>
      <c r="Q472" s="67">
        <f t="shared" si="435"/>
        <v>63272.451539003945</v>
      </c>
      <c r="R472" s="67">
        <f t="shared" si="436"/>
        <v>1.5707805221283202</v>
      </c>
      <c r="S472" s="67" t="str">
        <f t="shared" si="425"/>
        <v>1+118.952208878471i</v>
      </c>
      <c r="T472" s="67">
        <f t="shared" si="437"/>
        <v>118.95641217297785</v>
      </c>
      <c r="U472" s="67">
        <f t="shared" si="438"/>
        <v>1.5623897872889749</v>
      </c>
      <c r="V472" t="str">
        <f t="shared" si="426"/>
        <v>1-12.2873710270069i</v>
      </c>
      <c r="W472" s="67">
        <f t="shared" si="439"/>
        <v>12.327996055942288</v>
      </c>
      <c r="X472" s="67">
        <f t="shared" si="440"/>
        <v>-1.4895909228894366</v>
      </c>
      <c r="Y472" t="str">
        <f t="shared" si="427"/>
        <v>-27.4559629495248+18.993026682953i</v>
      </c>
      <c r="Z472" s="67">
        <f t="shared" si="441"/>
        <v>33.385100929382304</v>
      </c>
      <c r="AA472" s="67">
        <f t="shared" si="442"/>
        <v>2.5364161139321615</v>
      </c>
      <c r="AB472" s="92" t="str">
        <f t="shared" si="443"/>
        <v>-0.0434293248292293+0.0539264039081984i</v>
      </c>
      <c r="AC472" s="37">
        <f t="shared" si="444"/>
        <v>-23.192871775826024</v>
      </c>
      <c r="AD472" s="60">
        <f t="shared" si="445"/>
        <v>128.84603480684379</v>
      </c>
      <c r="AE472" t="str">
        <f t="shared" si="446"/>
        <v>118.329284003155</v>
      </c>
      <c r="AF472" t="str">
        <f t="shared" si="428"/>
        <v>1+50617.9612248813i</v>
      </c>
      <c r="AG472">
        <f t="shared" si="447"/>
        <v>50617.961234759219</v>
      </c>
      <c r="AH472">
        <f t="shared" si="448"/>
        <v>1.5707765709616772</v>
      </c>
      <c r="AI472" t="str">
        <f t="shared" si="429"/>
        <v>1+118.952208878471i</v>
      </c>
      <c r="AJ472">
        <f t="shared" si="449"/>
        <v>118.95641217297785</v>
      </c>
      <c r="AK472">
        <f t="shared" si="450"/>
        <v>1.5623897872889749</v>
      </c>
      <c r="AL472" t="str">
        <f t="shared" si="430"/>
        <v>1-8.28489706314138i</v>
      </c>
      <c r="AM472">
        <f t="shared" si="451"/>
        <v>8.3450296192912727</v>
      </c>
      <c r="AN472">
        <f t="shared" si="452"/>
        <v>-1.4506758573283971</v>
      </c>
      <c r="AO472" s="58" t="str">
        <f t="shared" si="453"/>
        <v>0.25875182639238-2.30614553491733i</v>
      </c>
      <c r="AP472">
        <f t="shared" si="454"/>
        <v>7.3120665454938667</v>
      </c>
      <c r="AQ472" s="60">
        <f t="shared" si="455"/>
        <v>-83.598131374574635</v>
      </c>
      <c r="AR472" t="str">
        <f t="shared" si="431"/>
        <v>-1.94444444444444</v>
      </c>
      <c r="AS472" t="str">
        <f t="shared" si="432"/>
        <v>1+122.00226551638i</v>
      </c>
      <c r="AT472">
        <f t="shared" si="456"/>
        <v>122.00636373209917</v>
      </c>
      <c r="AU472">
        <f t="shared" si="457"/>
        <v>1.5625999412434599</v>
      </c>
      <c r="AV472" t="str">
        <f t="shared" si="433"/>
        <v>1+122.00226551638i</v>
      </c>
      <c r="AW472">
        <f t="shared" si="458"/>
        <v>122.00636373209917</v>
      </c>
      <c r="AX472">
        <f t="shared" si="459"/>
        <v>1.5625999412434599</v>
      </c>
      <c r="AY472" t="str">
        <f t="shared" si="434"/>
        <v>1-0.0000174395087293065i</v>
      </c>
      <c r="AZ472">
        <f t="shared" si="460"/>
        <v>1.0000000001520681</v>
      </c>
      <c r="BA472">
        <f t="shared" si="461"/>
        <v>-1.7439508727538503E-5</v>
      </c>
      <c r="BB472" s="58" t="str">
        <f t="shared" si="462"/>
        <v>-0.000130348355605677+0.0159367048460899i</v>
      </c>
      <c r="BC472">
        <f t="shared" si="463"/>
        <v>-35.95173888652274</v>
      </c>
      <c r="BD472" s="60">
        <f t="shared" si="464"/>
        <v>90.468619089112451</v>
      </c>
      <c r="BE472" s="58" t="str">
        <f t="shared" si="465"/>
        <v>-0.000853748241419432-0.000699149549541552i</v>
      </c>
      <c r="BF472" s="37">
        <f t="shared" si="466"/>
        <v>-59.144610662348768</v>
      </c>
      <c r="BG472" s="60">
        <f t="shared" si="467"/>
        <v>-140.68534610404376</v>
      </c>
      <c r="BH472" s="58" t="str">
        <f t="shared" si="468"/>
        <v>0.0367186328470254+0.0044242537638659i</v>
      </c>
      <c r="BI472" s="37">
        <f t="shared" si="469"/>
        <v>-28.639672341028866</v>
      </c>
      <c r="BJ472" s="60">
        <f t="shared" si="470"/>
        <v>6.8704877145378234</v>
      </c>
      <c r="BK472">
        <f t="shared" si="471"/>
        <v>-59.144610662348768</v>
      </c>
      <c r="BL472" s="60">
        <f t="shared" si="472"/>
        <v>-140.68534610404376</v>
      </c>
      <c r="BN472">
        <f t="shared" si="473"/>
        <v>0</v>
      </c>
      <c r="BO472">
        <f t="shared" si="474"/>
        <v>0</v>
      </c>
    </row>
    <row r="473" spans="13:67" ht="14.25" x14ac:dyDescent="0.2">
      <c r="M473" s="66">
        <v>55</v>
      </c>
      <c r="N473" s="36">
        <f t="shared" si="422"/>
        <v>354813.38923357555</v>
      </c>
      <c r="O473" s="91" t="str">
        <f t="shared" si="423"/>
        <v>99.7340425531915</v>
      </c>
      <c r="P473" s="67" t="str">
        <f t="shared" si="424"/>
        <v>1+64746.2562561997i</v>
      </c>
      <c r="Q473" s="67">
        <f t="shared" si="435"/>
        <v>64746.256263922151</v>
      </c>
      <c r="R473" s="67">
        <f t="shared" si="436"/>
        <v>1.5707808818864533</v>
      </c>
      <c r="S473" s="67" t="str">
        <f t="shared" si="425"/>
        <v>1+121.722961761655i</v>
      </c>
      <c r="T473" s="67">
        <f t="shared" si="437"/>
        <v>121.72706938076398</v>
      </c>
      <c r="U473" s="67">
        <f t="shared" si="438"/>
        <v>1.5625811347804526</v>
      </c>
      <c r="V473" t="str">
        <f t="shared" si="426"/>
        <v>1-12.5735806654897i</v>
      </c>
      <c r="W473" s="67">
        <f t="shared" si="439"/>
        <v>12.613283900379649</v>
      </c>
      <c r="X473" s="67">
        <f t="shared" si="440"/>
        <v>-1.4914315416428927</v>
      </c>
      <c r="Y473" t="str">
        <f t="shared" si="427"/>
        <v>-28.7970511667258+19.4354311068671i</v>
      </c>
      <c r="Z473" s="67">
        <f t="shared" si="441"/>
        <v>34.741993872096643</v>
      </c>
      <c r="AA473" s="67">
        <f t="shared" si="442"/>
        <v>2.5479045011620989</v>
      </c>
      <c r="AB473" s="92" t="str">
        <f t="shared" si="443"/>
        <v>-0.041998600775774+0.0535757373106174i</v>
      </c>
      <c r="AC473" s="37">
        <f t="shared" si="444"/>
        <v>-23.340212821573921</v>
      </c>
      <c r="AD473" s="60">
        <f t="shared" si="445"/>
        <v>128.09328180995027</v>
      </c>
      <c r="AE473" t="str">
        <f t="shared" si="446"/>
        <v>118.329284003155</v>
      </c>
      <c r="AF473" t="str">
        <f t="shared" si="428"/>
        <v>1+51797.0050049597i</v>
      </c>
      <c r="AG473">
        <f t="shared" si="447"/>
        <v>51797.005014612761</v>
      </c>
      <c r="AH473">
        <f t="shared" si="448"/>
        <v>1.5707770206593434</v>
      </c>
      <c r="AI473" t="str">
        <f t="shared" si="429"/>
        <v>1+121.722961761655i</v>
      </c>
      <c r="AJ473">
        <f t="shared" si="449"/>
        <v>121.72706938076398</v>
      </c>
      <c r="AK473">
        <f t="shared" si="450"/>
        <v>1.5625811347804526</v>
      </c>
      <c r="AL473" t="str">
        <f t="shared" si="430"/>
        <v>1-8.47787710647993i</v>
      </c>
      <c r="AM473">
        <f t="shared" si="451"/>
        <v>8.5366504105870771</v>
      </c>
      <c r="AN473">
        <f t="shared" si="452"/>
        <v>-1.4533847858859239</v>
      </c>
      <c r="AO473" s="58" t="str">
        <f t="shared" si="453"/>
        <v>0.258751824318344-2.35975513620915i</v>
      </c>
      <c r="AP473">
        <f t="shared" si="454"/>
        <v>7.5092450176431127</v>
      </c>
      <c r="AQ473" s="60">
        <f t="shared" si="455"/>
        <v>-83.742403910019561</v>
      </c>
      <c r="AR473" t="str">
        <f t="shared" si="431"/>
        <v>-1.94444444444444</v>
      </c>
      <c r="AS473" t="str">
        <f t="shared" si="432"/>
        <v>1+124.844063345287i</v>
      </c>
      <c r="AT473">
        <f t="shared" si="456"/>
        <v>124.84806827725461</v>
      </c>
      <c r="AU473">
        <f t="shared" si="457"/>
        <v>1.5627865056839152</v>
      </c>
      <c r="AV473" t="str">
        <f t="shared" si="433"/>
        <v>1+124.844063345287i</v>
      </c>
      <c r="AW473">
        <f t="shared" si="458"/>
        <v>124.84806827725461</v>
      </c>
      <c r="AX473">
        <f t="shared" si="459"/>
        <v>1.5627865056839152</v>
      </c>
      <c r="AY473" t="str">
        <f t="shared" si="434"/>
        <v>1-0.0000170425370454622i</v>
      </c>
      <c r="AZ473">
        <f t="shared" si="460"/>
        <v>1.0000000001452241</v>
      </c>
      <c r="BA473">
        <f t="shared" si="461"/>
        <v>-1.7042537043812209E-5</v>
      </c>
      <c r="BB473" s="58" t="str">
        <f t="shared" si="462"/>
        <v>-0.00012448208958301+0.0155739881437322i</v>
      </c>
      <c r="BC473">
        <f t="shared" si="463"/>
        <v>-36.151725755392945</v>
      </c>
      <c r="BD473" s="60">
        <f t="shared" si="464"/>
        <v>90.457952478869217</v>
      </c>
      <c r="BE473" s="58" t="str">
        <f t="shared" si="465"/>
        <v>-0.000829159824083135-0.000660754930266622i</v>
      </c>
      <c r="BF473" s="37">
        <f t="shared" si="466"/>
        <v>-59.491938576966859</v>
      </c>
      <c r="BG473" s="60">
        <f t="shared" si="467"/>
        <v>-141.4487657111805</v>
      </c>
      <c r="BH473" s="58" t="str">
        <f t="shared" si="468"/>
        <v>0.0367185885456579+0.00432354509436252i</v>
      </c>
      <c r="BI473" s="37">
        <f t="shared" si="469"/>
        <v>-28.642480737749828</v>
      </c>
      <c r="BJ473" s="60">
        <f t="shared" si="470"/>
        <v>6.7155485688496581</v>
      </c>
      <c r="BK473">
        <f t="shared" si="471"/>
        <v>-59.491938576966859</v>
      </c>
      <c r="BL473" s="60">
        <f t="shared" si="472"/>
        <v>-141.4487657111805</v>
      </c>
      <c r="BN473">
        <f t="shared" si="473"/>
        <v>0</v>
      </c>
      <c r="BO473">
        <f t="shared" si="474"/>
        <v>0</v>
      </c>
    </row>
    <row r="474" spans="13:67" ht="14.25" x14ac:dyDescent="0.2">
      <c r="M474" s="66">
        <v>56</v>
      </c>
      <c r="N474" s="36">
        <f t="shared" si="422"/>
        <v>363078.05477010203</v>
      </c>
      <c r="O474" s="91" t="str">
        <f t="shared" si="423"/>
        <v>99.7340425531915</v>
      </c>
      <c r="P474" s="67" t="str">
        <f t="shared" si="424"/>
        <v>1+66254.3903033833i</v>
      </c>
      <c r="Q474" s="67">
        <f t="shared" si="435"/>
        <v>66254.390310929972</v>
      </c>
      <c r="R474" s="67">
        <f t="shared" si="436"/>
        <v>1.5707812334554916</v>
      </c>
      <c r="S474" s="67" t="str">
        <f t="shared" si="425"/>
        <v>1+124.558253770361i</v>
      </c>
      <c r="T474" s="67">
        <f t="shared" si="437"/>
        <v>124.56226789169203</v>
      </c>
      <c r="U474" s="67">
        <f t="shared" si="438"/>
        <v>1.562768127252574</v>
      </c>
      <c r="V474" t="str">
        <f t="shared" si="426"/>
        <v>1-12.8664569828724i</v>
      </c>
      <c r="W474" s="67">
        <f t="shared" si="439"/>
        <v>12.905259210574034</v>
      </c>
      <c r="X474" s="67">
        <f t="shared" si="440"/>
        <v>-1.4932307836679719</v>
      </c>
      <c r="Y474" t="str">
        <f t="shared" si="427"/>
        <v>-30.2013429244122+19.8881404536126i</v>
      </c>
      <c r="Z474" s="67">
        <f t="shared" si="441"/>
        <v>36.161571386494877</v>
      </c>
      <c r="AA474" s="67">
        <f t="shared" si="442"/>
        <v>2.5592523820285473</v>
      </c>
      <c r="AB474" s="92" t="str">
        <f t="shared" si="443"/>
        <v>-0.040597849355932+0.0531945794509003i</v>
      </c>
      <c r="AC474" s="37">
        <f t="shared" si="444"/>
        <v>-23.489305890252545</v>
      </c>
      <c r="AD474" s="60">
        <f t="shared" si="445"/>
        <v>127.35070089155704</v>
      </c>
      <c r="AE474" t="str">
        <f t="shared" si="446"/>
        <v>118.329284003155</v>
      </c>
      <c r="AF474" t="str">
        <f t="shared" si="428"/>
        <v>1+53003.5122427066i</v>
      </c>
      <c r="AG474">
        <f t="shared" si="447"/>
        <v>53003.512252139946</v>
      </c>
      <c r="AH474">
        <f t="shared" si="448"/>
        <v>1.570777460120641</v>
      </c>
      <c r="AI474" t="str">
        <f t="shared" si="429"/>
        <v>1+124.558253770361i</v>
      </c>
      <c r="AJ474">
        <f t="shared" si="449"/>
        <v>124.56226789169203</v>
      </c>
      <c r="AK474">
        <f t="shared" si="450"/>
        <v>1.562768127252574</v>
      </c>
      <c r="AL474" t="str">
        <f t="shared" si="430"/>
        <v>1-8.67535223247838i</v>
      </c>
      <c r="AM474">
        <f t="shared" si="451"/>
        <v>8.7327965943085832</v>
      </c>
      <c r="AN474">
        <f t="shared" si="452"/>
        <v>-1.4560337255489315</v>
      </c>
      <c r="AO474" s="58" t="str">
        <f t="shared" si="453"/>
        <v>0.258751822337658-2.41461591090931i</v>
      </c>
      <c r="AP474">
        <f t="shared" si="454"/>
        <v>7.7065487838790201</v>
      </c>
      <c r="AQ474" s="60">
        <f t="shared" si="455"/>
        <v>-83.883488272719077</v>
      </c>
      <c r="AR474" t="str">
        <f t="shared" si="431"/>
        <v>-1.94444444444444</v>
      </c>
      <c r="AS474" t="str">
        <f t="shared" si="432"/>
        <v>1+127.752055149087i</v>
      </c>
      <c r="AT474">
        <f t="shared" si="456"/>
        <v>127.75596892049843</v>
      </c>
      <c r="AU474">
        <f t="shared" si="457"/>
        <v>1.5629688239380337</v>
      </c>
      <c r="AV474" t="str">
        <f t="shared" si="433"/>
        <v>1+127.752055149087i</v>
      </c>
      <c r="AW474">
        <f t="shared" si="458"/>
        <v>127.75596892049843</v>
      </c>
      <c r="AX474">
        <f t="shared" si="459"/>
        <v>1.5629688239380337</v>
      </c>
      <c r="AY474" t="str">
        <f t="shared" si="434"/>
        <v>1-0.0000166546015403438i</v>
      </c>
      <c r="AZ474">
        <f t="shared" si="460"/>
        <v>1.0000000001386877</v>
      </c>
      <c r="BA474">
        <f t="shared" si="461"/>
        <v>-1.6654601538803937E-5</v>
      </c>
      <c r="BB474" s="58" t="str">
        <f t="shared" si="462"/>
        <v>-0.000118879815908444+0.0152195247454884i</v>
      </c>
      <c r="BC474">
        <f t="shared" si="463"/>
        <v>-36.351713215224272</v>
      </c>
      <c r="BD474" s="60">
        <f t="shared" si="464"/>
        <v>90.447528639447185</v>
      </c>
      <c r="BE474" s="58" t="str">
        <f t="shared" si="465"/>
        <v>-0.000804769953421114-0.000624203734698668i</v>
      </c>
      <c r="BF474" s="37">
        <f t="shared" si="466"/>
        <v>-59.841019105476818</v>
      </c>
      <c r="BG474" s="60">
        <f t="shared" si="467"/>
        <v>-142.20177046899573</v>
      </c>
      <c r="BH474" s="58" t="str">
        <f t="shared" si="468"/>
        <v>0.0367185462379288+0.0042251288579867i</v>
      </c>
      <c r="BI474" s="37">
        <f t="shared" si="469"/>
        <v>-28.64516443134525</v>
      </c>
      <c r="BJ474" s="60">
        <f t="shared" si="470"/>
        <v>6.5640403667281175</v>
      </c>
      <c r="BK474">
        <f t="shared" si="471"/>
        <v>-59.841019105476818</v>
      </c>
      <c r="BL474" s="60">
        <f t="shared" si="472"/>
        <v>-142.20177046899573</v>
      </c>
      <c r="BN474">
        <f t="shared" si="473"/>
        <v>0</v>
      </c>
      <c r="BO474">
        <f t="shared" si="474"/>
        <v>0</v>
      </c>
    </row>
    <row r="475" spans="13:67" ht="14.25" x14ac:dyDescent="0.2">
      <c r="M475" s="66">
        <v>57</v>
      </c>
      <c r="N475" s="36">
        <f t="shared" si="422"/>
        <v>371535.2290971732</v>
      </c>
      <c r="O475" s="91" t="str">
        <f t="shared" si="423"/>
        <v>99.7340425531915</v>
      </c>
      <c r="P475" s="67" t="str">
        <f t="shared" si="424"/>
        <v>1+67797.653305286i</v>
      </c>
      <c r="Q475" s="67">
        <f t="shared" si="435"/>
        <v>67797.653312660885</v>
      </c>
      <c r="R475" s="67">
        <f t="shared" si="436"/>
        <v>1.5707815770218414</v>
      </c>
      <c r="S475" s="67" t="str">
        <f t="shared" si="425"/>
        <v>1+127.459588213938i</v>
      </c>
      <c r="T475" s="67">
        <f t="shared" si="437"/>
        <v>127.46351096555691</v>
      </c>
      <c r="U475" s="67">
        <f t="shared" si="438"/>
        <v>1.5629508637988854</v>
      </c>
      <c r="V475" t="str">
        <f t="shared" si="426"/>
        <v>1-13.1661552660551i</v>
      </c>
      <c r="W475" s="67">
        <f t="shared" si="439"/>
        <v>13.204076813237284</v>
      </c>
      <c r="X475" s="67">
        <f t="shared" si="440"/>
        <v>-1.4949895563235114</v>
      </c>
      <c r="Y475" t="str">
        <f t="shared" si="427"/>
        <v>-31.6718169136779+20.3513947556771i</v>
      </c>
      <c r="Z475" s="67">
        <f t="shared" si="441"/>
        <v>37.646822643019085</v>
      </c>
      <c r="AA475" s="67">
        <f t="shared" si="442"/>
        <v>2.5704575869722839</v>
      </c>
      <c r="AB475" s="92" t="str">
        <f t="shared" si="443"/>
        <v>-0.0392276119496903+0.0527846594617704i</v>
      </c>
      <c r="AC475" s="37">
        <f t="shared" si="444"/>
        <v>-23.640112961194788</v>
      </c>
      <c r="AD475" s="60">
        <f t="shared" si="445"/>
        <v>126.61837003738117</v>
      </c>
      <c r="AE475" t="str">
        <f t="shared" si="446"/>
        <v>118.329284003155</v>
      </c>
      <c r="AF475" t="str">
        <f t="shared" si="428"/>
        <v>1+54238.1226442288i</v>
      </c>
      <c r="AG475">
        <f t="shared" si="447"/>
        <v>54238.122653447404</v>
      </c>
      <c r="AH475">
        <f t="shared" si="448"/>
        <v>1.5707778895785784</v>
      </c>
      <c r="AI475" t="str">
        <f t="shared" si="429"/>
        <v>1+127.459588213938i</v>
      </c>
      <c r="AJ475">
        <f t="shared" si="449"/>
        <v>127.46351096555691</v>
      </c>
      <c r="AK475">
        <f t="shared" si="450"/>
        <v>1.5629508637988854</v>
      </c>
      <c r="AL475" t="str">
        <f t="shared" si="430"/>
        <v>1-8.87742714506232i</v>
      </c>
      <c r="AM475">
        <f t="shared" si="451"/>
        <v>8.9335722259289607</v>
      </c>
      <c r="AN475">
        <f t="shared" si="452"/>
        <v>-1.4586239320417229</v>
      </c>
      <c r="AO475" s="58" t="str">
        <f t="shared" si="453"/>
        <v>0.258751820446114-2.47075694692661i</v>
      </c>
      <c r="AP475">
        <f t="shared" si="454"/>
        <v>7.903972352318366</v>
      </c>
      <c r="AQ475" s="60">
        <f t="shared" si="455"/>
        <v>-84.021450746084255</v>
      </c>
      <c r="AR475" t="str">
        <f t="shared" si="431"/>
        <v>-1.94444444444444</v>
      </c>
      <c r="AS475" t="str">
        <f t="shared" si="432"/>
        <v>1+130.727782783525i</v>
      </c>
      <c r="AT475">
        <f t="shared" si="456"/>
        <v>130.73160746925927</v>
      </c>
      <c r="AU475">
        <f t="shared" si="457"/>
        <v>1.5631469926248573</v>
      </c>
      <c r="AV475" t="str">
        <f t="shared" si="433"/>
        <v>1+130.727782783525i</v>
      </c>
      <c r="AW475">
        <f t="shared" si="458"/>
        <v>130.73160746925927</v>
      </c>
      <c r="AX475">
        <f t="shared" si="459"/>
        <v>1.5631469926248573</v>
      </c>
      <c r="AY475" t="str">
        <f t="shared" si="434"/>
        <v>1-0.000016275496525412i</v>
      </c>
      <c r="AZ475">
        <f t="shared" si="460"/>
        <v>1.0000000001324461</v>
      </c>
      <c r="BA475">
        <f t="shared" si="461"/>
        <v>-1.6275496523974916E-5</v>
      </c>
      <c r="BB475" s="58" t="str">
        <f t="shared" si="462"/>
        <v>-0.000113529655882609+0.0148731269925094i</v>
      </c>
      <c r="BC475">
        <f t="shared" si="463"/>
        <v>-36.551701239422364</v>
      </c>
      <c r="BD475" s="60">
        <f t="shared" si="464"/>
        <v>90.437342046768151</v>
      </c>
      <c r="BE475" s="58" t="str">
        <f t="shared" si="465"/>
        <v>-0.000780619446145529-0.000589429878365199i</v>
      </c>
      <c r="BF475" s="37">
        <f t="shared" si="466"/>
        <v>-60.191814200617145</v>
      </c>
      <c r="BG475" s="60">
        <f t="shared" si="467"/>
        <v>-142.94428791585065</v>
      </c>
      <c r="BH475" s="58" t="str">
        <f t="shared" si="468"/>
        <v>0.03671850583413+0.00412895287099219i</v>
      </c>
      <c r="BI475" s="37">
        <f t="shared" si="469"/>
        <v>-28.647728887104009</v>
      </c>
      <c r="BJ475" s="60">
        <f t="shared" si="470"/>
        <v>6.4158913006839162</v>
      </c>
      <c r="BK475">
        <f t="shared" si="471"/>
        <v>-60.191814200617145</v>
      </c>
      <c r="BL475" s="60">
        <f t="shared" si="472"/>
        <v>-142.94428791585065</v>
      </c>
      <c r="BN475">
        <f t="shared" si="473"/>
        <v>0</v>
      </c>
      <c r="BO475">
        <f t="shared" si="474"/>
        <v>0</v>
      </c>
    </row>
    <row r="476" spans="13:67" ht="14.25" x14ac:dyDescent="0.2">
      <c r="M476" s="66">
        <v>58</v>
      </c>
      <c r="N476" s="36">
        <f t="shared" si="422"/>
        <v>380189.39632056188</v>
      </c>
      <c r="O476" s="91" t="str">
        <f t="shared" si="423"/>
        <v>99.7340425531915</v>
      </c>
      <c r="P476" s="67" t="str">
        <f t="shared" si="424"/>
        <v>1+69376.8635203793i</v>
      </c>
      <c r="Q476" s="67">
        <f t="shared" si="435"/>
        <v>69376.86352758632</v>
      </c>
      <c r="R476" s="67">
        <f t="shared" si="436"/>
        <v>1.5707819127676663</v>
      </c>
      <c r="S476" s="67" t="str">
        <f t="shared" si="425"/>
        <v>1+130.428503418313i</v>
      </c>
      <c r="T476" s="67">
        <f t="shared" si="437"/>
        <v>130.43233687985847</v>
      </c>
      <c r="U476" s="67">
        <f t="shared" si="438"/>
        <v>1.5631294412598784</v>
      </c>
      <c r="V476" t="str">
        <f t="shared" si="426"/>
        <v>1-13.4728344190345i</v>
      </c>
      <c r="W476" s="67">
        <f t="shared" si="439"/>
        <v>13.509895161796063</v>
      </c>
      <c r="X476" s="67">
        <f t="shared" si="440"/>
        <v>-1.4967087485866952</v>
      </c>
      <c r="Y476" t="str">
        <f t="shared" si="427"/>
        <v>-33.2115922070044+20.8254396366237i</v>
      </c>
      <c r="Z476" s="67">
        <f t="shared" si="441"/>
        <v>39.200877451697593</v>
      </c>
      <c r="AA476" s="67">
        <f t="shared" si="442"/>
        <v>2.5815181455663541</v>
      </c>
      <c r="AB476" s="92" t="str">
        <f t="shared" si="443"/>
        <v>-0.0378883387434051+0.0523476946399559i</v>
      </c>
      <c r="AC476" s="37">
        <f t="shared" si="444"/>
        <v>-23.792595459561387</v>
      </c>
      <c r="AD476" s="60">
        <f t="shared" si="445"/>
        <v>125.89635674804404</v>
      </c>
      <c r="AE476" t="str">
        <f t="shared" si="446"/>
        <v>118.329284003155</v>
      </c>
      <c r="AF476" t="str">
        <f t="shared" si="428"/>
        <v>1+55501.4908163034i</v>
      </c>
      <c r="AG476">
        <f t="shared" si="447"/>
        <v>55501.490825312161</v>
      </c>
      <c r="AH476">
        <f t="shared" si="448"/>
        <v>1.5707783092608596</v>
      </c>
      <c r="AI476" t="str">
        <f t="shared" si="429"/>
        <v>1+130.428503418313i</v>
      </c>
      <c r="AJ476">
        <f t="shared" si="449"/>
        <v>130.43233687985847</v>
      </c>
      <c r="AK476">
        <f t="shared" si="450"/>
        <v>1.5631294412598784</v>
      </c>
      <c r="AL476" t="str">
        <f t="shared" si="430"/>
        <v>1-9.08420898702521i</v>
      </c>
      <c r="AM476">
        <f t="shared" si="451"/>
        <v>9.1390838118462181</v>
      </c>
      <c r="AN476">
        <f t="shared" si="452"/>
        <v>-1.4611566396257853</v>
      </c>
      <c r="AO476" s="58" t="str">
        <f t="shared" si="453"/>
        <v>0.258751818639703-2.52820801098148i</v>
      </c>
      <c r="AP476">
        <f t="shared" si="454"/>
        <v>8.1015104655386612</v>
      </c>
      <c r="AQ476" s="60">
        <f t="shared" si="455"/>
        <v>-84.156356512584168</v>
      </c>
      <c r="AR476" t="str">
        <f t="shared" si="431"/>
        <v>-1.94444444444444</v>
      </c>
      <c r="AS476" t="str">
        <f t="shared" si="432"/>
        <v>1+133.772824018782i</v>
      </c>
      <c r="AT476">
        <f t="shared" si="456"/>
        <v>133.77656164650077</v>
      </c>
      <c r="AU476">
        <f t="shared" si="457"/>
        <v>1.5633211061665095</v>
      </c>
      <c r="AV476" t="str">
        <f t="shared" si="433"/>
        <v>1+133.772824018782i</v>
      </c>
      <c r="AW476">
        <f t="shared" si="458"/>
        <v>133.77656164650077</v>
      </c>
      <c r="AX476">
        <f t="shared" si="459"/>
        <v>1.5633211061665095</v>
      </c>
      <c r="AY476" t="str">
        <f t="shared" si="434"/>
        <v>1-0.0000159050209941696i</v>
      </c>
      <c r="AZ476">
        <f t="shared" si="460"/>
        <v>1.0000000001264848</v>
      </c>
      <c r="BA476">
        <f t="shared" si="461"/>
        <v>-1.5905020992828438E-5</v>
      </c>
      <c r="BB476" s="58" t="str">
        <f t="shared" si="462"/>
        <v>-0.000108420265179344+0.014534611483617i</v>
      </c>
      <c r="BC476">
        <f t="shared" si="463"/>
        <v>-36.751689802589468</v>
      </c>
      <c r="BD476" s="60">
        <f t="shared" si="464"/>
        <v>90.427387302359747</v>
      </c>
      <c r="BE476" s="58" t="str">
        <f t="shared" si="465"/>
        <v>-0.000756745539921014-0.000556367834329458i</v>
      </c>
      <c r="BF476" s="37">
        <f t="shared" si="466"/>
        <v>-60.544285262150851</v>
      </c>
      <c r="BG476" s="60">
        <f t="shared" si="467"/>
        <v>-143.6762559495962</v>
      </c>
      <c r="BH476" s="58" t="str">
        <f t="shared" si="468"/>
        <v>0.0367184672485914+0.00403496613758656i</v>
      </c>
      <c r="BI476" s="37">
        <f t="shared" si="469"/>
        <v>-28.650179337050794</v>
      </c>
      <c r="BJ476" s="60">
        <f t="shared" si="470"/>
        <v>6.2710307897755753</v>
      </c>
      <c r="BK476">
        <f t="shared" si="471"/>
        <v>-60.544285262150851</v>
      </c>
      <c r="BL476" s="60">
        <f t="shared" si="472"/>
        <v>-143.6762559495962</v>
      </c>
      <c r="BN476">
        <f t="shared" si="473"/>
        <v>0</v>
      </c>
      <c r="BO476">
        <f t="shared" si="474"/>
        <v>0</v>
      </c>
    </row>
    <row r="477" spans="13:67" ht="14.25" x14ac:dyDescent="0.2">
      <c r="M477" s="66">
        <v>59</v>
      </c>
      <c r="N477" s="36">
        <f t="shared" si="422"/>
        <v>389045.14499428123</v>
      </c>
      <c r="O477" s="91" t="str">
        <f t="shared" si="423"/>
        <v>99.7340425531915</v>
      </c>
      <c r="P477" s="67" t="str">
        <f t="shared" si="424"/>
        <v>1+70992.8582668224i</v>
      </c>
      <c r="Q477" s="67">
        <f t="shared" si="435"/>
        <v>70992.858273865364</v>
      </c>
      <c r="R477" s="67">
        <f t="shared" si="436"/>
        <v>1.5707822408709833</v>
      </c>
      <c r="S477" s="67" t="str">
        <f t="shared" si="425"/>
        <v>1+133.466573541626i</v>
      </c>
      <c r="T477" s="67">
        <f t="shared" si="437"/>
        <v>133.47031974541105</v>
      </c>
      <c r="U477" s="67">
        <f t="shared" si="438"/>
        <v>1.5633039542741014</v>
      </c>
      <c r="V477" t="str">
        <f t="shared" si="426"/>
        <v>1-13.786657047157i</v>
      </c>
      <c r="W477" s="67">
        <f t="shared" si="439"/>
        <v>13.822876420482237</v>
      </c>
      <c r="X477" s="67">
        <f t="shared" si="440"/>
        <v>-1.4983892313230049</v>
      </c>
      <c r="Y477" t="str">
        <f t="shared" si="427"/>
        <v>-34.8239348742299+21.3105264413229i</v>
      </c>
      <c r="Z477" s="67">
        <f t="shared" si="441"/>
        <v>40.827012838694529</v>
      </c>
      <c r="AA477" s="67">
        <f t="shared" si="442"/>
        <v>2.5924322853015447</v>
      </c>
      <c r="AB477" s="92" t="str">
        <f t="shared" si="443"/>
        <v>-0.0365803915178709+0.0518853851387335i</v>
      </c>
      <c r="AC477" s="37">
        <f t="shared" si="444"/>
        <v>-23.946714363615179</v>
      </c>
      <c r="AD477" s="60">
        <f t="shared" si="445"/>
        <v>125.18471809611611</v>
      </c>
      <c r="AE477" t="str">
        <f t="shared" si="446"/>
        <v>118.329284003155</v>
      </c>
      <c r="AF477" t="str">
        <f t="shared" si="428"/>
        <v>1+56794.2866134579i</v>
      </c>
      <c r="AG477">
        <f t="shared" si="447"/>
        <v>56794.286622261599</v>
      </c>
      <c r="AH477">
        <f t="shared" si="448"/>
        <v>1.5707787193900056</v>
      </c>
      <c r="AI477" t="str">
        <f t="shared" si="429"/>
        <v>1+133.466573541626i</v>
      </c>
      <c r="AJ477">
        <f t="shared" si="449"/>
        <v>133.47031974541105</v>
      </c>
      <c r="AK477">
        <f t="shared" si="450"/>
        <v>1.5633039542741014</v>
      </c>
      <c r="AL477" t="str">
        <f t="shared" si="430"/>
        <v>1-9.29580739683675i</v>
      </c>
      <c r="AM477">
        <f t="shared" si="451"/>
        <v>9.3494403660906258</v>
      </c>
      <c r="AN477">
        <f t="shared" si="452"/>
        <v>-1.4636330611351029</v>
      </c>
      <c r="AO477" s="58" t="str">
        <f t="shared" si="453"/>
        <v>0.258751816914595-2.58699956438859i</v>
      </c>
      <c r="AP477">
        <f t="shared" si="454"/>
        <v>8.2991580911131528</v>
      </c>
      <c r="AQ477" s="60">
        <f t="shared" si="455"/>
        <v>-84.288269652847546</v>
      </c>
      <c r="AR477" t="str">
        <f t="shared" si="431"/>
        <v>-1.94444444444444</v>
      </c>
      <c r="AS477" t="str">
        <f t="shared" si="432"/>
        <v>1+136.888793376026i</v>
      </c>
      <c r="AT477">
        <f t="shared" si="456"/>
        <v>136.89244592724737</v>
      </c>
      <c r="AU477">
        <f t="shared" si="457"/>
        <v>1.5634912568380439</v>
      </c>
      <c r="AV477" t="str">
        <f t="shared" si="433"/>
        <v>1+136.888793376026i</v>
      </c>
      <c r="AW477">
        <f t="shared" si="458"/>
        <v>136.89244592724737</v>
      </c>
      <c r="AX477">
        <f t="shared" si="459"/>
        <v>1.5634912568380439</v>
      </c>
      <c r="AY477" t="str">
        <f t="shared" si="434"/>
        <v>1-0.0000155429785155861i</v>
      </c>
      <c r="AZ477">
        <f t="shared" si="460"/>
        <v>1.000000000120792</v>
      </c>
      <c r="BA477">
        <f t="shared" si="461"/>
        <v>-1.5542978514334452E-5</v>
      </c>
      <c r="BB477" s="58" t="str">
        <f t="shared" si="462"/>
        <v>-0.000103540809817501+0.0142037989793191i</v>
      </c>
      <c r="BC477">
        <f t="shared" si="463"/>
        <v>-36.951678880470773</v>
      </c>
      <c r="BD477" s="60">
        <f t="shared" si="464"/>
        <v>90.417659130505527</v>
      </c>
      <c r="BE477" s="58" t="str">
        <f t="shared" si="465"/>
        <v>-0.00073318201711392-0.000524952782499585i</v>
      </c>
      <c r="BF477" s="37">
        <f t="shared" si="466"/>
        <v>-60.898393244085945</v>
      </c>
      <c r="BG477" s="60">
        <f t="shared" si="467"/>
        <v>-144.39762277337837</v>
      </c>
      <c r="BH477" s="58" t="str">
        <f t="shared" si="468"/>
        <v>0.0367184303994965+0.0039431188228828i</v>
      </c>
      <c r="BI477" s="37">
        <f t="shared" si="469"/>
        <v>-28.652520789357624</v>
      </c>
      <c r="BJ477" s="60">
        <f t="shared" si="470"/>
        <v>6.1293894776579885</v>
      </c>
      <c r="BK477">
        <f t="shared" si="471"/>
        <v>-60.898393244085945</v>
      </c>
      <c r="BL477" s="60">
        <f t="shared" si="472"/>
        <v>-144.39762277337837</v>
      </c>
      <c r="BN477">
        <f t="shared" si="473"/>
        <v>0</v>
      </c>
      <c r="BO477">
        <f t="shared" si="474"/>
        <v>0</v>
      </c>
    </row>
    <row r="478" spans="13:67" ht="14.25" x14ac:dyDescent="0.2">
      <c r="M478" s="66">
        <v>60</v>
      </c>
      <c r="N478" s="36">
        <f t="shared" si="422"/>
        <v>398107.17055349716</v>
      </c>
      <c r="O478" s="91" t="str">
        <f t="shared" si="423"/>
        <v>99.7340425531915</v>
      </c>
      <c r="P478" s="67" t="str">
        <f t="shared" si="424"/>
        <v>1+72646.49436642i</v>
      </c>
      <c r="Q478" s="67">
        <f t="shared" si="435"/>
        <v>72646.494373302645</v>
      </c>
      <c r="R478" s="67">
        <f t="shared" si="436"/>
        <v>1.5707825615057569</v>
      </c>
      <c r="S478" s="67" t="str">
        <f t="shared" si="425"/>
        <v>1+136.57540940887i</v>
      </c>
      <c r="T478" s="67">
        <f t="shared" si="437"/>
        <v>136.5790703409584</v>
      </c>
      <c r="U478" s="67">
        <f t="shared" si="438"/>
        <v>1.5634744953281223</v>
      </c>
      <c r="V478" t="str">
        <f t="shared" si="426"/>
        <v>1-14.1077895433338i</v>
      </c>
      <c r="W478" s="67">
        <f t="shared" si="439"/>
        <v>14.143186550385259</v>
      </c>
      <c r="X478" s="67">
        <f t="shared" si="440"/>
        <v>-1.500031857559591</v>
      </c>
      <c r="Y478" t="str">
        <f t="shared" si="427"/>
        <v>-36.5122649103222+21.8069123692194i</v>
      </c>
      <c r="Z478" s="67">
        <f t="shared" si="441"/>
        <v>42.528659936099096</v>
      </c>
      <c r="AA478" s="67">
        <f t="shared" si="442"/>
        <v>2.6031984296429558</v>
      </c>
      <c r="AB478" s="92" t="str">
        <f t="shared" si="443"/>
        <v>-0.0353040467550081+0.0513994090250724i</v>
      </c>
      <c r="AC478" s="37">
        <f t="shared" si="444"/>
        <v>-24.102430308506211</v>
      </c>
      <c r="AD478" s="60">
        <f t="shared" si="445"/>
        <v>124.48350082466062</v>
      </c>
      <c r="AE478" t="str">
        <f t="shared" si="446"/>
        <v>118.329284003155</v>
      </c>
      <c r="AF478" t="str">
        <f t="shared" si="428"/>
        <v>1+58117.195493136i</v>
      </c>
      <c r="AG478">
        <f t="shared" si="447"/>
        <v>58117.195501739297</v>
      </c>
      <c r="AH478">
        <f t="shared" si="448"/>
        <v>1.5707791201834727</v>
      </c>
      <c r="AI478" t="str">
        <f t="shared" si="429"/>
        <v>1+136.57540940887i</v>
      </c>
      <c r="AJ478">
        <f t="shared" si="449"/>
        <v>136.5790703409584</v>
      </c>
      <c r="AK478">
        <f t="shared" si="450"/>
        <v>1.5634744953281223</v>
      </c>
      <c r="AL478" t="str">
        <f t="shared" si="430"/>
        <v>1-9.51233456677462i</v>
      </c>
      <c r="AM478">
        <f t="shared" si="451"/>
        <v>9.5647534683469644</v>
      </c>
      <c r="AN478">
        <f t="shared" si="452"/>
        <v>-1.4660543880385899</v>
      </c>
      <c r="AO478" s="58" t="str">
        <f t="shared" si="453"/>
        <v>0.25875181526713-2.64716277920771i</v>
      </c>
      <c r="AP478">
        <f t="shared" si="454"/>
        <v>8.4969104124799415</v>
      </c>
      <c r="AQ478" s="60">
        <f t="shared" si="455"/>
        <v>-84.417253146383842</v>
      </c>
      <c r="AR478" t="str">
        <f t="shared" si="431"/>
        <v>-1.94444444444444</v>
      </c>
      <c r="AS478" t="str">
        <f t="shared" si="432"/>
        <v>1+140.077342983456i</v>
      </c>
      <c r="AT478">
        <f t="shared" si="456"/>
        <v>140.08091239460418</v>
      </c>
      <c r="AU478">
        <f t="shared" si="457"/>
        <v>1.5636575348161674</v>
      </c>
      <c r="AV478" t="str">
        <f t="shared" si="433"/>
        <v>1+140.077342983456i</v>
      </c>
      <c r="AW478">
        <f t="shared" si="458"/>
        <v>140.08091239460418</v>
      </c>
      <c r="AX478">
        <f t="shared" si="459"/>
        <v>1.5636575348161674</v>
      </c>
      <c r="AY478" t="str">
        <f t="shared" si="434"/>
        <v>1-0.0000151891771299473i</v>
      </c>
      <c r="AZ478">
        <f t="shared" si="460"/>
        <v>1.0000000001153555</v>
      </c>
      <c r="BA478">
        <f t="shared" si="461"/>
        <v>-1.5189177128779195E-5</v>
      </c>
      <c r="BB478" s="58" t="str">
        <f t="shared" si="462"/>
        <v>-0.0000988809432121944+0.0138805143079482i</v>
      </c>
      <c r="BC478">
        <f t="shared" si="463"/>
        <v>-37.151668449902758</v>
      </c>
      <c r="BD478" s="60">
        <f t="shared" si="464"/>
        <v>90.408152375459252</v>
      </c>
      <c r="BE478" s="58" t="str">
        <f t="shared" si="465"/>
        <v>-0.000709959334950257-0.000495120748156311i</v>
      </c>
      <c r="BF478" s="37">
        <f t="shared" si="466"/>
        <v>-61.254098758408958</v>
      </c>
      <c r="BG478" s="60">
        <f t="shared" si="467"/>
        <v>-145.10834679988011</v>
      </c>
      <c r="BH478" s="58" t="str">
        <f t="shared" si="468"/>
        <v>0.0367183952087091+0.00385336222646724i</v>
      </c>
      <c r="BI478" s="37">
        <f t="shared" si="469"/>
        <v>-28.654758037422809</v>
      </c>
      <c r="BJ478" s="60">
        <f t="shared" si="470"/>
        <v>5.9908992290754224</v>
      </c>
      <c r="BK478">
        <f t="shared" si="471"/>
        <v>-61.254098758408958</v>
      </c>
      <c r="BL478" s="60">
        <f t="shared" si="472"/>
        <v>-145.10834679988011</v>
      </c>
      <c r="BN478">
        <f t="shared" si="473"/>
        <v>0</v>
      </c>
      <c r="BO478">
        <f t="shared" si="474"/>
        <v>0</v>
      </c>
    </row>
    <row r="479" spans="13:67" ht="14.25" x14ac:dyDescent="0.2">
      <c r="M479" s="66">
        <v>61</v>
      </c>
      <c r="N479" s="36">
        <f t="shared" si="422"/>
        <v>407380.27780411334</v>
      </c>
      <c r="O479" s="91" t="str">
        <f t="shared" si="423"/>
        <v>99.7340425531915</v>
      </c>
      <c r="P479" s="67" t="str">
        <f t="shared" si="424"/>
        <v>1+74338.648598921i</v>
      </c>
      <c r="Q479" s="67">
        <f t="shared" si="435"/>
        <v>74338.648605646973</v>
      </c>
      <c r="R479" s="67">
        <f t="shared" si="436"/>
        <v>1.5707828748419921</v>
      </c>
      <c r="S479" s="67" t="str">
        <f t="shared" si="425"/>
        <v>1+139.756659365971i</v>
      </c>
      <c r="T479" s="67">
        <f t="shared" si="437"/>
        <v>139.76023696722916</v>
      </c>
      <c r="U479" s="67">
        <f t="shared" si="438"/>
        <v>1.5636411548053617</v>
      </c>
      <c r="V479" t="str">
        <f t="shared" si="426"/>
        <v>1-14.4364021762652i</v>
      </c>
      <c r="W479" s="67">
        <f t="shared" si="439"/>
        <v>14.470995397514111</v>
      </c>
      <c r="X479" s="67">
        <f t="shared" si="440"/>
        <v>-1.5016374627613875</v>
      </c>
      <c r="Y479" t="str">
        <f t="shared" si="427"/>
        <v>-38.2801634896464+22.3148606107027i</v>
      </c>
      <c r="Z479" s="67">
        <f t="shared" si="441"/>
        <v>44.309411199756958</v>
      </c>
      <c r="AA479" s="67">
        <f t="shared" si="442"/>
        <v>2.6138151954095328</v>
      </c>
      <c r="AB479" s="92" t="str">
        <f t="shared" si="443"/>
        <v>-0.0340594990199172+0.0508914177163393i</v>
      </c>
      <c r="AC479" s="37">
        <f t="shared" si="444"/>
        <v>-24.259703686197632</v>
      </c>
      <c r="AD479" s="60">
        <f t="shared" si="445"/>
        <v>123.79274148434742</v>
      </c>
      <c r="AE479" t="str">
        <f t="shared" si="446"/>
        <v>118.329284003155</v>
      </c>
      <c r="AF479" t="str">
        <f t="shared" si="428"/>
        <v>1+59470.9188791368i</v>
      </c>
      <c r="AG479">
        <f t="shared" si="447"/>
        <v>59470.918887544271</v>
      </c>
      <c r="AH479">
        <f t="shared" si="448"/>
        <v>1.5707795118537664</v>
      </c>
      <c r="AI479" t="str">
        <f t="shared" si="429"/>
        <v>1+139.756659365971i</v>
      </c>
      <c r="AJ479">
        <f t="shared" si="449"/>
        <v>139.76023696722916</v>
      </c>
      <c r="AK479">
        <f t="shared" si="450"/>
        <v>1.5636411548053617</v>
      </c>
      <c r="AL479" t="str">
        <f t="shared" si="430"/>
        <v>1-9.73390530241046i</v>
      </c>
      <c r="AM479">
        <f t="shared" si="451"/>
        <v>9.7851373233232888</v>
      </c>
      <c r="AN479">
        <f t="shared" si="452"/>
        <v>-1.4684217905274015</v>
      </c>
      <c r="AO479" s="58" t="str">
        <f t="shared" si="453"/>
        <v>0.258751813693811-2.70872955477169i</v>
      </c>
      <c r="AP479">
        <f t="shared" si="454"/>
        <v>8.6947628201387381</v>
      </c>
      <c r="AQ479" s="60">
        <f t="shared" si="455"/>
        <v>-84.54336887379462</v>
      </c>
      <c r="AR479" t="str">
        <f t="shared" si="431"/>
        <v>-1.94444444444444</v>
      </c>
      <c r="AS479" t="str">
        <f t="shared" si="432"/>
        <v>1+143.340163452278i</v>
      </c>
      <c r="AT479">
        <f t="shared" si="456"/>
        <v>143.34365161570909</v>
      </c>
      <c r="AU479">
        <f t="shared" si="457"/>
        <v>1.5638200282268655</v>
      </c>
      <c r="AV479" t="str">
        <f t="shared" si="433"/>
        <v>1+143.340163452278i</v>
      </c>
      <c r="AW479">
        <f t="shared" si="458"/>
        <v>143.34365161570909</v>
      </c>
      <c r="AX479">
        <f t="shared" si="459"/>
        <v>1.5638200282268655</v>
      </c>
      <c r="AY479" t="str">
        <f t="shared" si="434"/>
        <v>1-0.0000148434292470752i</v>
      </c>
      <c r="AZ479">
        <f t="shared" si="460"/>
        <v>1.0000000001101637</v>
      </c>
      <c r="BA479">
        <f t="shared" si="461"/>
        <v>-1.4843429245985061E-5</v>
      </c>
      <c r="BB479" s="58" t="str">
        <f t="shared" si="462"/>
        <v>-0.0000944307842571167+0.0135645862738779i</v>
      </c>
      <c r="BC479">
        <f t="shared" si="463"/>
        <v>-37.351658488764208</v>
      </c>
      <c r="BD479" s="60">
        <f t="shared" si="464"/>
        <v>90.398861998722026</v>
      </c>
      <c r="BE479" s="58" t="str">
        <f t="shared" si="465"/>
        <v>-0.000687104761009387-0.000466808729387637i</v>
      </c>
      <c r="BF479" s="37">
        <f t="shared" si="466"/>
        <v>-61.611362174961847</v>
      </c>
      <c r="BG479" s="60">
        <f t="shared" si="467"/>
        <v>-145.80839651693051</v>
      </c>
      <c r="BH479" s="58" t="str">
        <f t="shared" si="468"/>
        <v>0.0367183616016084+0.0037656487565696i</v>
      </c>
      <c r="BI479" s="37">
        <f t="shared" si="469"/>
        <v>-28.656895668625474</v>
      </c>
      <c r="BJ479" s="60">
        <f t="shared" si="470"/>
        <v>5.8554931249274187</v>
      </c>
      <c r="BK479">
        <f t="shared" si="471"/>
        <v>-61.611362174961847</v>
      </c>
      <c r="BL479" s="60">
        <f t="shared" si="472"/>
        <v>-145.80839651693051</v>
      </c>
      <c r="BN479">
        <f t="shared" si="473"/>
        <v>0</v>
      </c>
      <c r="BO479">
        <f t="shared" si="474"/>
        <v>0</v>
      </c>
    </row>
    <row r="480" spans="13:67" ht="14.25" x14ac:dyDescent="0.2">
      <c r="M480" s="66">
        <v>62</v>
      </c>
      <c r="N480" s="36">
        <f t="shared" si="422"/>
        <v>416869.38347033598</v>
      </c>
      <c r="O480" s="91" t="str">
        <f t="shared" si="423"/>
        <v>99.7340425531915</v>
      </c>
      <c r="P480" s="67" t="str">
        <f t="shared" si="424"/>
        <v>1+76070.2181668975i</v>
      </c>
      <c r="Q480" s="67">
        <f t="shared" si="435"/>
        <v>76070.218173470363</v>
      </c>
      <c r="R480" s="67">
        <f t="shared" si="436"/>
        <v>1.5707831810458237</v>
      </c>
      <c r="S480" s="67" t="str">
        <f t="shared" si="425"/>
        <v>1+143.012010153767i</v>
      </c>
      <c r="T480" s="67">
        <f t="shared" si="437"/>
        <v>143.01550632089217</v>
      </c>
      <c r="U480" s="67">
        <f t="shared" si="438"/>
        <v>1.5638040210338275</v>
      </c>
      <c r="V480" t="str">
        <f t="shared" si="426"/>
        <v>1-14.7726691807188i</v>
      </c>
      <c r="W480" s="67">
        <f t="shared" si="439"/>
        <v>14.806476782913586</v>
      </c>
      <c r="X480" s="67">
        <f t="shared" si="440"/>
        <v>-1.5032068651093367</v>
      </c>
      <c r="Y480" t="str">
        <f t="shared" si="427"/>
        <v>-40.1313805621156+22.8346404866539i</v>
      </c>
      <c r="Z480" s="67">
        <f t="shared" si="441"/>
        <v>46.173027970624617</v>
      </c>
      <c r="AA480" s="67">
        <f t="shared" si="442"/>
        <v>2.6242813895302453</v>
      </c>
      <c r="AB480" s="92" t="str">
        <f t="shared" si="443"/>
        <v>-0.0328468645753788+0.0503630318065716i</v>
      </c>
      <c r="AC480" s="37">
        <f t="shared" si="444"/>
        <v>-24.418494741218773</v>
      </c>
      <c r="AD480" s="60">
        <f t="shared" si="445"/>
        <v>123.11246660609949</v>
      </c>
      <c r="AE480" t="str">
        <f t="shared" si="446"/>
        <v>118.329284003155</v>
      </c>
      <c r="AF480" t="str">
        <f t="shared" si="428"/>
        <v>1+60856.174533518i</v>
      </c>
      <c r="AG480">
        <f t="shared" si="447"/>
        <v>60856.174541734101</v>
      </c>
      <c r="AH480">
        <f t="shared" si="448"/>
        <v>1.570779894608556</v>
      </c>
      <c r="AI480" t="str">
        <f t="shared" si="429"/>
        <v>1+143.012010153767i</v>
      </c>
      <c r="AJ480">
        <f t="shared" si="449"/>
        <v>143.01550632089217</v>
      </c>
      <c r="AK480">
        <f t="shared" si="450"/>
        <v>1.5638040210338275</v>
      </c>
      <c r="AL480" t="str">
        <f t="shared" si="430"/>
        <v>1-9.96063708348112i</v>
      </c>
      <c r="AM480">
        <f t="shared" si="451"/>
        <v>10.010708821498069</v>
      </c>
      <c r="AN480">
        <f t="shared" si="452"/>
        <v>-1.4707364176250206</v>
      </c>
      <c r="AO480" s="58" t="str">
        <f t="shared" si="453"/>
        <v>0.258751812191306-2.77173253459992i</v>
      </c>
      <c r="AP480">
        <f t="shared" si="454"/>
        <v>8.8927109031661828</v>
      </c>
      <c r="AQ480" s="60">
        <f t="shared" si="455"/>
        <v>-84.666677620352544</v>
      </c>
      <c r="AR480" t="str">
        <f t="shared" si="431"/>
        <v>-1.94444444444444</v>
      </c>
      <c r="AS480" t="str">
        <f t="shared" si="432"/>
        <v>1+146.678984773094i</v>
      </c>
      <c r="AT480">
        <f t="shared" si="456"/>
        <v>146.68239353809827</v>
      </c>
      <c r="AU480">
        <f t="shared" si="457"/>
        <v>1.5639788231919518</v>
      </c>
      <c r="AV480" t="str">
        <f t="shared" si="433"/>
        <v>1+146.678984773094i</v>
      </c>
      <c r="AW480">
        <f t="shared" si="458"/>
        <v>146.68239353809827</v>
      </c>
      <c r="AX480">
        <f t="shared" si="459"/>
        <v>1.5639788231919518</v>
      </c>
      <c r="AY480" t="str">
        <f t="shared" si="434"/>
        <v>1-0.0000145055515468659i</v>
      </c>
      <c r="AZ480">
        <f t="shared" si="460"/>
        <v>1.0000000001052056</v>
      </c>
      <c r="BA480">
        <f t="shared" si="461"/>
        <v>-1.4505551545848524E-5</v>
      </c>
      <c r="BB480" s="58" t="str">
        <f t="shared" si="462"/>
        <v>-0.0000901808963916553+0.0132558475677745i</v>
      </c>
      <c r="BC480">
        <f t="shared" si="463"/>
        <v>-37.551648975929439</v>
      </c>
      <c r="BD480" s="60">
        <f t="shared" si="464"/>
        <v>90.389783076380894</v>
      </c>
      <c r="BE480" s="58" t="str">
        <f t="shared" si="465"/>
        <v>-0.000664642512987829-0.000439954813243871i</v>
      </c>
      <c r="BF480" s="37">
        <f t="shared" si="466"/>
        <v>-61.970143717148218</v>
      </c>
      <c r="BG480" s="60">
        <f t="shared" si="467"/>
        <v>-146.49775031751966</v>
      </c>
      <c r="BH480" s="58" t="str">
        <f t="shared" si="468"/>
        <v>0.0367183295069314+0.0036799319048215i</v>
      </c>
      <c r="BI480" s="37">
        <f t="shared" si="469"/>
        <v>-28.658938072763263</v>
      </c>
      <c r="BJ480" s="60">
        <f t="shared" si="470"/>
        <v>5.7231054560283487</v>
      </c>
      <c r="BK480">
        <f t="shared" si="471"/>
        <v>-61.970143717148218</v>
      </c>
      <c r="BL480" s="60">
        <f t="shared" si="472"/>
        <v>-146.49775031751966</v>
      </c>
      <c r="BN480">
        <f t="shared" si="473"/>
        <v>0</v>
      </c>
      <c r="BO480">
        <f t="shared" si="474"/>
        <v>0</v>
      </c>
    </row>
    <row r="481" spans="13:67" ht="14.25" x14ac:dyDescent="0.2">
      <c r="M481" s="66">
        <v>63</v>
      </c>
      <c r="N481" s="36">
        <f t="shared" si="422"/>
        <v>426579.51880159322</v>
      </c>
      <c r="O481" s="91" t="str">
        <f t="shared" si="423"/>
        <v>99.7340425531915</v>
      </c>
      <c r="P481" s="67" t="str">
        <f t="shared" si="424"/>
        <v>1+77842.1211714543i</v>
      </c>
      <c r="Q481" s="67">
        <f t="shared" si="435"/>
        <v>77842.121177877561</v>
      </c>
      <c r="R481" s="67">
        <f t="shared" si="436"/>
        <v>1.5707834802796052</v>
      </c>
      <c r="S481" s="67" t="str">
        <f t="shared" si="425"/>
        <v>1+146.343187802334i</v>
      </c>
      <c r="T481" s="67">
        <f t="shared" si="437"/>
        <v>146.34660438885899</v>
      </c>
      <c r="U481" s="67">
        <f t="shared" si="438"/>
        <v>1.5639631803327687</v>
      </c>
      <c r="V481" t="str">
        <f t="shared" si="426"/>
        <v>1-15.1167688499114i</v>
      </c>
      <c r="W481" s="67">
        <f t="shared" si="439"/>
        <v>15.149808594885007</v>
      </c>
      <c r="X481" s="67">
        <f t="shared" si="440"/>
        <v>-1.5047408657801506</v>
      </c>
      <c r="Y481" t="str">
        <f t="shared" si="427"/>
        <v>-42.0698428073371+23.3665275912434i</v>
      </c>
      <c r="Z481" s="67">
        <f t="shared" si="441"/>
        <v>48.123448395832902</v>
      </c>
      <c r="AA481" s="67">
        <f t="shared" si="442"/>
        <v>2.6345960052317028</v>
      </c>
      <c r="AB481" s="92" t="str">
        <f t="shared" si="443"/>
        <v>-0.0316661851867595+0.0498158372876842i</v>
      </c>
      <c r="AC481" s="37">
        <f t="shared" si="444"/>
        <v>-24.578763661982958</v>
      </c>
      <c r="AD481" s="60">
        <f t="shared" si="445"/>
        <v>122.4426929061658</v>
      </c>
      <c r="AE481" t="str">
        <f t="shared" si="446"/>
        <v>118.329284003155</v>
      </c>
      <c r="AF481" t="str">
        <f t="shared" si="428"/>
        <v>1+62273.6969371634i</v>
      </c>
      <c r="AG481">
        <f t="shared" si="447"/>
        <v>62273.696945192467</v>
      </c>
      <c r="AH481">
        <f t="shared" si="448"/>
        <v>1.5707802686507828</v>
      </c>
      <c r="AI481" t="str">
        <f t="shared" si="429"/>
        <v>1+146.343187802334i</v>
      </c>
      <c r="AJ481">
        <f t="shared" si="449"/>
        <v>146.34660438885899</v>
      </c>
      <c r="AK481">
        <f t="shared" si="450"/>
        <v>1.5639631803327687</v>
      </c>
      <c r="AL481" t="str">
        <f t="shared" si="430"/>
        <v>1-10.192650126178i</v>
      </c>
      <c r="AM481">
        <f t="shared" si="451"/>
        <v>10.241587601279228</v>
      </c>
      <c r="AN481">
        <f t="shared" si="452"/>
        <v>-1.4729993973181461</v>
      </c>
      <c r="AO481" s="58" t="str">
        <f t="shared" si="453"/>
        <v>0.258751810756424-2.83620512370617i</v>
      </c>
      <c r="AP481">
        <f t="shared" si="454"/>
        <v>9.0907504410415605</v>
      </c>
      <c r="AQ481" s="60">
        <f t="shared" si="455"/>
        <v>-84.787239080833771</v>
      </c>
      <c r="AR481" t="str">
        <f t="shared" si="431"/>
        <v>-1.94444444444444</v>
      </c>
      <c r="AS481" t="str">
        <f t="shared" si="432"/>
        <v>1+150.095577233163i</v>
      </c>
      <c r="AT481">
        <f t="shared" si="456"/>
        <v>150.09890840694476</v>
      </c>
      <c r="AU481">
        <f t="shared" si="457"/>
        <v>1.5641340038745666</v>
      </c>
      <c r="AV481" t="str">
        <f t="shared" si="433"/>
        <v>1+150.095577233163i</v>
      </c>
      <c r="AW481">
        <f t="shared" si="458"/>
        <v>150.09890840694476</v>
      </c>
      <c r="AX481">
        <f t="shared" si="459"/>
        <v>1.5641340038745666</v>
      </c>
      <c r="AY481" t="str">
        <f t="shared" si="434"/>
        <v>1-0.0000141753648820905i</v>
      </c>
      <c r="AZ481">
        <f t="shared" si="460"/>
        <v>1.0000000001004705</v>
      </c>
      <c r="BA481">
        <f t="shared" si="461"/>
        <v>-1.4175364881141031E-5</v>
      </c>
      <c r="BB481" s="58" t="str">
        <f t="shared" si="462"/>
        <v>-0.0000861222676086445+0.0129541346788414i</v>
      </c>
      <c r="BC481">
        <f t="shared" si="463"/>
        <v>-37.751639891223341</v>
      </c>
      <c r="BD481" s="60">
        <f t="shared" si="464"/>
        <v>90.380910796507422</v>
      </c>
      <c r="BE481" s="58" t="str">
        <f t="shared" si="465"/>
        <v>-0.000642593901689111-0.000414498280544454i</v>
      </c>
      <c r="BF481" s="37">
        <f t="shared" si="466"/>
        <v>-62.330403553206295</v>
      </c>
      <c r="BG481" s="60">
        <f t="shared" si="467"/>
        <v>-147.17639629732673</v>
      </c>
      <c r="BH481" s="58" t="str">
        <f t="shared" si="468"/>
        <v>0.0367182988566196+0.00359616622158963i</v>
      </c>
      <c r="BI481" s="37">
        <f t="shared" si="469"/>
        <v>-28.66088945018177</v>
      </c>
      <c r="BJ481" s="60">
        <f t="shared" si="470"/>
        <v>5.5936717156736471</v>
      </c>
      <c r="BK481">
        <f t="shared" si="471"/>
        <v>-62.330403553206295</v>
      </c>
      <c r="BL481" s="60">
        <f t="shared" si="472"/>
        <v>-147.17639629732673</v>
      </c>
      <c r="BN481">
        <f t="shared" si="473"/>
        <v>0</v>
      </c>
      <c r="BO481">
        <f t="shared" si="474"/>
        <v>0</v>
      </c>
    </row>
    <row r="482" spans="13:67" ht="14.25" x14ac:dyDescent="0.2">
      <c r="M482" s="66">
        <v>64</v>
      </c>
      <c r="N482" s="36">
        <f t="shared" si="422"/>
        <v>436515.83224016649</v>
      </c>
      <c r="O482" s="91" t="str">
        <f t="shared" si="423"/>
        <v>99.7340425531915</v>
      </c>
      <c r="P482" s="67" t="str">
        <f t="shared" si="424"/>
        <v>1+79655.2970990183i</v>
      </c>
      <c r="Q482" s="67">
        <f t="shared" si="435"/>
        <v>79655.297105295351</v>
      </c>
      <c r="R482" s="67">
        <f t="shared" si="436"/>
        <v>1.5707837727019942</v>
      </c>
      <c r="S482" s="67" t="str">
        <f t="shared" si="425"/>
        <v>1+149.751958546154i</v>
      </c>
      <c r="T482" s="67">
        <f t="shared" si="437"/>
        <v>149.75529736342892</v>
      </c>
      <c r="U482" s="67">
        <f t="shared" si="438"/>
        <v>1.56411871705828</v>
      </c>
      <c r="V482" t="str">
        <f t="shared" si="426"/>
        <v>1-15.4688836300423i</v>
      </c>
      <c r="W482" s="67">
        <f t="shared" si="439"/>
        <v>15.501172883359201</v>
      </c>
      <c r="X482" s="67">
        <f t="shared" si="440"/>
        <v>-1.5062402492270712</v>
      </c>
      <c r="Y482" t="str">
        <f t="shared" si="427"/>
        <v>-44.0996619636272+23.9108039380542i</v>
      </c>
      <c r="Z482" s="67">
        <f t="shared" si="441"/>
        <v>50.164795726388199</v>
      </c>
      <c r="AA482" s="67">
        <f t="shared" si="442"/>
        <v>2.6447582177125319</v>
      </c>
      <c r="AB482" s="92" t="str">
        <f t="shared" si="443"/>
        <v>-0.0305174320766255+0.0492513821666627i</v>
      </c>
      <c r="AC482" s="37">
        <f t="shared" si="444"/>
        <v>-24.740470667456833</v>
      </c>
      <c r="AD482" s="60">
        <f t="shared" si="445"/>
        <v>121.78342752048113</v>
      </c>
      <c r="AE482" t="str">
        <f t="shared" si="446"/>
        <v>118.329284003155</v>
      </c>
      <c r="AF482" t="str">
        <f t="shared" si="428"/>
        <v>1+63724.2376792147i</v>
      </c>
      <c r="AG482">
        <f t="shared" si="447"/>
        <v>63724.237687061002</v>
      </c>
      <c r="AH482">
        <f t="shared" si="448"/>
        <v>1.5707806341787691</v>
      </c>
      <c r="AI482" t="str">
        <f t="shared" si="429"/>
        <v>1+149.751958546154i</v>
      </c>
      <c r="AJ482">
        <f t="shared" si="449"/>
        <v>149.75529736342892</v>
      </c>
      <c r="AK482">
        <f t="shared" si="450"/>
        <v>1.56411871705828</v>
      </c>
      <c r="AL482" t="str">
        <f t="shared" si="430"/>
        <v>1-10.4300674468875i</v>
      </c>
      <c r="AM482">
        <f t="shared" si="451"/>
        <v>10.477896112608786</v>
      </c>
      <c r="AN482">
        <f t="shared" si="452"/>
        <v>-1.4752118367065321</v>
      </c>
      <c r="AO482" s="58" t="str">
        <f t="shared" si="453"/>
        <v>0.258751809386121-2.90218150631064i</v>
      </c>
      <c r="AP482">
        <f t="shared" si="454"/>
        <v>9.2888773957769573</v>
      </c>
      <c r="AQ482" s="60">
        <f t="shared" si="455"/>
        <v>-84.90511186549665</v>
      </c>
      <c r="AR482" t="str">
        <f t="shared" si="431"/>
        <v>-1.94444444444444</v>
      </c>
      <c r="AS482" t="str">
        <f t="shared" si="432"/>
        <v>1+153.59175235503i</v>
      </c>
      <c r="AT482">
        <f t="shared" si="456"/>
        <v>153.59500770366483</v>
      </c>
      <c r="AU482">
        <f t="shared" si="457"/>
        <v>1.5642856525236499</v>
      </c>
      <c r="AV482" t="str">
        <f t="shared" si="433"/>
        <v>1+153.59175235503i</v>
      </c>
      <c r="AW482">
        <f t="shared" si="458"/>
        <v>153.59500770366483</v>
      </c>
      <c r="AX482">
        <f t="shared" si="459"/>
        <v>1.5642856525236499</v>
      </c>
      <c r="AY482" t="str">
        <f t="shared" si="434"/>
        <v>1-0.0000138526941834088i</v>
      </c>
      <c r="AZ482">
        <f t="shared" si="460"/>
        <v>1.0000000000959486</v>
      </c>
      <c r="BA482">
        <f t="shared" si="461"/>
        <v>-1.3852694182522702E-5</v>
      </c>
      <c r="BB482" s="58" t="str">
        <f t="shared" si="462"/>
        <v>-0.000082246291360543+0.0126592878090137i</v>
      </c>
      <c r="BC482">
        <f t="shared" si="463"/>
        <v>-37.951631215378576</v>
      </c>
      <c r="BD482" s="60">
        <f t="shared" si="464"/>
        <v>90.372240456615287</v>
      </c>
      <c r="BE482" s="58" t="str">
        <f t="shared" si="465"/>
        <v>-0.000620977476229358-0.000390379699377618i</v>
      </c>
      <c r="BF482" s="37">
        <f t="shared" si="466"/>
        <v>-62.692101882835409</v>
      </c>
      <c r="BG482" s="60">
        <f t="shared" si="467"/>
        <v>-147.84433202290353</v>
      </c>
      <c r="BH482" s="58" t="str">
        <f t="shared" si="468"/>
        <v>0.0367182695856785+0.00351430729187116i</v>
      </c>
      <c r="BI482" s="37">
        <f t="shared" si="469"/>
        <v>-28.662753819601612</v>
      </c>
      <c r="BJ482" s="60">
        <f t="shared" si="470"/>
        <v>5.4671285911186454</v>
      </c>
      <c r="BK482">
        <f t="shared" si="471"/>
        <v>-62.692101882835409</v>
      </c>
      <c r="BL482" s="60">
        <f t="shared" si="472"/>
        <v>-147.84433202290353</v>
      </c>
      <c r="BN482">
        <f t="shared" si="473"/>
        <v>0</v>
      </c>
      <c r="BO482">
        <f t="shared" si="474"/>
        <v>0</v>
      </c>
    </row>
    <row r="483" spans="13:67" ht="14.25" x14ac:dyDescent="0.2">
      <c r="M483" s="66">
        <v>65</v>
      </c>
      <c r="N483" s="36">
        <f t="shared" si="422"/>
        <v>446683.59215096442</v>
      </c>
      <c r="O483" s="91" t="str">
        <f t="shared" si="423"/>
        <v>99.7340425531915</v>
      </c>
      <c r="P483" s="67" t="str">
        <f t="shared" si="424"/>
        <v>1+81510.7073194672i</v>
      </c>
      <c r="Q483" s="67">
        <f t="shared" si="435"/>
        <v>81510.707325601354</v>
      </c>
      <c r="R483" s="67">
        <f t="shared" si="436"/>
        <v>1.570784058468037</v>
      </c>
      <c r="S483" s="67" t="str">
        <f t="shared" si="425"/>
        <v>1+153.240129760598i</v>
      </c>
      <c r="T483" s="67">
        <f t="shared" si="437"/>
        <v>153.24339257875005</v>
      </c>
      <c r="U483" s="67">
        <f t="shared" si="438"/>
        <v>1.5642707136478728</v>
      </c>
      <c r="V483" t="str">
        <f t="shared" si="426"/>
        <v>1-15.8292002170288i</v>
      </c>
      <c r="W483" s="67">
        <f t="shared" si="439"/>
        <v>15.860755956472714</v>
      </c>
      <c r="X483" s="67">
        <f t="shared" si="440"/>
        <v>-1.50770578346114</v>
      </c>
      <c r="Y483" t="str">
        <f t="shared" si="427"/>
        <v>-46.2251435495596+24.46775810961i</v>
      </c>
      <c r="Z483" s="67">
        <f t="shared" si="441"/>
        <v>52.301387009215894</v>
      </c>
      <c r="AA483" s="67">
        <f t="shared" si="442"/>
        <v>2.6547673793596624</v>
      </c>
      <c r="AB483" s="92" t="str">
        <f t="shared" si="443"/>
        <v>-0.0294005099901052+0.0486711734758209i</v>
      </c>
      <c r="AC483" s="37">
        <f t="shared" si="444"/>
        <v>-24.903576089019165</v>
      </c>
      <c r="AD483" s="60">
        <f t="shared" si="445"/>
        <v>121.13466826518807</v>
      </c>
      <c r="AE483" t="str">
        <f t="shared" si="446"/>
        <v>118.329284003155</v>
      </c>
      <c r="AF483" t="str">
        <f t="shared" si="428"/>
        <v>1+65208.5658555738i</v>
      </c>
      <c r="AG483">
        <f t="shared" si="447"/>
        <v>65208.565863241492</v>
      </c>
      <c r="AH483">
        <f t="shared" si="448"/>
        <v>1.5707809913863227</v>
      </c>
      <c r="AI483" t="str">
        <f t="shared" si="429"/>
        <v>1+153.240129760598i</v>
      </c>
      <c r="AJ483">
        <f t="shared" si="449"/>
        <v>153.24339257875005</v>
      </c>
      <c r="AK483">
        <f t="shared" si="450"/>
        <v>1.5642707136478728</v>
      </c>
      <c r="AL483" t="str">
        <f t="shared" si="430"/>
        <v>1-10.6730149274156i</v>
      </c>
      <c r="AM483">
        <f t="shared" si="451"/>
        <v>10.719759682046806</v>
      </c>
      <c r="AN483">
        <f t="shared" si="452"/>
        <v>-1.4773748221700309</v>
      </c>
      <c r="AO483" s="58" t="str">
        <f t="shared" si="453"/>
        <v>0.258751808077494-2.96969666396467i</v>
      </c>
      <c r="AP483">
        <f t="shared" si="454"/>
        <v>9.4870879043406049</v>
      </c>
      <c r="AQ483" s="60">
        <f t="shared" si="455"/>
        <v>-85.020353507104431</v>
      </c>
      <c r="AR483" t="str">
        <f t="shared" si="431"/>
        <v>-1.94444444444444</v>
      </c>
      <c r="AS483" t="str">
        <f t="shared" si="432"/>
        <v>1+157.169363857023i</v>
      </c>
      <c r="AT483">
        <f t="shared" si="456"/>
        <v>157.17254510639347</v>
      </c>
      <c r="AU483">
        <f t="shared" si="457"/>
        <v>1.5644338495174066</v>
      </c>
      <c r="AV483" t="str">
        <f t="shared" si="433"/>
        <v>1+157.169363857023i</v>
      </c>
      <c r="AW483">
        <f t="shared" si="458"/>
        <v>157.17254510639347</v>
      </c>
      <c r="AX483">
        <f t="shared" si="459"/>
        <v>1.5644338495174066</v>
      </c>
      <c r="AY483" t="str">
        <f t="shared" si="434"/>
        <v>1-0.0000135373683665451i</v>
      </c>
      <c r="AZ483">
        <f t="shared" si="460"/>
        <v>1.0000000000916303</v>
      </c>
      <c r="BA483">
        <f t="shared" si="461"/>
        <v>-1.3537368365718145E-5</v>
      </c>
      <c r="BB483" s="58" t="str">
        <f t="shared" si="462"/>
        <v>-0.0000785447483237188+0.0123711507890616i</v>
      </c>
      <c r="BC483">
        <f t="shared" si="463"/>
        <v>-38.151622929994979</v>
      </c>
      <c r="BD483" s="60">
        <f t="shared" si="464"/>
        <v>90.363767461175001</v>
      </c>
      <c r="BE483" s="58" t="str">
        <f t="shared" si="465"/>
        <v>-0.000599809170492194-0.000367541007434182i</v>
      </c>
      <c r="BF483" s="37">
        <f t="shared" si="466"/>
        <v>-63.05519901901414</v>
      </c>
      <c r="BG483" s="60">
        <f t="shared" si="467"/>
        <v>-148.50156427363692</v>
      </c>
      <c r="BH483" s="58" t="str">
        <f t="shared" si="468"/>
        <v>0.0367182416320364+0.0034343117117379i</v>
      </c>
      <c r="BI483" s="37">
        <f t="shared" si="469"/>
        <v>-28.664535025654374</v>
      </c>
      <c r="BJ483" s="60">
        <f t="shared" si="470"/>
        <v>5.3434139540705701</v>
      </c>
      <c r="BK483">
        <f t="shared" si="471"/>
        <v>-63.05519901901414</v>
      </c>
      <c r="BL483" s="60">
        <f t="shared" si="472"/>
        <v>-148.50156427363692</v>
      </c>
      <c r="BN483">
        <f t="shared" si="473"/>
        <v>0</v>
      </c>
      <c r="BO483">
        <f t="shared" si="474"/>
        <v>0</v>
      </c>
    </row>
    <row r="484" spans="13:67" ht="14.25" x14ac:dyDescent="0.2">
      <c r="M484" s="66">
        <v>66</v>
      </c>
      <c r="N484" s="36">
        <f t="shared" ref="N484:N518" si="475">10^(5+(M484/100))</f>
        <v>457088.18961487547</v>
      </c>
      <c r="O484" s="91" t="str">
        <f t="shared" si="423"/>
        <v>99.7340425531915</v>
      </c>
      <c r="P484" s="67" t="str">
        <f t="shared" si="424"/>
        <v>1+83409.3355958581i</v>
      </c>
      <c r="Q484" s="67">
        <f t="shared" si="435"/>
        <v>83409.335601852625</v>
      </c>
      <c r="R484" s="67">
        <f t="shared" si="436"/>
        <v>1.5707843377292505</v>
      </c>
      <c r="S484" s="67" t="str">
        <f t="shared" si="425"/>
        <v>1+156.809550920213i</v>
      </c>
      <c r="T484" s="67">
        <f t="shared" si="437"/>
        <v>156.81273946908422</v>
      </c>
      <c r="U484" s="67">
        <f t="shared" si="438"/>
        <v>1.5644192506640424</v>
      </c>
      <c r="V484" t="str">
        <f t="shared" si="426"/>
        <v>1-16.1979096554946i</v>
      </c>
      <c r="W484" s="67">
        <f t="shared" si="439"/>
        <v>16.228748479398071</v>
      </c>
      <c r="X484" s="67">
        <f t="shared" si="440"/>
        <v>-1.5091382203325252</v>
      </c>
      <c r="Y484" t="str">
        <f t="shared" si="427"/>
        <v>-48.4507959965454+25.0376854103844i</v>
      </c>
      <c r="Z484" s="67">
        <f t="shared" si="441"/>
        <v>54.537742192065807</v>
      </c>
      <c r="AA484" s="67">
        <f t="shared" si="442"/>
        <v>2.6646230145611356</v>
      </c>
      <c r="AB484" s="92" t="str">
        <f t="shared" si="443"/>
        <v>-0.0283152613341014+0.048076674669657i</v>
      </c>
      <c r="AC484" s="37">
        <f t="shared" si="444"/>
        <v>-25.06804044739178</v>
      </c>
      <c r="AD484" s="60">
        <f t="shared" si="445"/>
        <v>120.49640392021287</v>
      </c>
      <c r="AE484" t="str">
        <f t="shared" si="446"/>
        <v>118.329284003155</v>
      </c>
      <c r="AF484" t="str">
        <f t="shared" si="428"/>
        <v>1+66727.4684766865i</v>
      </c>
      <c r="AG484">
        <f t="shared" si="447"/>
        <v>66727.468484179655</v>
      </c>
      <c r="AH484">
        <f t="shared" si="448"/>
        <v>1.5707813404628395</v>
      </c>
      <c r="AI484" t="str">
        <f t="shared" si="429"/>
        <v>1+156.809550920213i</v>
      </c>
      <c r="AJ484">
        <f t="shared" si="449"/>
        <v>156.81273946908422</v>
      </c>
      <c r="AK484">
        <f t="shared" si="450"/>
        <v>1.5644192506640424</v>
      </c>
      <c r="AL484" t="str">
        <f t="shared" si="430"/>
        <v>1-10.9216213817323i</v>
      </c>
      <c r="AM484">
        <f t="shared" si="451"/>
        <v>10.967306579370897</v>
      </c>
      <c r="AN484">
        <f t="shared" si="452"/>
        <v>-1.4794894195512263</v>
      </c>
      <c r="AO484" s="58" t="str">
        <f t="shared" si="453"/>
        <v>0.258751806827764-3.03878639409853i</v>
      </c>
      <c r="AP484">
        <f t="shared" si="454"/>
        <v>9.6853782713677301</v>
      </c>
      <c r="AQ484" s="60">
        <f t="shared" si="455"/>
        <v>-85.133020468899517</v>
      </c>
      <c r="AR484" t="str">
        <f t="shared" si="431"/>
        <v>-1.94444444444444</v>
      </c>
      <c r="AS484" t="str">
        <f t="shared" si="432"/>
        <v>1+160.830308636116i</v>
      </c>
      <c r="AT484">
        <f t="shared" si="456"/>
        <v>160.833417472826</v>
      </c>
      <c r="AU484">
        <f t="shared" si="457"/>
        <v>1.5645786734057912</v>
      </c>
      <c r="AV484" t="str">
        <f t="shared" si="433"/>
        <v>1+160.830308636116i</v>
      </c>
      <c r="AW484">
        <f t="shared" si="458"/>
        <v>160.833417472826</v>
      </c>
      <c r="AX484">
        <f t="shared" si="459"/>
        <v>1.5645786734057912</v>
      </c>
      <c r="AY484" t="str">
        <f t="shared" si="434"/>
        <v>1-0.0000132292202415776i</v>
      </c>
      <c r="AZ484">
        <f t="shared" si="460"/>
        <v>1.000000000087506</v>
      </c>
      <c r="BA484">
        <f t="shared" si="461"/>
        <v>-1.3229220240805841E-5</v>
      </c>
      <c r="BB484" s="58" t="str">
        <f t="shared" si="462"/>
        <v>-0.0000750097889823414+0.012089570996563i</v>
      </c>
      <c r="BC484">
        <f t="shared" si="463"/>
        <v>-38.351615017500336</v>
      </c>
      <c r="BD484" s="60">
        <f t="shared" si="464"/>
        <v>90.355487319184903</v>
      </c>
      <c r="BE484" s="58" t="str">
        <f t="shared" si="465"/>
        <v>-0.00057910244991983-0.000345925583406798i</v>
      </c>
      <c r="BF484" s="37">
        <f t="shared" si="466"/>
        <v>-63.419655464892116</v>
      </c>
      <c r="BG484" s="60">
        <f t="shared" si="467"/>
        <v>-149.14810876060221</v>
      </c>
      <c r="BH484" s="58" t="str">
        <f t="shared" si="468"/>
        <v>0.0367182149364149+0.00335613706531695i</v>
      </c>
      <c r="BI484" s="37">
        <f t="shared" si="469"/>
        <v>-28.666236746132604</v>
      </c>
      <c r="BJ484" s="60">
        <f t="shared" si="470"/>
        <v>5.2224668502854064</v>
      </c>
      <c r="BK484">
        <f t="shared" si="471"/>
        <v>-63.419655464892116</v>
      </c>
      <c r="BL484" s="60">
        <f t="shared" si="472"/>
        <v>-149.14810876060221</v>
      </c>
      <c r="BN484">
        <f t="shared" si="473"/>
        <v>0</v>
      </c>
      <c r="BO484">
        <f t="shared" si="474"/>
        <v>0</v>
      </c>
    </row>
    <row r="485" spans="13:67" ht="14.25" x14ac:dyDescent="0.2">
      <c r="M485" s="66">
        <v>67</v>
      </c>
      <c r="N485" s="36">
        <f t="shared" si="475"/>
        <v>467735.14128719864</v>
      </c>
      <c r="O485" s="91" t="str">
        <f t="shared" si="423"/>
        <v>99.7340425531915</v>
      </c>
      <c r="P485" s="67" t="str">
        <f t="shared" si="424"/>
        <v>1+85352.1886060352i</v>
      </c>
      <c r="Q485" s="67">
        <f t="shared" si="435"/>
        <v>85352.188611893274</v>
      </c>
      <c r="R485" s="67">
        <f t="shared" si="436"/>
        <v>1.5707846106337029</v>
      </c>
      <c r="S485" s="67" t="str">
        <f t="shared" si="425"/>
        <v>1+160.462114579346i</v>
      </c>
      <c r="T485" s="67">
        <f t="shared" si="437"/>
        <v>160.46523054940957</v>
      </c>
      <c r="U485" s="67">
        <f t="shared" si="438"/>
        <v>1.5645644068368481</v>
      </c>
      <c r="V485" t="str">
        <f t="shared" si="426"/>
        <v>1-16.5752074400643i</v>
      </c>
      <c r="W485" s="67">
        <f t="shared" si="439"/>
        <v>16.605345575481497</v>
      </c>
      <c r="X485" s="67">
        <f t="shared" si="440"/>
        <v>-1.5105382958114932</v>
      </c>
      <c r="Y485" t="str">
        <f t="shared" si="427"/>
        <v>-50.7813402118237+25.6208880233764i</v>
      </c>
      <c r="Z485" s="67">
        <f t="shared" si="441"/>
        <v>56.878593660667931</v>
      </c>
      <c r="AA485" s="67">
        <f t="shared" si="442"/>
        <v>2.6743248141689073</v>
      </c>
      <c r="AB485" s="92" t="str">
        <f t="shared" si="443"/>
        <v>-0.0272614703557911+0.0474693033986676i</v>
      </c>
      <c r="AC485" s="37">
        <f t="shared" si="444"/>
        <v>-25.23382452457107</v>
      </c>
      <c r="AD485" s="60">
        <f t="shared" si="445"/>
        <v>119.86861453285994</v>
      </c>
      <c r="AE485" t="str">
        <f t="shared" si="446"/>
        <v>118.329284003155</v>
      </c>
      <c r="AF485" t="str">
        <f t="shared" si="428"/>
        <v>1+68281.7508848282i</v>
      </c>
      <c r="AG485">
        <f t="shared" si="447"/>
        <v>68281.750892150798</v>
      </c>
      <c r="AH485">
        <f t="shared" si="448"/>
        <v>1.5707816815934048</v>
      </c>
      <c r="AI485" t="str">
        <f t="shared" si="429"/>
        <v>1+160.462114579346i</v>
      </c>
      <c r="AJ485">
        <f t="shared" si="449"/>
        <v>160.46523054940957</v>
      </c>
      <c r="AK485">
        <f t="shared" si="450"/>
        <v>1.5645644068368481</v>
      </c>
      <c r="AL485" t="str">
        <f t="shared" si="430"/>
        <v>1-11.1760186242703i</v>
      </c>
      <c r="AM485">
        <f t="shared" si="451"/>
        <v>11.220668085726295</v>
      </c>
      <c r="AN485">
        <f t="shared" si="452"/>
        <v>-1.4815566743521231</v>
      </c>
      <c r="AO485" s="58" t="str">
        <f t="shared" si="453"/>
        <v>0.25875180563428-3.1094873290016i</v>
      </c>
      <c r="AP485">
        <f t="shared" si="454"/>
        <v>9.8837449621489313</v>
      </c>
      <c r="AQ485" s="60">
        <f t="shared" si="455"/>
        <v>-85.243168153438674</v>
      </c>
      <c r="AR485" t="str">
        <f t="shared" si="431"/>
        <v>-1.94444444444444</v>
      </c>
      <c r="AS485" t="str">
        <f t="shared" si="432"/>
        <v>1+164.576527773688i</v>
      </c>
      <c r="AT485">
        <f t="shared" si="456"/>
        <v>164.57956584595641</v>
      </c>
      <c r="AU485">
        <f t="shared" si="457"/>
        <v>1.564720200952032</v>
      </c>
      <c r="AV485" t="str">
        <f t="shared" si="433"/>
        <v>1+164.576527773688i</v>
      </c>
      <c r="AW485">
        <f t="shared" si="458"/>
        <v>164.57956584595641</v>
      </c>
      <c r="AX485">
        <f t="shared" si="459"/>
        <v>1.564720200952032</v>
      </c>
      <c r="AY485" t="str">
        <f t="shared" si="434"/>
        <v>1-0.0000129280864242917i</v>
      </c>
      <c r="AZ485">
        <f t="shared" si="460"/>
        <v>1.0000000000835678</v>
      </c>
      <c r="BA485">
        <f t="shared" si="461"/>
        <v>-1.2928086423571452E-5</v>
      </c>
      <c r="BB485" s="58" t="str">
        <f t="shared" si="462"/>
        <v>-0.0000716339169950848+0.0118143992757046i</v>
      </c>
      <c r="BC485">
        <f t="shared" si="463"/>
        <v>-38.551607461113193</v>
      </c>
      <c r="BD485" s="60">
        <f t="shared" si="464"/>
        <v>90.347395641797249</v>
      </c>
      <c r="BE485" s="58" t="str">
        <f t="shared" si="465"/>
        <v>-0.00055886845778679-0.000325478307765575i</v>
      </c>
      <c r="BF485" s="37">
        <f t="shared" si="466"/>
        <v>-63.785431985684262</v>
      </c>
      <c r="BG485" s="60">
        <f t="shared" si="467"/>
        <v>-149.78398982534284</v>
      </c>
      <c r="BH485" s="58" t="str">
        <f t="shared" si="468"/>
        <v>0.036718189442202+0.00327974190229586i</v>
      </c>
      <c r="BI485" s="37">
        <f t="shared" si="469"/>
        <v>-28.667862498964265</v>
      </c>
      <c r="BJ485" s="60">
        <f t="shared" si="470"/>
        <v>5.1042274883585872</v>
      </c>
      <c r="BK485">
        <f t="shared" si="471"/>
        <v>-63.785431985684262</v>
      </c>
      <c r="BL485" s="60">
        <f t="shared" si="472"/>
        <v>-149.78398982534284</v>
      </c>
      <c r="BN485">
        <f t="shared" si="473"/>
        <v>0</v>
      </c>
      <c r="BO485">
        <f t="shared" si="474"/>
        <v>0</v>
      </c>
    </row>
    <row r="486" spans="13:67" ht="14.25" x14ac:dyDescent="0.2">
      <c r="M486" s="66">
        <v>68</v>
      </c>
      <c r="N486" s="36">
        <f t="shared" si="475"/>
        <v>478630.09232263872</v>
      </c>
      <c r="O486" s="91" t="str">
        <f t="shared" si="423"/>
        <v>99.7340425531915</v>
      </c>
      <c r="P486" s="67" t="str">
        <f t="shared" si="424"/>
        <v>1+87340.2964763811i</v>
      </c>
      <c r="Q486" s="67">
        <f t="shared" si="435"/>
        <v>87340.296482105827</v>
      </c>
      <c r="R486" s="67">
        <f t="shared" si="436"/>
        <v>1.5707848773260913</v>
      </c>
      <c r="S486" s="67" t="str">
        <f t="shared" si="425"/>
        <v>1+164.199757375596i</v>
      </c>
      <c r="T486" s="67">
        <f t="shared" si="437"/>
        <v>164.20280241885212</v>
      </c>
      <c r="U486" s="67">
        <f t="shared" si="438"/>
        <v>1.5647062591055321</v>
      </c>
      <c r="V486" t="str">
        <f t="shared" si="426"/>
        <v>1-16.9612936190177i</v>
      </c>
      <c r="W486" s="67">
        <f t="shared" si="439"/>
        <v>16.9907469297418</v>
      </c>
      <c r="X486" s="67">
        <f t="shared" si="440"/>
        <v>-1.5119067302686473</v>
      </c>
      <c r="Y486" t="str">
        <f t="shared" si="427"/>
        <v>-53.2217195921367+26.217675170331i</v>
      </c>
      <c r="Z486" s="67">
        <f t="shared" si="441"/>
        <v>59.328896228406421</v>
      </c>
      <c r="AA486" s="67">
        <f t="shared" si="442"/>
        <v>2.6838726296635786</v>
      </c>
      <c r="AB486" s="92" t="str">
        <f t="shared" si="443"/>
        <v>-0.0262388673283965+0.0468504296477553i</v>
      </c>
      <c r="AC486" s="37">
        <f t="shared" si="444"/>
        <v>-25.400889430726078</v>
      </c>
      <c r="AD486" s="60">
        <f t="shared" si="445"/>
        <v>119.25127173847213</v>
      </c>
      <c r="AE486" t="str">
        <f t="shared" si="446"/>
        <v>118.329284003155</v>
      </c>
      <c r="AF486" t="str">
        <f t="shared" si="428"/>
        <v>1+69872.2371811049i</v>
      </c>
      <c r="AG486">
        <f t="shared" si="447"/>
        <v>69872.237188260813</v>
      </c>
      <c r="AH486">
        <f t="shared" si="448"/>
        <v>1.5707820149588902</v>
      </c>
      <c r="AI486" t="str">
        <f t="shared" si="429"/>
        <v>1+164.199757375596i</v>
      </c>
      <c r="AJ486">
        <f t="shared" si="449"/>
        <v>164.20280241885212</v>
      </c>
      <c r="AK486">
        <f t="shared" si="450"/>
        <v>1.5647062591055321</v>
      </c>
      <c r="AL486" t="str">
        <f t="shared" si="430"/>
        <v>1-11.436341539815i</v>
      </c>
      <c r="AM486">
        <f t="shared" si="451"/>
        <v>11.479978563364051</v>
      </c>
      <c r="AN486">
        <f t="shared" si="452"/>
        <v>-1.4835776119434805</v>
      </c>
      <c r="AO486" s="58" t="str">
        <f t="shared" si="453"/>
        <v>0.258751804494512-3.18183695524546i</v>
      </c>
      <c r="AP486">
        <f t="shared" si="454"/>
        <v>10.082184595889112</v>
      </c>
      <c r="AQ486" s="60">
        <f t="shared" si="455"/>
        <v>-85.350850912208202</v>
      </c>
      <c r="AR486" t="str">
        <f t="shared" si="431"/>
        <v>-1.94444444444444</v>
      </c>
      <c r="AS486" t="str">
        <f t="shared" si="432"/>
        <v>1+168.410007564714i</v>
      </c>
      <c r="AT486">
        <f t="shared" si="456"/>
        <v>168.41297648324795</v>
      </c>
      <c r="AU486">
        <f t="shared" si="457"/>
        <v>1.5648585071732164</v>
      </c>
      <c r="AV486" t="str">
        <f t="shared" si="433"/>
        <v>1+168.410007564714i</v>
      </c>
      <c r="AW486">
        <f t="shared" si="458"/>
        <v>168.41297648324795</v>
      </c>
      <c r="AX486">
        <f t="shared" si="459"/>
        <v>1.5648585071732164</v>
      </c>
      <c r="AY486" t="str">
        <f t="shared" si="434"/>
        <v>1-0.0000126338072495514i</v>
      </c>
      <c r="AZ486">
        <f t="shared" si="460"/>
        <v>1.0000000000798064</v>
      </c>
      <c r="BA486">
        <f t="shared" si="461"/>
        <v>-1.2633807248879227E-5</v>
      </c>
      <c r="BB486" s="58" t="str">
        <f t="shared" si="462"/>
        <v>-0.0000684099733094979+0.011545489858873i</v>
      </c>
      <c r="BC486">
        <f t="shared" si="463"/>
        <v>-38.751600244807157</v>
      </c>
      <c r="BD486" s="60">
        <f t="shared" si="464"/>
        <v>90.339488139997698</v>
      </c>
      <c r="BE486" s="58" t="str">
        <f t="shared" si="465"/>
        <v>-0.000539116160168395-0.000306145613290057i</v>
      </c>
      <c r="BF486" s="37">
        <f t="shared" si="466"/>
        <v>-64.152489675533232</v>
      </c>
      <c r="BG486" s="60">
        <f t="shared" si="467"/>
        <v>-150.40924012153022</v>
      </c>
      <c r="BH486" s="58" t="str">
        <f t="shared" si="468"/>
        <v>0.0367181650953345+0.00320508571593999i</v>
      </c>
      <c r="BI486" s="37">
        <f t="shared" si="469"/>
        <v>-28.669415648918054</v>
      </c>
      <c r="BJ486" s="60">
        <f t="shared" si="470"/>
        <v>4.9886372277895106</v>
      </c>
      <c r="BK486">
        <f t="shared" si="471"/>
        <v>-64.152489675533232</v>
      </c>
      <c r="BL486" s="60">
        <f t="shared" si="472"/>
        <v>-150.40924012153022</v>
      </c>
      <c r="BN486">
        <f t="shared" si="473"/>
        <v>0</v>
      </c>
      <c r="BO486">
        <f t="shared" si="474"/>
        <v>0</v>
      </c>
    </row>
    <row r="487" spans="13:67" ht="14.25" x14ac:dyDescent="0.2">
      <c r="M487" s="66">
        <v>69</v>
      </c>
      <c r="N487" s="36">
        <f t="shared" si="475"/>
        <v>489778.81936844654</v>
      </c>
      <c r="O487" s="91" t="str">
        <f t="shared" si="423"/>
        <v>99.7340425531915</v>
      </c>
      <c r="P487" s="67" t="str">
        <f t="shared" si="424"/>
        <v>1+89374.7133280043i</v>
      </c>
      <c r="Q487" s="67">
        <f t="shared" si="435"/>
        <v>89374.713333598746</v>
      </c>
      <c r="R487" s="67">
        <f t="shared" si="436"/>
        <v>1.5707851379478199</v>
      </c>
      <c r="S487" s="67" t="str">
        <f t="shared" si="425"/>
        <v>1+168.024461056648i</v>
      </c>
      <c r="T487" s="67">
        <f t="shared" si="437"/>
        <v>168.02743678749914</v>
      </c>
      <c r="U487" s="67">
        <f t="shared" si="438"/>
        <v>1.564844882659197</v>
      </c>
      <c r="V487" t="str">
        <f t="shared" si="426"/>
        <v>1-17.3563729003571i</v>
      </c>
      <c r="W487" s="67">
        <f t="shared" si="439"/>
        <v>17.385156894783847</v>
      </c>
      <c r="X487" s="67">
        <f t="shared" si="440"/>
        <v>-1.5132442287540804</v>
      </c>
      <c r="Y487" t="str">
        <f t="shared" si="427"/>
        <v>-55.7771105093372+26.8283632756929i</v>
      </c>
      <c r="Z487" s="67">
        <f t="shared" si="441"/>
        <v>61.893837599743001</v>
      </c>
      <c r="AA487" s="67">
        <f t="shared" si="442"/>
        <v>2.6932664670711426</v>
      </c>
      <c r="AB487" s="92" t="str">
        <f t="shared" si="443"/>
        <v>-0.0252471327148729+0.0462213742245101i</v>
      </c>
      <c r="AC487" s="37">
        <f t="shared" si="444"/>
        <v>-25.569196666071328</v>
      </c>
      <c r="AD487" s="60">
        <f t="shared" si="445"/>
        <v>118.64433909530716</v>
      </c>
      <c r="AE487" t="str">
        <f t="shared" si="446"/>
        <v>118.329284003155</v>
      </c>
      <c r="AF487" t="str">
        <f t="shared" si="428"/>
        <v>1+71499.7706624035i</v>
      </c>
      <c r="AG487">
        <f t="shared" si="447"/>
        <v>71499.77066939653</v>
      </c>
      <c r="AH487">
        <f t="shared" si="448"/>
        <v>1.5707823407360511</v>
      </c>
      <c r="AI487" t="str">
        <f t="shared" si="429"/>
        <v>1+168.024461056648i</v>
      </c>
      <c r="AJ487">
        <f t="shared" si="449"/>
        <v>168.02743678749914</v>
      </c>
      <c r="AK487">
        <f t="shared" si="450"/>
        <v>1.564844882659197</v>
      </c>
      <c r="AL487" t="str">
        <f t="shared" si="430"/>
        <v>1-11.702728155022i</v>
      </c>
      <c r="AM487">
        <f t="shared" si="451"/>
        <v>11.745375527004006</v>
      </c>
      <c r="AN487">
        <f t="shared" si="452"/>
        <v>-1.485553237785449</v>
      </c>
      <c r="AO487" s="58" t="str">
        <f t="shared" si="453"/>
        <v>0.258751803406043-3.25587363355958i</v>
      </c>
      <c r="AP487">
        <f t="shared" si="454"/>
        <v>10.280693939226992</v>
      </c>
      <c r="AQ487" s="60">
        <f t="shared" si="455"/>
        <v>-85.456122055940241</v>
      </c>
      <c r="AR487" t="str">
        <f t="shared" si="431"/>
        <v>-1.94444444444444</v>
      </c>
      <c r="AS487" t="str">
        <f t="shared" si="432"/>
        <v>1+172.332780570921i</v>
      </c>
      <c r="AT487">
        <f t="shared" si="456"/>
        <v>172.33568190976933</v>
      </c>
      <c r="AU487">
        <f t="shared" si="457"/>
        <v>1.5649936653799561</v>
      </c>
      <c r="AV487" t="str">
        <f t="shared" si="433"/>
        <v>1+172.332780570921i</v>
      </c>
      <c r="AW487">
        <f t="shared" si="458"/>
        <v>172.33568190976933</v>
      </c>
      <c r="AX487">
        <f t="shared" si="459"/>
        <v>1.5649936653799561</v>
      </c>
      <c r="AY487" t="str">
        <f t="shared" si="434"/>
        <v>1-0.0000123462266866429i</v>
      </c>
      <c r="AZ487">
        <f t="shared" si="460"/>
        <v>1.0000000000762146</v>
      </c>
      <c r="BA487">
        <f t="shared" si="461"/>
        <v>-1.2346226686015591E-5</v>
      </c>
      <c r="BB487" s="58" t="str">
        <f t="shared" si="462"/>
        <v>-0.0000653311209904871+0.0112827002899966i</v>
      </c>
      <c r="BC487">
        <f t="shared" si="463"/>
        <v>-38.951593353277239</v>
      </c>
      <c r="BD487" s="60">
        <f t="shared" si="464"/>
        <v>90.331760622337484</v>
      </c>
      <c r="BE487" s="58" t="str">
        <f t="shared" si="465"/>
        <v>-0.000519852488884863-0.000287875525795487i</v>
      </c>
      <c r="BF487" s="37">
        <f t="shared" si="466"/>
        <v>-64.520790019348567</v>
      </c>
      <c r="BG487" s="60">
        <f t="shared" si="467"/>
        <v>-151.02390028235533</v>
      </c>
      <c r="BH487" s="58" t="str">
        <f t="shared" si="468"/>
        <v>0.0367181418441801+0.00313212892161032i</v>
      </c>
      <c r="BI487" s="37">
        <f t="shared" si="469"/>
        <v>-28.670899414050254</v>
      </c>
      <c r="BJ487" s="60">
        <f t="shared" si="470"/>
        <v>4.8756385663972441</v>
      </c>
      <c r="BK487">
        <f t="shared" si="471"/>
        <v>-64.520790019348567</v>
      </c>
      <c r="BL487" s="60">
        <f t="shared" si="472"/>
        <v>-151.02390028235533</v>
      </c>
      <c r="BN487">
        <f t="shared" si="473"/>
        <v>0</v>
      </c>
      <c r="BO487">
        <f t="shared" si="474"/>
        <v>0</v>
      </c>
    </row>
    <row r="488" spans="13:67" ht="14.25" x14ac:dyDescent="0.2">
      <c r="M488" s="66">
        <v>70</v>
      </c>
      <c r="N488" s="36">
        <f t="shared" si="475"/>
        <v>501187.23362727347</v>
      </c>
      <c r="O488" s="91" t="str">
        <f t="shared" si="423"/>
        <v>99.7340425531915</v>
      </c>
      <c r="P488" s="67" t="str">
        <f t="shared" si="424"/>
        <v>1+91456.5178356483i</v>
      </c>
      <c r="Q488" s="67">
        <f t="shared" si="435"/>
        <v>91456.517841115376</v>
      </c>
      <c r="R488" s="67">
        <f t="shared" si="436"/>
        <v>1.5707853926370736</v>
      </c>
      <c r="S488" s="67" t="str">
        <f t="shared" si="425"/>
        <v>1+171.938253531019i</v>
      </c>
      <c r="T488" s="67">
        <f t="shared" si="437"/>
        <v>171.94116152712525</v>
      </c>
      <c r="U488" s="67">
        <f t="shared" si="438"/>
        <v>1.5649803509765625</v>
      </c>
      <c r="V488" t="str">
        <f t="shared" si="426"/>
        <v>1-17.760654760347i</v>
      </c>
      <c r="W488" s="67">
        <f t="shared" si="439"/>
        <v>17.788784599185988</v>
      </c>
      <c r="X488" s="67">
        <f t="shared" si="440"/>
        <v>-1.5145514812751359</v>
      </c>
      <c r="Y488" t="str">
        <f t="shared" si="427"/>
        <v>-58.452933290168+27.4532761343789i</v>
      </c>
      <c r="Z488" s="67">
        <f t="shared" si="441"/>
        <v>64.578849329600843</v>
      </c>
      <c r="AA488" s="67">
        <f t="shared" si="442"/>
        <v>2.7025064806796633</v>
      </c>
      <c r="AB488" s="92" t="str">
        <f t="shared" si="443"/>
        <v>-0.0242859012829403+0.0455834075807349i</v>
      </c>
      <c r="AC488" s="37">
        <f t="shared" si="444"/>
        <v>-25.738708177753004</v>
      </c>
      <c r="AD488" s="60">
        <f t="shared" si="445"/>
        <v>118.04777243090463</v>
      </c>
      <c r="AE488" t="str">
        <f t="shared" si="446"/>
        <v>118.329284003155</v>
      </c>
      <c r="AF488" t="str">
        <f t="shared" si="428"/>
        <v>1+73165.2142685187i</v>
      </c>
      <c r="AG488">
        <f t="shared" si="447"/>
        <v>73165.214275352555</v>
      </c>
      <c r="AH488">
        <f t="shared" si="448"/>
        <v>1.5707826590976182</v>
      </c>
      <c r="AI488" t="str">
        <f t="shared" si="429"/>
        <v>1+171.938253531019i</v>
      </c>
      <c r="AJ488">
        <f t="shared" si="449"/>
        <v>171.94116152712525</v>
      </c>
      <c r="AK488">
        <f t="shared" si="450"/>
        <v>1.5649803509765625</v>
      </c>
      <c r="AL488" t="str">
        <f t="shared" si="430"/>
        <v>1-11.9753197116007i</v>
      </c>
      <c r="AM488">
        <f t="shared" si="451"/>
        <v>12.016999716861621</v>
      </c>
      <c r="AN488">
        <f t="shared" si="452"/>
        <v>-1.4874845376582839</v>
      </c>
      <c r="AO488" s="58" t="str">
        <f t="shared" si="453"/>
        <v>0.258751802366563-3.3316366191708i</v>
      </c>
      <c r="AP488">
        <f t="shared" si="454"/>
        <v>10.479269900008731</v>
      </c>
      <c r="AQ488" s="60">
        <f t="shared" si="455"/>
        <v>-85.559033865559215</v>
      </c>
      <c r="AR488" t="str">
        <f t="shared" si="431"/>
        <v>-1.94444444444444</v>
      </c>
      <c r="AS488" t="str">
        <f t="shared" si="432"/>
        <v>1+176.34692669848i</v>
      </c>
      <c r="AT488">
        <f t="shared" si="456"/>
        <v>176.3497619958674</v>
      </c>
      <c r="AU488">
        <f t="shared" si="457"/>
        <v>1.5651257472151578</v>
      </c>
      <c r="AV488" t="str">
        <f t="shared" si="433"/>
        <v>1+176.34692669848i</v>
      </c>
      <c r="AW488">
        <f t="shared" si="458"/>
        <v>176.3497619958674</v>
      </c>
      <c r="AX488">
        <f t="shared" si="459"/>
        <v>1.5651257472151578</v>
      </c>
      <c r="AY488" t="str">
        <f t="shared" si="434"/>
        <v>1-0.0000120651922565454i</v>
      </c>
      <c r="AZ488">
        <f t="shared" si="460"/>
        <v>1.0000000000727844</v>
      </c>
      <c r="BA488">
        <f t="shared" si="461"/>
        <v>-1.2065192255959961E-5</v>
      </c>
      <c r="BB488" s="58" t="str">
        <f t="shared" si="462"/>
        <v>-0.000062390830730835+0.0110258913496022i</v>
      </c>
      <c r="BC488">
        <f t="shared" si="463"/>
        <v>-39.151586771907049</v>
      </c>
      <c r="BD488" s="60">
        <f t="shared" si="464"/>
        <v>90.324208992716819</v>
      </c>
      <c r="BE488" s="58" t="str">
        <f t="shared" si="465"/>
        <v>-0.000501082481773727-0.000270617695539369i</v>
      </c>
      <c r="BF488" s="37">
        <f t="shared" si="466"/>
        <v>-64.890294949660046</v>
      </c>
      <c r="BG488" s="60">
        <f t="shared" si="467"/>
        <v>-151.62801857637854</v>
      </c>
      <c r="BH488" s="58" t="str">
        <f t="shared" si="468"/>
        <v>0.0367181196394305+0.0030608328357708i</v>
      </c>
      <c r="BI488" s="37">
        <f t="shared" si="469"/>
        <v>-28.672316871898317</v>
      </c>
      <c r="BJ488" s="60">
        <f t="shared" si="470"/>
        <v>4.7651751271576073</v>
      </c>
      <c r="BK488">
        <f t="shared" si="471"/>
        <v>-64.890294949660046</v>
      </c>
      <c r="BL488" s="60">
        <f t="shared" si="472"/>
        <v>-151.62801857637854</v>
      </c>
      <c r="BN488">
        <f t="shared" si="473"/>
        <v>0</v>
      </c>
      <c r="BO488">
        <f t="shared" si="474"/>
        <v>0</v>
      </c>
    </row>
    <row r="489" spans="13:67" ht="14.25" x14ac:dyDescent="0.2">
      <c r="M489" s="66">
        <v>71</v>
      </c>
      <c r="N489" s="36">
        <f t="shared" si="475"/>
        <v>512861.38399136515</v>
      </c>
      <c r="O489" s="91" t="str">
        <f t="shared" si="423"/>
        <v>99.7340425531915</v>
      </c>
      <c r="P489" s="67" t="str">
        <f t="shared" si="424"/>
        <v>1+93586.8137996184i</v>
      </c>
      <c r="Q489" s="67">
        <f t="shared" si="435"/>
        <v>93586.813804961028</v>
      </c>
      <c r="R489" s="67">
        <f t="shared" si="436"/>
        <v>1.5707856415288921</v>
      </c>
      <c r="S489" s="67" t="str">
        <f t="shared" si="425"/>
        <v>1+175.943209943283i</v>
      </c>
      <c r="T489" s="67">
        <f t="shared" si="437"/>
        <v>175.94605174639798</v>
      </c>
      <c r="U489" s="67">
        <f t="shared" si="438"/>
        <v>1.5651127358648238</v>
      </c>
      <c r="V489" t="str">
        <f t="shared" si="426"/>
        <v>1-18.1743535545808i</v>
      </c>
      <c r="W489" s="67">
        <f t="shared" si="439"/>
        <v>18.201844058416274</v>
      </c>
      <c r="X489" s="67">
        <f t="shared" si="440"/>
        <v>-1.5158291630724832</v>
      </c>
      <c r="Y489" t="str">
        <f t="shared" si="427"/>
        <v>-61.2548637134999+28.0927450834583i</v>
      </c>
      <c r="Z489" s="67">
        <f t="shared" si="441"/>
        <v>67.389618301958194</v>
      </c>
      <c r="AA489" s="67">
        <f t="shared" si="442"/>
        <v>2.711592966601323</v>
      </c>
      <c r="AB489" s="92" t="str">
        <f t="shared" si="443"/>
        <v>-0.0233547661476895+0.0449377489490346i</v>
      </c>
      <c r="AC489" s="37">
        <f t="shared" si="444"/>
        <v>-25.909386411819124</v>
      </c>
      <c r="AD489" s="60">
        <f t="shared" si="445"/>
        <v>117.46152019735771</v>
      </c>
      <c r="AE489" t="str">
        <f t="shared" si="446"/>
        <v>118.329284003155</v>
      </c>
      <c r="AF489" t="str">
        <f t="shared" si="428"/>
        <v>1+74869.4510396947i</v>
      </c>
      <c r="AG489">
        <f t="shared" si="447"/>
        <v>74869.451046373011</v>
      </c>
      <c r="AH489">
        <f t="shared" si="448"/>
        <v>1.5707829702123912</v>
      </c>
      <c r="AI489" t="str">
        <f t="shared" si="429"/>
        <v>1+175.943209943283i</v>
      </c>
      <c r="AJ489">
        <f t="shared" si="449"/>
        <v>175.94605174639798</v>
      </c>
      <c r="AK489">
        <f t="shared" si="450"/>
        <v>1.5651127358648238</v>
      </c>
      <c r="AL489" t="str">
        <f t="shared" si="430"/>
        <v>1-12.2542607412025i</v>
      </c>
      <c r="AM489">
        <f t="shared" si="451"/>
        <v>12.294995173377535</v>
      </c>
      <c r="AN489">
        <f t="shared" si="452"/>
        <v>-1.4893724779019688</v>
      </c>
      <c r="AO489" s="58" t="str">
        <f t="shared" si="453"/>
        <v>0.258751801373868-3.4091660826169i</v>
      </c>
      <c r="AP489">
        <f t="shared" si="454"/>
        <v>10.677909521306217</v>
      </c>
      <c r="AQ489" s="60">
        <f t="shared" si="455"/>
        <v>-85.659637603690015</v>
      </c>
      <c r="AR489" t="str">
        <f t="shared" si="431"/>
        <v>-1.94444444444444</v>
      </c>
      <c r="AS489" t="str">
        <f t="shared" si="432"/>
        <v>1+180.454574300802i</v>
      </c>
      <c r="AT489">
        <f t="shared" si="456"/>
        <v>180.45734505994395</v>
      </c>
      <c r="AU489">
        <f t="shared" si="457"/>
        <v>1.5652548226919143</v>
      </c>
      <c r="AV489" t="str">
        <f t="shared" si="433"/>
        <v>1+180.454574300802i</v>
      </c>
      <c r="AW489">
        <f t="shared" si="458"/>
        <v>180.45734505994395</v>
      </c>
      <c r="AX489">
        <f t="shared" si="459"/>
        <v>1.5652548226919143</v>
      </c>
      <c r="AY489" t="str">
        <f t="shared" si="434"/>
        <v>1-0.000011790554951084i</v>
      </c>
      <c r="AZ489">
        <f t="shared" si="460"/>
        <v>1.0000000000695086</v>
      </c>
      <c r="BA489">
        <f t="shared" si="461"/>
        <v>-1.1790554950537637E-5</v>
      </c>
      <c r="BB489" s="58" t="str">
        <f t="shared" si="462"/>
        <v>-0.000059582867013133+0.0107749269815478i</v>
      </c>
      <c r="BC489">
        <f t="shared" si="463"/>
        <v>-39.351580486737916</v>
      </c>
      <c r="BD489" s="60">
        <f t="shared" si="464"/>
        <v>90.316829248218525</v>
      </c>
      <c r="BE489" s="58" t="str">
        <f t="shared" si="465"/>
        <v>-0.000482809419715474-0.000254323419831979i</v>
      </c>
      <c r="BF489" s="37">
        <f t="shared" si="466"/>
        <v>-65.260966898557029</v>
      </c>
      <c r="BG489" s="60">
        <f t="shared" si="467"/>
        <v>-152.22165055442375</v>
      </c>
      <c r="BH489" s="58" t="str">
        <f t="shared" si="468"/>
        <v>0.0367180984339958+0.00299115965547363i</v>
      </c>
      <c r="BI489" s="37">
        <f t="shared" si="469"/>
        <v>-28.673670965431697</v>
      </c>
      <c r="BJ489" s="60">
        <f t="shared" si="470"/>
        <v>4.6571916445285018</v>
      </c>
      <c r="BK489">
        <f t="shared" si="471"/>
        <v>-65.260966898557029</v>
      </c>
      <c r="BL489" s="60">
        <f t="shared" si="472"/>
        <v>-152.22165055442375</v>
      </c>
      <c r="BN489">
        <f t="shared" si="473"/>
        <v>0</v>
      </c>
      <c r="BO489">
        <f t="shared" si="474"/>
        <v>0</v>
      </c>
    </row>
    <row r="490" spans="13:67" ht="14.25" x14ac:dyDescent="0.2">
      <c r="M490" s="66">
        <v>72</v>
      </c>
      <c r="N490" s="36">
        <f t="shared" si="475"/>
        <v>524807.46024977288</v>
      </c>
      <c r="O490" s="91" t="str">
        <f t="shared" si="423"/>
        <v>99.7340425531915</v>
      </c>
      <c r="P490" s="67" t="str">
        <f t="shared" si="424"/>
        <v>1+95766.7307310334i</v>
      </c>
      <c r="Q490" s="67">
        <f t="shared" si="435"/>
        <v>95766.730736254423</v>
      </c>
      <c r="R490" s="67">
        <f t="shared" si="436"/>
        <v>1.5707858847552412</v>
      </c>
      <c r="S490" s="67" t="str">
        <f t="shared" si="425"/>
        <v>1+180.041453774343i</v>
      </c>
      <c r="T490" s="67">
        <f t="shared" si="437"/>
        <v>180.04423089113101</v>
      </c>
      <c r="U490" s="67">
        <f t="shared" si="438"/>
        <v>1.5652421074976293</v>
      </c>
      <c r="V490" t="str">
        <f t="shared" si="426"/>
        <v>1-18.5976886316354i</v>
      </c>
      <c r="W490" s="67">
        <f t="shared" si="439"/>
        <v>18.624554288338299</v>
      </c>
      <c r="X490" s="67">
        <f t="shared" si="440"/>
        <v>-1.5170779348942485</v>
      </c>
      <c r="Y490" t="str">
        <f t="shared" si="427"/>
        <v>-64.1888450494241+28.7471091778325i</v>
      </c>
      <c r="Z490" s="67">
        <f t="shared" si="441"/>
        <v>70.332098752000846</v>
      </c>
      <c r="AA490" s="67">
        <f t="shared" si="442"/>
        <v>2.7205263562227624</v>
      </c>
      <c r="AB490" s="92" t="str">
        <f t="shared" si="443"/>
        <v>-0.0224532827207789+0.0442855657751016i</v>
      </c>
      <c r="AC490" s="37">
        <f t="shared" si="444"/>
        <v>-26.081194360374084</v>
      </c>
      <c r="AD490" s="60">
        <f t="shared" si="445"/>
        <v>116.88552383304639</v>
      </c>
      <c r="AE490" t="str">
        <f t="shared" si="446"/>
        <v>118.329284003155</v>
      </c>
      <c r="AF490" t="str">
        <f t="shared" si="428"/>
        <v>1+76613.3845848268i</v>
      </c>
      <c r="AG490">
        <f t="shared" si="447"/>
        <v>76613.384591353068</v>
      </c>
      <c r="AH490">
        <f t="shared" si="448"/>
        <v>1.5707832742453276</v>
      </c>
      <c r="AI490" t="str">
        <f t="shared" si="429"/>
        <v>1+180.041453774343i</v>
      </c>
      <c r="AJ490">
        <f t="shared" si="449"/>
        <v>180.04423089113101</v>
      </c>
      <c r="AK490">
        <f t="shared" si="450"/>
        <v>1.5652421074976293</v>
      </c>
      <c r="AL490" t="str">
        <f t="shared" si="430"/>
        <v>1-12.5396991420537i</v>
      </c>
      <c r="AM490">
        <f t="shared" si="451"/>
        <v>12.579509313690352</v>
      </c>
      <c r="AN490">
        <f t="shared" si="452"/>
        <v>-1.4912180056636843</v>
      </c>
      <c r="AO490" s="58" t="str">
        <f t="shared" si="453"/>
        <v>0.258751800425849-3.48850313104566i</v>
      </c>
      <c r="AP490">
        <f t="shared" si="454"/>
        <v>10.87660997567292</v>
      </c>
      <c r="AQ490" s="60">
        <f t="shared" si="455"/>
        <v>-85.75798352666618</v>
      </c>
      <c r="AR490" t="str">
        <f t="shared" si="431"/>
        <v>-1.94444444444444</v>
      </c>
      <c r="AS490" t="str">
        <f t="shared" si="432"/>
        <v>1+184.657901307018i</v>
      </c>
      <c r="AT490">
        <f t="shared" si="456"/>
        <v>184.66060899691735</v>
      </c>
      <c r="AU490">
        <f t="shared" si="457"/>
        <v>1.5653809602305386</v>
      </c>
      <c r="AV490" t="str">
        <f t="shared" si="433"/>
        <v>1+184.657901307018i</v>
      </c>
      <c r="AW490">
        <f t="shared" si="458"/>
        <v>184.66060899691735</v>
      </c>
      <c r="AX490">
        <f t="shared" si="459"/>
        <v>1.5653809602305386</v>
      </c>
      <c r="AY490" t="str">
        <f t="shared" si="434"/>
        <v>1-0.0000115221691539241i</v>
      </c>
      <c r="AZ490">
        <f t="shared" si="460"/>
        <v>1.0000000000663802</v>
      </c>
      <c r="BA490">
        <f t="shared" si="461"/>
        <v>-1.1522169153414204E-5</v>
      </c>
      <c r="BB490" s="58" t="str">
        <f t="shared" si="462"/>
        <v>-0.0000569012748938738+0.0105296742213957i</v>
      </c>
      <c r="BC490">
        <f t="shared" si="463"/>
        <v>-39.551574484439669</v>
      </c>
      <c r="BD490" s="60">
        <f t="shared" si="464"/>
        <v>90.309617476990638</v>
      </c>
      <c r="BE490" s="58" t="str">
        <f t="shared" si="465"/>
        <v>-0.000465034959909646-0.000238945657402695i</v>
      </c>
      <c r="BF490" s="37">
        <f t="shared" si="466"/>
        <v>-65.632768844813754</v>
      </c>
      <c r="BG490" s="60">
        <f t="shared" si="467"/>
        <v>-152.80485868996294</v>
      </c>
      <c r="BH490" s="58" t="str">
        <f t="shared" si="468"/>
        <v>0.0367180781829043+0.00292307243831156i</v>
      </c>
      <c r="BI490" s="37">
        <f t="shared" si="469"/>
        <v>-28.67496450876676</v>
      </c>
      <c r="BJ490" s="60">
        <f t="shared" si="470"/>
        <v>4.5516339503244945</v>
      </c>
      <c r="BK490">
        <f t="shared" si="471"/>
        <v>-65.632768844813754</v>
      </c>
      <c r="BL490" s="60">
        <f t="shared" si="472"/>
        <v>-152.80485868996294</v>
      </c>
      <c r="BN490">
        <f t="shared" si="473"/>
        <v>0</v>
      </c>
      <c r="BO490">
        <f t="shared" si="474"/>
        <v>0</v>
      </c>
    </row>
    <row r="491" spans="13:67" ht="14.25" x14ac:dyDescent="0.2">
      <c r="M491" s="66">
        <v>73</v>
      </c>
      <c r="N491" s="36">
        <f t="shared" si="475"/>
        <v>537031.7963702539</v>
      </c>
      <c r="O491" s="91" t="str">
        <f t="shared" si="423"/>
        <v>99.7340425531915</v>
      </c>
      <c r="P491" s="67" t="str">
        <f t="shared" si="424"/>
        <v>1+97997.4244507046i</v>
      </c>
      <c r="Q491" s="67">
        <f t="shared" si="435"/>
        <v>97997.424455806773</v>
      </c>
      <c r="R491" s="67">
        <f t="shared" si="436"/>
        <v>1.5707861224450825</v>
      </c>
      <c r="S491" s="67" t="str">
        <f t="shared" si="425"/>
        <v>1+184.235157967325i</v>
      </c>
      <c r="T491" s="67">
        <f t="shared" si="437"/>
        <v>184.23787187015921</v>
      </c>
      <c r="U491" s="67">
        <f t="shared" si="438"/>
        <v>1.5653685344521986</v>
      </c>
      <c r="V491" t="str">
        <f t="shared" si="426"/>
        <v>1-19.030884449372i</v>
      </c>
      <c r="W491" s="67">
        <f t="shared" si="439"/>
        <v>19.057139421365132</v>
      </c>
      <c r="X491" s="67">
        <f t="shared" si="440"/>
        <v>-1.5182984432679634</v>
      </c>
      <c r="Y491" t="str">
        <f t="shared" si="427"/>
        <v>-67.2611006657186+29.4167153700058i</v>
      </c>
      <c r="Z491" s="67">
        <f t="shared" si="441"/>
        <v>73.412524857301193</v>
      </c>
      <c r="AA491" s="67">
        <f t="shared" si="442"/>
        <v>2.729307209583709</v>
      </c>
      <c r="AB491" s="92" t="str">
        <f t="shared" si="443"/>
        <v>-0.0215809725480136+0.0436279734255167i</v>
      </c>
      <c r="AC491" s="37">
        <f t="shared" si="444"/>
        <v>-26.254095604036852</v>
      </c>
      <c r="AD491" s="60">
        <f t="shared" si="445"/>
        <v>116.31971812855546</v>
      </c>
      <c r="AE491" t="str">
        <f t="shared" si="446"/>
        <v>118.329284003155</v>
      </c>
      <c r="AF491" t="str">
        <f t="shared" si="428"/>
        <v>1+78397.9395605637i</v>
      </c>
      <c r="AG491">
        <f t="shared" si="447"/>
        <v>78397.939566941408</v>
      </c>
      <c r="AH491">
        <f t="shared" si="448"/>
        <v>1.5707835713576295</v>
      </c>
      <c r="AI491" t="str">
        <f t="shared" si="429"/>
        <v>1+184.235157967325i</v>
      </c>
      <c r="AJ491">
        <f t="shared" si="449"/>
        <v>184.23787187015921</v>
      </c>
      <c r="AK491">
        <f t="shared" si="450"/>
        <v>1.5653685344521986</v>
      </c>
      <c r="AL491" t="str">
        <f t="shared" si="430"/>
        <v>1-12.8317862573726i</v>
      </c>
      <c r="AM491">
        <f t="shared" si="451"/>
        <v>12.870693009892525</v>
      </c>
      <c r="AN491">
        <f t="shared" si="452"/>
        <v>-1.4930220491521071</v>
      </c>
      <c r="AO491" s="58" t="str">
        <f t="shared" si="453"/>
        <v>0.258751799520501-3.56968983001031i</v>
      </c>
      <c r="AP491">
        <f t="shared" si="454"/>
        <v>11.075368559628327</v>
      </c>
      <c r="AQ491" s="60">
        <f t="shared" si="455"/>
        <v>-85.854120896978245</v>
      </c>
      <c r="AR491" t="str">
        <f t="shared" si="431"/>
        <v>-1.94444444444444</v>
      </c>
      <c r="AS491" t="str">
        <f t="shared" si="432"/>
        <v>1+188.959136376743i</v>
      </c>
      <c r="AT491">
        <f t="shared" si="456"/>
        <v>188.96178243296859</v>
      </c>
      <c r="AU491">
        <f t="shared" si="457"/>
        <v>1.5655042266947583</v>
      </c>
      <c r="AV491" t="str">
        <f t="shared" si="433"/>
        <v>1+188.959136376743i</v>
      </c>
      <c r="AW491">
        <f t="shared" si="458"/>
        <v>188.96178243296859</v>
      </c>
      <c r="AX491">
        <f t="shared" si="459"/>
        <v>1.5655042266947583</v>
      </c>
      <c r="AY491" t="str">
        <f t="shared" si="434"/>
        <v>1-0.0000112598925633635i</v>
      </c>
      <c r="AZ491">
        <f t="shared" si="460"/>
        <v>1.0000000000633926</v>
      </c>
      <c r="BA491">
        <f t="shared" si="461"/>
        <v>-1.1259892562887637E-5</v>
      </c>
      <c r="BB491" s="58" t="str">
        <f t="shared" si="462"/>
        <v>-0.0000543403673817602+0.0102900031263922i</v>
      </c>
      <c r="BC491">
        <f t="shared" si="463"/>
        <v>-39.7515687522815</v>
      </c>
      <c r="BD491" s="60">
        <f t="shared" si="464"/>
        <v>90.302569856177058</v>
      </c>
      <c r="BE491" s="58" t="str">
        <f t="shared" si="465"/>
        <v>-0.000447759264970008-0.000224439035093708i</v>
      </c>
      <c r="BF491" s="37">
        <f t="shared" si="466"/>
        <v>-66.005664356318348</v>
      </c>
      <c r="BG491" s="60">
        <f t="shared" si="467"/>
        <v>-153.37771201526749</v>
      </c>
      <c r="BH491" s="58" t="str">
        <f t="shared" si="468"/>
        <v>0.0367180588432099+0.00285653508282726i</v>
      </c>
      <c r="BI491" s="37">
        <f t="shared" si="469"/>
        <v>-28.676200192653173</v>
      </c>
      <c r="BJ491" s="60">
        <f t="shared" si="470"/>
        <v>4.4484489591988243</v>
      </c>
      <c r="BK491">
        <f t="shared" si="471"/>
        <v>-66.005664356318348</v>
      </c>
      <c r="BL491" s="60">
        <f t="shared" si="472"/>
        <v>-153.37771201526749</v>
      </c>
      <c r="BN491">
        <f t="shared" si="473"/>
        <v>0</v>
      </c>
      <c r="BO491">
        <f t="shared" si="474"/>
        <v>0</v>
      </c>
    </row>
    <row r="492" spans="13:67" ht="14.25" x14ac:dyDescent="0.2">
      <c r="M492" s="66">
        <v>74</v>
      </c>
      <c r="N492" s="36">
        <f t="shared" si="475"/>
        <v>549540.87385762564</v>
      </c>
      <c r="O492" s="91" t="str">
        <f t="shared" si="423"/>
        <v>99.7340425531915</v>
      </c>
      <c r="P492" s="67" t="str">
        <f t="shared" si="424"/>
        <v>1+100280.077701968i</v>
      </c>
      <c r="Q492" s="67">
        <f t="shared" si="435"/>
        <v>100280.07770695403</v>
      </c>
      <c r="R492" s="67">
        <f t="shared" si="436"/>
        <v>1.5707863547244427</v>
      </c>
      <c r="S492" s="67" t="str">
        <f t="shared" si="425"/>
        <v>1+188.526546079701i</v>
      </c>
      <c r="T492" s="67">
        <f t="shared" si="437"/>
        <v>188.52919820744381</v>
      </c>
      <c r="U492" s="67">
        <f t="shared" si="438"/>
        <v>1.565492083745601</v>
      </c>
      <c r="V492" t="str">
        <f t="shared" si="426"/>
        <v>1-19.4741706939471i</v>
      </c>
      <c r="W492" s="67">
        <f t="shared" si="439"/>
        <v>19.499828825325316</v>
      </c>
      <c r="X492" s="67">
        <f t="shared" si="440"/>
        <v>-1.5194913207701237</v>
      </c>
      <c r="Y492" t="str">
        <f t="shared" si="427"/>
        <v>-70.4781472284505+30.1019186940445i</v>
      </c>
      <c r="Z492" s="67">
        <f t="shared" si="441"/>
        <v>76.637423924724985</v>
      </c>
      <c r="AA492" s="67">
        <f t="shared" si="442"/>
        <v>2.7379362087212549</v>
      </c>
      <c r="AB492" s="92" t="str">
        <f t="shared" si="443"/>
        <v>-0.0207373270197388+0.0429660351503352i</v>
      </c>
      <c r="AC492" s="37">
        <f t="shared" si="444"/>
        <v>-26.428054349849582</v>
      </c>
      <c r="AD492" s="60">
        <f t="shared" si="445"/>
        <v>115.76403159464893</v>
      </c>
      <c r="AE492" t="str">
        <f t="shared" si="446"/>
        <v>118.329284003155</v>
      </c>
      <c r="AF492" t="str">
        <f t="shared" si="428"/>
        <v>1+80224.0621615748i</v>
      </c>
      <c r="AG492">
        <f t="shared" si="447"/>
        <v>80224.062167807337</v>
      </c>
      <c r="AH492">
        <f t="shared" si="448"/>
        <v>1.5707838617068295</v>
      </c>
      <c r="AI492" t="str">
        <f t="shared" si="429"/>
        <v>1+188.526546079701i</v>
      </c>
      <c r="AJ492">
        <f t="shared" si="449"/>
        <v>188.52919820744381</v>
      </c>
      <c r="AK492">
        <f t="shared" si="450"/>
        <v>1.565492083745601</v>
      </c>
      <c r="AL492" t="str">
        <f t="shared" si="430"/>
        <v>1-13.1306769556138i</v>
      </c>
      <c r="AM492">
        <f t="shared" si="451"/>
        <v>13.168700669112626</v>
      </c>
      <c r="AN492">
        <f t="shared" si="452"/>
        <v>-1.494785517897625</v>
      </c>
      <c r="AO492" s="58" t="str">
        <f t="shared" si="453"/>
        <v>0.258751798655898-3.65276922577323i</v>
      </c>
      <c r="AP492">
        <f t="shared" si="454"/>
        <v>11.274182688363981</v>
      </c>
      <c r="AQ492" s="60">
        <f t="shared" si="455"/>
        <v>-85.948097996109624</v>
      </c>
      <c r="AR492" t="str">
        <f t="shared" si="431"/>
        <v>-1.94444444444444</v>
      </c>
      <c r="AS492" t="str">
        <f t="shared" si="432"/>
        <v>1+193.360560081744i</v>
      </c>
      <c r="AT492">
        <f t="shared" si="456"/>
        <v>193.36314590719124</v>
      </c>
      <c r="AU492">
        <f t="shared" si="457"/>
        <v>1.5656246874270918</v>
      </c>
      <c r="AV492" t="str">
        <f t="shared" si="433"/>
        <v>1+193.360560081744i</v>
      </c>
      <c r="AW492">
        <f t="shared" si="458"/>
        <v>193.36314590719124</v>
      </c>
      <c r="AX492">
        <f t="shared" si="459"/>
        <v>1.5656246874270918</v>
      </c>
      <c r="AY492" t="str">
        <f t="shared" si="434"/>
        <v>1-0.0000110035861168824i</v>
      </c>
      <c r="AZ492">
        <f t="shared" si="460"/>
        <v>1.0000000000605396</v>
      </c>
      <c r="BA492">
        <f t="shared" si="461"/>
        <v>-1.10035861164383E-5</v>
      </c>
      <c r="BB492" s="58" t="str">
        <f t="shared" si="462"/>
        <v>-0.0000518947133835328+0.0100557867070154i</v>
      </c>
      <c r="BC492">
        <f t="shared" si="463"/>
        <v>-39.951563278105873</v>
      </c>
      <c r="BD492" s="60">
        <f t="shared" si="464"/>
        <v>90.295682649894928</v>
      </c>
      <c r="BE492" s="58" t="str">
        <f t="shared" si="465"/>
        <v>-0.000430981127475867-0.000210759847463474i</v>
      </c>
      <c r="BF492" s="37">
        <f t="shared" si="466"/>
        <v>-66.379617627955454</v>
      </c>
      <c r="BG492" s="60">
        <f t="shared" si="467"/>
        <v>-153.94028575545613</v>
      </c>
      <c r="BH492" s="58" t="str">
        <f t="shared" si="468"/>
        <v>0.0367180403738967+0.002791512309368i</v>
      </c>
      <c r="BI492" s="37">
        <f t="shared" si="469"/>
        <v>-28.677380589741883</v>
      </c>
      <c r="BJ492" s="60">
        <f t="shared" si="470"/>
        <v>4.3475846537853187</v>
      </c>
      <c r="BK492">
        <f t="shared" si="471"/>
        <v>-66.379617627955454</v>
      </c>
      <c r="BL492" s="60">
        <f t="shared" si="472"/>
        <v>-153.94028575545613</v>
      </c>
      <c r="BN492">
        <f t="shared" si="473"/>
        <v>0</v>
      </c>
      <c r="BO492">
        <f t="shared" si="474"/>
        <v>0</v>
      </c>
    </row>
    <row r="493" spans="13:67" ht="14.25" x14ac:dyDescent="0.2">
      <c r="M493" s="66">
        <v>75</v>
      </c>
      <c r="N493" s="36">
        <f t="shared" si="475"/>
        <v>562341.32519035018</v>
      </c>
      <c r="O493" s="91" t="str">
        <f t="shared" si="423"/>
        <v>99.7340425531915</v>
      </c>
      <c r="P493" s="67" t="str">
        <f t="shared" si="424"/>
        <v>1+102615.900777794i</v>
      </c>
      <c r="Q493" s="67">
        <f t="shared" si="435"/>
        <v>102615.90078266655</v>
      </c>
      <c r="R493" s="67">
        <f t="shared" si="436"/>
        <v>1.570786581716479</v>
      </c>
      <c r="S493" s="67" t="str">
        <f t="shared" si="425"/>
        <v>1+192.917893462253i</v>
      </c>
      <c r="T493" s="67">
        <f t="shared" si="437"/>
        <v>192.92048522101845</v>
      </c>
      <c r="U493" s="67">
        <f t="shared" si="438"/>
        <v>1.5656128208702114</v>
      </c>
      <c r="V493" t="str">
        <f t="shared" si="426"/>
        <v>1-19.9277824015953i</v>
      </c>
      <c r="W493" s="67">
        <f t="shared" si="439"/>
        <v>19.952857225102658</v>
      </c>
      <c r="X493" s="67">
        <f t="shared" si="440"/>
        <v>-1.5206571862931615</v>
      </c>
      <c r="Y493" t="str">
        <f t="shared" si="427"/>
        <v>-73.8468085246957+30.8030824538208i</v>
      </c>
      <c r="Z493" s="67">
        <f t="shared" si="441"/>
        <v>80.013630200984835</v>
      </c>
      <c r="AA493" s="67">
        <f t="shared" si="442"/>
        <v>2.7464141510140072</v>
      </c>
      <c r="AB493" s="92" t="str">
        <f t="shared" si="443"/>
        <v>-0.019921810941074+0.042300762279518i</v>
      </c>
      <c r="AC493" s="37">
        <f t="shared" si="444"/>
        <v>-26.603035464794523</v>
      </c>
      <c r="AD493" s="60">
        <f t="shared" si="445"/>
        <v>115.21838683035402</v>
      </c>
      <c r="AE493" t="str">
        <f t="shared" si="446"/>
        <v>118.329284003155</v>
      </c>
      <c r="AF493" t="str">
        <f t="shared" si="428"/>
        <v>1+82092.7206222353i</v>
      </c>
      <c r="AG493">
        <f t="shared" si="447"/>
        <v>82092.720628325973</v>
      </c>
      <c r="AH493">
        <f t="shared" si="448"/>
        <v>1.5707841454468749</v>
      </c>
      <c r="AI493" t="str">
        <f t="shared" si="429"/>
        <v>1+192.917893462253i</v>
      </c>
      <c r="AJ493">
        <f t="shared" si="449"/>
        <v>192.92048522101845</v>
      </c>
      <c r="AK493">
        <f t="shared" si="450"/>
        <v>1.5656128208702114</v>
      </c>
      <c r="AL493" t="str">
        <f t="shared" si="430"/>
        <v>1-13.436529712582i</v>
      </c>
      <c r="AM493">
        <f t="shared" si="451"/>
        <v>13.473690315466618</v>
      </c>
      <c r="AN493">
        <f t="shared" si="452"/>
        <v>-1.4965093030175962</v>
      </c>
      <c r="AO493" s="58" t="str">
        <f t="shared" si="453"/>
        <v>0.25875179783021-3.73778536812979i</v>
      </c>
      <c r="AP493">
        <f t="shared" si="454"/>
        <v>11.473049890663534</v>
      </c>
      <c r="AQ493" s="60">
        <f t="shared" si="455"/>
        <v>-86.039962137707789</v>
      </c>
      <c r="AR493" t="str">
        <f t="shared" si="431"/>
        <v>-1.94444444444444</v>
      </c>
      <c r="AS493" t="str">
        <f t="shared" si="432"/>
        <v>1+197.86450611513i</v>
      </c>
      <c r="AT493">
        <f t="shared" si="456"/>
        <v>197.8670330807644</v>
      </c>
      <c r="AU493">
        <f t="shared" si="457"/>
        <v>1.5657424062834222</v>
      </c>
      <c r="AV493" t="str">
        <f t="shared" si="433"/>
        <v>1+197.86450611513i</v>
      </c>
      <c r="AW493">
        <f t="shared" si="458"/>
        <v>197.8670330807644</v>
      </c>
      <c r="AX493">
        <f t="shared" si="459"/>
        <v>1.5657424062834222</v>
      </c>
      <c r="AY493" t="str">
        <f t="shared" si="434"/>
        <v>1-0.0000107531139174101i</v>
      </c>
      <c r="AZ493">
        <f t="shared" si="460"/>
        <v>1.0000000000578146</v>
      </c>
      <c r="BA493">
        <f t="shared" si="461"/>
        <v>-1.0753113916995642E-5</v>
      </c>
      <c r="BB493" s="58" t="str">
        <f t="shared" si="462"/>
        <v>-0.0000495591261918281+0.00982690086006066i</v>
      </c>
      <c r="BC493">
        <f t="shared" si="463"/>
        <v>-40.151558050302285</v>
      </c>
      <c r="BD493" s="60">
        <f t="shared" si="464"/>
        <v>90.288952207258006</v>
      </c>
      <c r="BE493" s="58" t="str">
        <f t="shared" si="465"/>
        <v>-0.000414698089683418-0.000197866049886627i</v>
      </c>
      <c r="BF493" s="37">
        <f t="shared" si="466"/>
        <v>-66.754593515096815</v>
      </c>
      <c r="BG493" s="60">
        <f t="shared" si="467"/>
        <v>-154.49266096238796</v>
      </c>
      <c r="BH493" s="58" t="str">
        <f t="shared" si="468"/>
        <v>0.0367180227357957+0.00272796964137705i</v>
      </c>
      <c r="BI493" s="37">
        <f t="shared" si="469"/>
        <v>-28.67850815963876</v>
      </c>
      <c r="BJ493" s="60">
        <f t="shared" si="470"/>
        <v>4.2489900695502385</v>
      </c>
      <c r="BK493">
        <f t="shared" si="471"/>
        <v>-66.754593515096815</v>
      </c>
      <c r="BL493" s="60">
        <f t="shared" si="472"/>
        <v>-154.49266096238796</v>
      </c>
      <c r="BN493">
        <f t="shared" si="473"/>
        <v>0</v>
      </c>
      <c r="BO493">
        <f t="shared" si="474"/>
        <v>0</v>
      </c>
    </row>
    <row r="494" spans="13:67" ht="14.25" x14ac:dyDescent="0.2">
      <c r="M494" s="66">
        <v>76</v>
      </c>
      <c r="N494" s="36">
        <f t="shared" si="475"/>
        <v>575439.93733715697</v>
      </c>
      <c r="O494" s="91" t="str">
        <f t="shared" si="423"/>
        <v>99.7340425531915</v>
      </c>
      <c r="P494" s="67" t="str">
        <f t="shared" si="424"/>
        <v>1+105006.132162494i</v>
      </c>
      <c r="Q494" s="67">
        <f t="shared" si="435"/>
        <v>105006.13216725562</v>
      </c>
      <c r="R494" s="67">
        <f t="shared" si="436"/>
        <v>1.5707868035415458</v>
      </c>
      <c r="S494" s="67" t="str">
        <f t="shared" si="425"/>
        <v>1+197.411528465488i</v>
      </c>
      <c r="T494" s="67">
        <f t="shared" si="437"/>
        <v>197.41406122938707</v>
      </c>
      <c r="U494" s="67">
        <f t="shared" si="438"/>
        <v>1.5657308098283627</v>
      </c>
      <c r="V494" t="str">
        <f t="shared" si="426"/>
        <v>1-20.3919600832482i</v>
      </c>
      <c r="W494" s="67">
        <f t="shared" si="439"/>
        <v>20.416464827114119</v>
      </c>
      <c r="X494" s="67">
        <f t="shared" si="440"/>
        <v>-1.5217966453096614</v>
      </c>
      <c r="Y494" t="str">
        <f t="shared" si="427"/>
        <v>-77.3742299367084+31.520578415641i</v>
      </c>
      <c r="Z494" s="67">
        <f t="shared" si="441"/>
        <v>83.548299336103767</v>
      </c>
      <c r="AA494" s="67">
        <f t="shared" si="442"/>
        <v>2.7547419425575894</v>
      </c>
      <c r="AB494" s="92" t="str">
        <f t="shared" si="443"/>
        <v>-0.019133865951422+0.04163311463227i</v>
      </c>
      <c r="AC494" s="37">
        <f t="shared" si="444"/>
        <v>-26.779004505095983</v>
      </c>
      <c r="AD494" s="60">
        <f t="shared" si="445"/>
        <v>114.68270088935951</v>
      </c>
      <c r="AE494" t="str">
        <f t="shared" si="446"/>
        <v>118.329284003155</v>
      </c>
      <c r="AF494" t="str">
        <f t="shared" si="428"/>
        <v>1+84004.9057299949i</v>
      </c>
      <c r="AG494">
        <f t="shared" si="447"/>
        <v>84004.905735946944</v>
      </c>
      <c r="AH494">
        <f t="shared" si="448"/>
        <v>1.5707844227282084</v>
      </c>
      <c r="AI494" t="str">
        <f t="shared" si="429"/>
        <v>1+197.411528465488i</v>
      </c>
      <c r="AJ494">
        <f t="shared" si="449"/>
        <v>197.41406122938707</v>
      </c>
      <c r="AK494">
        <f t="shared" si="450"/>
        <v>1.5657308098283627</v>
      </c>
      <c r="AL494" t="str">
        <f t="shared" si="430"/>
        <v>1-13.7495066954573i</v>
      </c>
      <c r="AM494">
        <f t="shared" si="451"/>
        <v>13.785823673920437</v>
      </c>
      <c r="AN494">
        <f t="shared" si="452"/>
        <v>-1.498194277485851</v>
      </c>
      <c r="AO494" s="58" t="str">
        <f t="shared" si="453"/>
        <v>0.258751797041683-3.82478333376398i</v>
      </c>
      <c r="AP494">
        <f t="shared" si="454"/>
        <v>11.671967804028238</v>
      </c>
      <c r="AQ494" s="60">
        <f t="shared" si="455"/>
        <v>-86.12975968104503</v>
      </c>
      <c r="AR494" t="str">
        <f t="shared" si="431"/>
        <v>-1.94444444444444</v>
      </c>
      <c r="AS494" t="str">
        <f t="shared" si="432"/>
        <v>1+202.473362528705i</v>
      </c>
      <c r="AT494">
        <f t="shared" si="456"/>
        <v>202.47583197428872</v>
      </c>
      <c r="AU494">
        <f t="shared" si="457"/>
        <v>1.5658574456667873</v>
      </c>
      <c r="AV494" t="str">
        <f t="shared" si="433"/>
        <v>1+202.473362528705i</v>
      </c>
      <c r="AW494">
        <f t="shared" si="458"/>
        <v>202.47583197428872</v>
      </c>
      <c r="AX494">
        <f t="shared" si="459"/>
        <v>1.5658574456667873</v>
      </c>
      <c r="AY494" t="str">
        <f t="shared" si="434"/>
        <v>1-0.0000105083431612711i</v>
      </c>
      <c r="AZ494">
        <f t="shared" si="460"/>
        <v>1.0000000000552127</v>
      </c>
      <c r="BA494">
        <f t="shared" si="461"/>
        <v>-1.0508343160884305E-5</v>
      </c>
      <c r="BB494" s="58" t="str">
        <f t="shared" si="462"/>
        <v>-0.0000473286524907155+0.00960322430322798i</v>
      </c>
      <c r="BC494">
        <f t="shared" si="463"/>
        <v>-40.351553057782766</v>
      </c>
      <c r="BD494" s="60">
        <f t="shared" si="464"/>
        <v>90.28237496044467</v>
      </c>
      <c r="BE494" s="58" t="str">
        <f t="shared" si="465"/>
        <v>-0.000398906558163273-0.000185717245733939i</v>
      </c>
      <c r="BF494" s="37">
        <f t="shared" si="466"/>
        <v>-67.130557562878749</v>
      </c>
      <c r="BG494" s="60">
        <f t="shared" si="467"/>
        <v>-155.03492415019579</v>
      </c>
      <c r="BH494" s="58" t="str">
        <f t="shared" si="468"/>
        <v>0.0367180058915001+0.0026658733871106i</v>
      </c>
      <c r="BI494" s="37">
        <f t="shared" si="469"/>
        <v>-28.679585253754517</v>
      </c>
      <c r="BJ494" s="60">
        <f t="shared" si="470"/>
        <v>4.1526152793996571</v>
      </c>
      <c r="BK494">
        <f t="shared" si="471"/>
        <v>-67.130557562878749</v>
      </c>
      <c r="BL494" s="60">
        <f t="shared" si="472"/>
        <v>-155.03492415019579</v>
      </c>
      <c r="BN494">
        <f t="shared" si="473"/>
        <v>0</v>
      </c>
      <c r="BO494">
        <f t="shared" si="474"/>
        <v>0</v>
      </c>
    </row>
    <row r="495" spans="13:67" ht="14.25" x14ac:dyDescent="0.2">
      <c r="M495" s="66">
        <v>77</v>
      </c>
      <c r="N495" s="36">
        <f t="shared" si="475"/>
        <v>588843.65535558888</v>
      </c>
      <c r="O495" s="91" t="str">
        <f t="shared" si="423"/>
        <v>99.7340425531915</v>
      </c>
      <c r="P495" s="67" t="str">
        <f t="shared" si="424"/>
        <v>1+107452.039188386i</v>
      </c>
      <c r="Q495" s="67">
        <f t="shared" si="435"/>
        <v>107452.03919303925</v>
      </c>
      <c r="R495" s="67">
        <f t="shared" si="436"/>
        <v>1.5707870203172576</v>
      </c>
      <c r="S495" s="67" t="str">
        <f t="shared" si="425"/>
        <v>1+202.009833674167i</v>
      </c>
      <c r="T495" s="67">
        <f t="shared" si="437"/>
        <v>202.01230878603565</v>
      </c>
      <c r="U495" s="67">
        <f t="shared" si="438"/>
        <v>1.5658461131662145</v>
      </c>
      <c r="V495" t="str">
        <f t="shared" si="426"/>
        <v>1-20.8669498520568i</v>
      </c>
      <c r="W495" s="67">
        <f t="shared" si="439"/>
        <v>20.890897446693216</v>
      </c>
      <c r="X495" s="67">
        <f t="shared" si="440"/>
        <v>-1.5229102901336673</v>
      </c>
      <c r="Y495" t="str">
        <f t="shared" si="427"/>
        <v>-81.0678935982326+32.2547870053614i</v>
      </c>
      <c r="Z495" s="67">
        <f t="shared" si="441"/>
        <v>87.248923530411503</v>
      </c>
      <c r="AA495" s="67">
        <f t="shared" si="442"/>
        <v>2.7629205915999147</v>
      </c>
      <c r="AB495" s="92" t="str">
        <f t="shared" si="443"/>
        <v>-0.0183729137849894+0.0409640011185987i</v>
      </c>
      <c r="AC495" s="37">
        <f t="shared" si="444"/>
        <v>-26.955927741493486</v>
      </c>
      <c r="AD495" s="60">
        <f t="shared" si="445"/>
        <v>114.1568856431127</v>
      </c>
      <c r="AE495" t="str">
        <f t="shared" si="446"/>
        <v>118.329284003155</v>
      </c>
      <c r="AF495" t="str">
        <f t="shared" si="428"/>
        <v>1+85961.6313507092i</v>
      </c>
      <c r="AG495">
        <f t="shared" si="447"/>
        <v>85961.631356525759</v>
      </c>
      <c r="AH495">
        <f t="shared" si="448"/>
        <v>1.570784693697848</v>
      </c>
      <c r="AI495" t="str">
        <f t="shared" si="429"/>
        <v>1+202.009833674167i</v>
      </c>
      <c r="AJ495">
        <f t="shared" si="449"/>
        <v>202.01230878603565</v>
      </c>
      <c r="AK495">
        <f t="shared" si="450"/>
        <v>1.5658461131662145</v>
      </c>
      <c r="AL495" t="str">
        <f t="shared" si="430"/>
        <v>1-14.0697738487788i</v>
      </c>
      <c r="AM495">
        <f t="shared" si="451"/>
        <v>14.105266256110866</v>
      </c>
      <c r="AN495">
        <f t="shared" si="452"/>
        <v>-1.4998412964056993</v>
      </c>
      <c r="AO495" s="58" t="str">
        <f t="shared" si="453"/>
        <v>0.258751796288647-3.91380925014873i</v>
      </c>
      <c r="AP495">
        <f t="shared" si="454"/>
        <v>11.870934170001767</v>
      </c>
      <c r="AQ495" s="60">
        <f t="shared" si="455"/>
        <v>-86.217536044724568</v>
      </c>
      <c r="AR495" t="str">
        <f t="shared" si="431"/>
        <v>-1.94444444444444</v>
      </c>
      <c r="AS495" t="str">
        <f t="shared" si="432"/>
        <v>1+207.189572999144i</v>
      </c>
      <c r="AT495">
        <f t="shared" si="456"/>
        <v>207.19198623394584</v>
      </c>
      <c r="AU495">
        <f t="shared" si="457"/>
        <v>1.5659698665604043</v>
      </c>
      <c r="AV495" t="str">
        <f t="shared" si="433"/>
        <v>1+207.189572999144i</v>
      </c>
      <c r="AW495">
        <f t="shared" si="458"/>
        <v>207.19198623394584</v>
      </c>
      <c r="AX495">
        <f t="shared" si="459"/>
        <v>1.5659698665604043</v>
      </c>
      <c r="AY495" t="str">
        <f t="shared" si="434"/>
        <v>1-0.0000102691440677706i</v>
      </c>
      <c r="AZ495">
        <f t="shared" si="460"/>
        <v>1.0000000000527276</v>
      </c>
      <c r="BA495">
        <f t="shared" si="461"/>
        <v>-1.0269144067409621E-5</v>
      </c>
      <c r="BB495" s="58" t="str">
        <f t="shared" si="462"/>
        <v>-0.0000451985618556505+0.00938463851117941i</v>
      </c>
      <c r="BC495">
        <f t="shared" si="463"/>
        <v>-40.551548289958262</v>
      </c>
      <c r="BD495" s="60">
        <f t="shared" si="464"/>
        <v>90.27594742280985</v>
      </c>
      <c r="BE495" s="58" t="str">
        <f t="shared" si="465"/>
        <v>-0.000383601913189418-0.000174274668207605i</v>
      </c>
      <c r="BF495" s="37">
        <f t="shared" si="466"/>
        <v>-67.507476031451745</v>
      </c>
      <c r="BG495" s="60">
        <f t="shared" si="467"/>
        <v>-155.56716693407733</v>
      </c>
      <c r="BH495" s="58" t="str">
        <f t="shared" si="468"/>
        <v>0.0367179898052862+0.00260519062177135i</v>
      </c>
      <c r="BI495" s="37">
        <f t="shared" si="469"/>
        <v>-28.680614119956488</v>
      </c>
      <c r="BJ495" s="60">
        <f t="shared" si="470"/>
        <v>4.0584113780852888</v>
      </c>
      <c r="BK495">
        <f t="shared" si="471"/>
        <v>-67.507476031451745</v>
      </c>
      <c r="BL495" s="60">
        <f t="shared" si="472"/>
        <v>-155.56716693407733</v>
      </c>
      <c r="BN495">
        <f t="shared" si="473"/>
        <v>0</v>
      </c>
      <c r="BO495">
        <f t="shared" si="474"/>
        <v>0</v>
      </c>
    </row>
    <row r="496" spans="13:67" ht="14.25" x14ac:dyDescent="0.2">
      <c r="M496" s="66">
        <v>78</v>
      </c>
      <c r="N496" s="36">
        <f t="shared" si="475"/>
        <v>602559.58607435878</v>
      </c>
      <c r="O496" s="91" t="str">
        <f t="shared" si="423"/>
        <v>99.7340425531915</v>
      </c>
      <c r="P496" s="67" t="str">
        <f t="shared" si="424"/>
        <v>1+109954.918707753i</v>
      </c>
      <c r="Q496" s="67">
        <f t="shared" si="435"/>
        <v>109954.91871230032</v>
      </c>
      <c r="R496" s="67">
        <f t="shared" si="436"/>
        <v>1.5707872321585519</v>
      </c>
      <c r="S496" s="67" t="str">
        <f t="shared" si="425"/>
        <v>1+206.715247170575i</v>
      </c>
      <c r="T496" s="67">
        <f t="shared" si="437"/>
        <v>206.71766594268598</v>
      </c>
      <c r="U496" s="67">
        <f t="shared" si="438"/>
        <v>1.5659587920068521</v>
      </c>
      <c r="V496" t="str">
        <f t="shared" si="426"/>
        <v>1-21.3530035538836i</v>
      </c>
      <c r="W496" s="67">
        <f t="shared" si="439"/>
        <v>21.376406638445239</v>
      </c>
      <c r="X496" s="67">
        <f t="shared" si="440"/>
        <v>-1.523998700178945</v>
      </c>
      <c r="Y496" t="str">
        <f t="shared" si="427"/>
        <v>-84.9356342651127+33.0060975100947i</v>
      </c>
      <c r="Z496" s="67">
        <f t="shared" si="441"/>
        <v>91.123347397156493</v>
      </c>
      <c r="AA496" s="67">
        <f t="shared" si="442"/>
        <v>2.7709512020619274</v>
      </c>
      <c r="AB496" s="92" t="str">
        <f t="shared" si="443"/>
        <v>-0.0176383593661622+0.0402942805128388i</v>
      </c>
      <c r="AC496" s="37">
        <f t="shared" si="444"/>
        <v>-27.133772180683092</v>
      </c>
      <c r="AD496" s="60">
        <f t="shared" si="445"/>
        <v>113.64084813914859</v>
      </c>
      <c r="AE496" t="str">
        <f t="shared" si="446"/>
        <v>118.329284003155</v>
      </c>
      <c r="AF496" t="str">
        <f t="shared" si="428"/>
        <v>1+87963.9349662022i</v>
      </c>
      <c r="AG496">
        <f t="shared" si="447"/>
        <v>87963.934971886338</v>
      </c>
      <c r="AH496">
        <f t="shared" si="448"/>
        <v>1.5707849584994658</v>
      </c>
      <c r="AI496" t="str">
        <f t="shared" si="429"/>
        <v>1+206.715247170575i</v>
      </c>
      <c r="AJ496">
        <f t="shared" si="449"/>
        <v>206.71766594268598</v>
      </c>
      <c r="AK496">
        <f t="shared" si="450"/>
        <v>1.5659587920068521</v>
      </c>
      <c r="AL496" t="str">
        <f t="shared" si="430"/>
        <v>1-14.3975009824303i</v>
      </c>
      <c r="AM496">
        <f t="shared" si="451"/>
        <v>14.432187448168813</v>
      </c>
      <c r="AN496">
        <f t="shared" si="452"/>
        <v>-1.5014511972857558</v>
      </c>
      <c r="AO496" s="58" t="str">
        <f t="shared" si="453"/>
        <v>0.258751795569502-4.00491032000326i</v>
      </c>
      <c r="AP496">
        <f t="shared" si="454"/>
        <v>12.069946829686383</v>
      </c>
      <c r="AQ496" s="60">
        <f t="shared" si="455"/>
        <v>-86.303335720592344</v>
      </c>
      <c r="AR496" t="str">
        <f t="shared" si="431"/>
        <v>-1.94444444444444</v>
      </c>
      <c r="AS496" t="str">
        <f t="shared" si="432"/>
        <v>1+212.015638123666i</v>
      </c>
      <c r="AT496">
        <f t="shared" si="456"/>
        <v>212.01799642715545</v>
      </c>
      <c r="AU496">
        <f t="shared" si="457"/>
        <v>1.5660797285599459</v>
      </c>
      <c r="AV496" t="str">
        <f t="shared" si="433"/>
        <v>1+212.015638123666i</v>
      </c>
      <c r="AW496">
        <f t="shared" si="458"/>
        <v>212.01799642715545</v>
      </c>
      <c r="AX496">
        <f t="shared" si="459"/>
        <v>1.5660797285599459</v>
      </c>
      <c r="AY496" t="str">
        <f t="shared" si="434"/>
        <v>1-0.000010035389810383i</v>
      </c>
      <c r="AZ496">
        <f t="shared" si="460"/>
        <v>1.0000000000503544</v>
      </c>
      <c r="BA496">
        <f t="shared" si="461"/>
        <v>-1.0035389810046114E-5</v>
      </c>
      <c r="BB496" s="58" t="str">
        <f t="shared" si="462"/>
        <v>-0.0000431643367256289+0.00917102765303364i</v>
      </c>
      <c r="BC496">
        <f t="shared" si="463"/>
        <v>-40.751543736716357</v>
      </c>
      <c r="BD496" s="60">
        <f t="shared" si="464"/>
        <v>90.269666187039647</v>
      </c>
      <c r="BE496" s="58" t="str">
        <f t="shared" si="465"/>
        <v>-0.00036877861275937-0.000163501157393392i</v>
      </c>
      <c r="BF496" s="37">
        <f t="shared" si="466"/>
        <v>-67.885315917399453</v>
      </c>
      <c r="BG496" s="60">
        <f t="shared" si="467"/>
        <v>-156.08948567381168</v>
      </c>
      <c r="BH496" s="58" t="str">
        <f t="shared" si="468"/>
        <v>0.0367179744430374+0.00254588917004858i</v>
      </c>
      <c r="BI496" s="37">
        <f t="shared" si="469"/>
        <v>-28.68159690702997</v>
      </c>
      <c r="BJ496" s="60">
        <f t="shared" si="470"/>
        <v>3.9663304664473045</v>
      </c>
      <c r="BK496">
        <f t="shared" si="471"/>
        <v>-67.885315917399453</v>
      </c>
      <c r="BL496" s="60">
        <f t="shared" si="472"/>
        <v>-156.08948567381168</v>
      </c>
      <c r="BN496">
        <f t="shared" si="473"/>
        <v>0</v>
      </c>
      <c r="BO496">
        <f t="shared" si="474"/>
        <v>0</v>
      </c>
    </row>
    <row r="497" spans="13:67" ht="14.25" x14ac:dyDescent="0.2">
      <c r="M497" s="66">
        <v>79</v>
      </c>
      <c r="N497" s="36">
        <f t="shared" si="475"/>
        <v>616595.00186148309</v>
      </c>
      <c r="O497" s="91" t="str">
        <f t="shared" si="423"/>
        <v>99.7340425531915</v>
      </c>
      <c r="P497" s="67" t="str">
        <f t="shared" si="424"/>
        <v>1+112516.097780444i</v>
      </c>
      <c r="Q497" s="67">
        <f t="shared" si="435"/>
        <v>112516.09778488781</v>
      </c>
      <c r="R497" s="67">
        <f t="shared" si="436"/>
        <v>1.5707874391777494</v>
      </c>
      <c r="S497" s="67" t="str">
        <f t="shared" si="425"/>
        <v>1+211.530263827234i</v>
      </c>
      <c r="T497" s="67">
        <f t="shared" si="437"/>
        <v>211.53262754199227</v>
      </c>
      <c r="U497" s="67">
        <f t="shared" si="438"/>
        <v>1.5660689060826365</v>
      </c>
      <c r="V497" t="str">
        <f t="shared" si="426"/>
        <v>1-21.8503789008351i</v>
      </c>
      <c r="W497" s="67">
        <f t="shared" si="439"/>
        <v>21.873249829644877</v>
      </c>
      <c r="X497" s="67">
        <f t="shared" si="440"/>
        <v>-1.5250624422140813</v>
      </c>
      <c r="Y497" t="str">
        <f t="shared" si="427"/>
        <v>-88.9856559338609+33.7749082846152i</v>
      </c>
      <c r="Z497" s="67">
        <f t="shared" si="441"/>
        <v>95.179784574318305</v>
      </c>
      <c r="AA497" s="67">
        <f t="shared" si="442"/>
        <v>2.7788349671665893</v>
      </c>
      <c r="AB497" s="92" t="str">
        <f t="shared" si="443"/>
        <v>-0.0169295937355534+0.0396247623795077i</v>
      </c>
      <c r="AC497" s="37">
        <f t="shared" si="444"/>
        <v>-27.312505583126057</v>
      </c>
      <c r="AD497" s="60">
        <f t="shared" si="445"/>
        <v>113.13449095335609</v>
      </c>
      <c r="AE497" t="str">
        <f t="shared" si="446"/>
        <v>118.329284003155</v>
      </c>
      <c r="AF497" t="str">
        <f t="shared" si="428"/>
        <v>1+90012.8782243548i</v>
      </c>
      <c r="AG497">
        <f t="shared" si="447"/>
        <v>90012.878229909562</v>
      </c>
      <c r="AH497">
        <f t="shared" si="448"/>
        <v>1.5707852172734627</v>
      </c>
      <c r="AI497" t="str">
        <f t="shared" si="429"/>
        <v>1+211.530263827234i</v>
      </c>
      <c r="AJ497">
        <f t="shared" si="449"/>
        <v>211.53262754199227</v>
      </c>
      <c r="AK497">
        <f t="shared" si="450"/>
        <v>1.5660689060826365</v>
      </c>
      <c r="AL497" t="str">
        <f t="shared" si="430"/>
        <v>1-14.7328618616762i</v>
      </c>
      <c r="AM497">
        <f t="shared" si="451"/>
        <v>14.766760600593249</v>
      </c>
      <c r="AN497">
        <f t="shared" si="452"/>
        <v>-1.5030248003179516</v>
      </c>
      <c r="AO497" s="58" t="str">
        <f t="shared" si="453"/>
        <v>0.258751794882723-4.09813484632074i</v>
      </c>
      <c r="AP497">
        <f t="shared" si="454"/>
        <v>12.269003719444118</v>
      </c>
      <c r="AQ497" s="60">
        <f t="shared" si="455"/>
        <v>-86.387202287816606</v>
      </c>
      <c r="AR497" t="str">
        <f t="shared" si="431"/>
        <v>-1.94444444444444</v>
      </c>
      <c r="AS497" t="str">
        <f t="shared" si="432"/>
        <v>1+216.95411674588i</v>
      </c>
      <c r="AT497">
        <f t="shared" si="456"/>
        <v>216.95642136840505</v>
      </c>
      <c r="AU497">
        <f t="shared" si="457"/>
        <v>1.5661870899050845</v>
      </c>
      <c r="AV497" t="str">
        <f t="shared" si="433"/>
        <v>1+216.95411674588i</v>
      </c>
      <c r="AW497">
        <f t="shared" si="458"/>
        <v>216.95642136840505</v>
      </c>
      <c r="AX497">
        <f t="shared" si="459"/>
        <v>1.5661870899050845</v>
      </c>
      <c r="AY497" t="str">
        <f t="shared" si="434"/>
        <v>1-0.0000098069564495069i</v>
      </c>
      <c r="AZ497">
        <f t="shared" si="460"/>
        <v>1.0000000000480882</v>
      </c>
      <c r="BA497">
        <f t="shared" si="461"/>
        <v>-9.8069564491924994E-6</v>
      </c>
      <c r="BB497" s="58" t="str">
        <f t="shared" si="462"/>
        <v>-0.0000412216628263255+0.00896227853126709i</v>
      </c>
      <c r="BC497">
        <f t="shared" si="463"/>
        <v>-40.951539388399631</v>
      </c>
      <c r="BD497" s="60">
        <f t="shared" si="464"/>
        <v>90.263527923347837</v>
      </c>
      <c r="BE497" s="58" t="str">
        <f t="shared" si="465"/>
        <v>-0.000354430291175668-0.000153361133073605i</v>
      </c>
      <c r="BF497" s="37">
        <f t="shared" si="466"/>
        <v>-68.264044971525692</v>
      </c>
      <c r="BG497" s="60">
        <f t="shared" si="467"/>
        <v>-156.6019811232961</v>
      </c>
      <c r="BH497" s="58" t="str">
        <f t="shared" si="468"/>
        <v>0.0367179597721736+0.0024879375890561i</v>
      </c>
      <c r="BI497" s="37">
        <f t="shared" si="469"/>
        <v>-28.682535668955506</v>
      </c>
      <c r="BJ497" s="60">
        <f t="shared" si="470"/>
        <v>3.8763256355312241</v>
      </c>
      <c r="BK497">
        <f t="shared" si="471"/>
        <v>-68.264044971525692</v>
      </c>
      <c r="BL497" s="60">
        <f t="shared" si="472"/>
        <v>-156.6019811232961</v>
      </c>
      <c r="BN497">
        <f t="shared" si="473"/>
        <v>0</v>
      </c>
      <c r="BO497">
        <f t="shared" si="474"/>
        <v>0</v>
      </c>
    </row>
    <row r="498" spans="13:67" ht="14.25" x14ac:dyDescent="0.2">
      <c r="M498" s="66">
        <v>80</v>
      </c>
      <c r="N498" s="36">
        <f t="shared" si="475"/>
        <v>630957.34448019415</v>
      </c>
      <c r="O498" s="91" t="str">
        <f t="shared" si="423"/>
        <v>99.7340425531915</v>
      </c>
      <c r="P498" s="67" t="str">
        <f t="shared" si="424"/>
        <v>1+115136.934377504i</v>
      </c>
      <c r="Q498" s="67">
        <f t="shared" si="435"/>
        <v>115136.93438184667</v>
      </c>
      <c r="R498" s="67">
        <f t="shared" si="436"/>
        <v>1.5707876414846147</v>
      </c>
      <c r="S498" s="67" t="str">
        <f t="shared" si="425"/>
        <v>1+216.457436629707i</v>
      </c>
      <c r="T498" s="67">
        <f t="shared" si="437"/>
        <v>216.45974654032935</v>
      </c>
      <c r="U498" s="67">
        <f t="shared" si="438"/>
        <v>1.5661765137668211</v>
      </c>
      <c r="V498" t="str">
        <f t="shared" si="426"/>
        <v>1-22.3593396079038i</v>
      </c>
      <c r="W498" s="67">
        <f t="shared" si="439"/>
        <v>22.381690456745567</v>
      </c>
      <c r="X498" s="67">
        <f t="shared" si="440"/>
        <v>-1.5261020706143118</v>
      </c>
      <c r="Y498" t="str">
        <f t="shared" si="427"/>
        <v>-93.2265492434313+34.5616269625719i</v>
      </c>
      <c r="Z498" s="67">
        <f t="shared" si="441"/>
        <v>99.426835120795715</v>
      </c>
      <c r="AA498" s="67">
        <f t="shared" si="442"/>
        <v>2.7865731631962656</v>
      </c>
      <c r="AB498" s="92" t="str">
        <f t="shared" si="443"/>
        <v>-0.0162459968042989+0.0389562081325674i</v>
      </c>
      <c r="AC498" s="37">
        <f t="shared" si="444"/>
        <v>-27.492096477434835</v>
      </c>
      <c r="AD498" s="60">
        <f t="shared" si="445"/>
        <v>112.63771253503305</v>
      </c>
      <c r="AE498" t="str">
        <f t="shared" si="446"/>
        <v>118.329284003155</v>
      </c>
      <c r="AF498" t="str">
        <f t="shared" si="428"/>
        <v>1+92109.5475020031i</v>
      </c>
      <c r="AG498">
        <f t="shared" si="447"/>
        <v>92109.547507431416</v>
      </c>
      <c r="AH498">
        <f t="shared" si="448"/>
        <v>1.5707854701570445</v>
      </c>
      <c r="AI498" t="str">
        <f t="shared" si="429"/>
        <v>1+216.457436629707i</v>
      </c>
      <c r="AJ498">
        <f t="shared" si="449"/>
        <v>216.45974654032935</v>
      </c>
      <c r="AK498">
        <f t="shared" si="450"/>
        <v>1.5661765137668211</v>
      </c>
      <c r="AL498" t="str">
        <f t="shared" si="430"/>
        <v>1-15.0760342992936i</v>
      </c>
      <c r="AM498">
        <f t="shared" si="451"/>
        <v>15.109163120222014</v>
      </c>
      <c r="AN498">
        <f t="shared" si="452"/>
        <v>-1.5045629086571397</v>
      </c>
      <c r="AO498" s="58" t="str">
        <f t="shared" si="453"/>
        <v>0.258751794226856-4.19353225797894i</v>
      </c>
      <c r="AP498">
        <f t="shared" si="454"/>
        <v>12.468102866774897</v>
      </c>
      <c r="AQ498" s="60">
        <f t="shared" si="455"/>
        <v>-86.469178427100928</v>
      </c>
      <c r="AR498" t="str">
        <f t="shared" si="431"/>
        <v>-1.94444444444444</v>
      </c>
      <c r="AS498" t="str">
        <f t="shared" si="432"/>
        <v>1+222.007627312519i</v>
      </c>
      <c r="AT498">
        <f t="shared" si="456"/>
        <v>222.00987947596911</v>
      </c>
      <c r="AU498">
        <f t="shared" si="457"/>
        <v>1.5662920075103204</v>
      </c>
      <c r="AV498" t="str">
        <f t="shared" si="433"/>
        <v>1+222.007627312519i</v>
      </c>
      <c r="AW498">
        <f t="shared" si="458"/>
        <v>222.00987947596911</v>
      </c>
      <c r="AX498">
        <f t="shared" si="459"/>
        <v>1.5662920075103204</v>
      </c>
      <c r="AY498" t="str">
        <f t="shared" si="434"/>
        <v>1-0.0000095837228667508i</v>
      </c>
      <c r="AZ498">
        <f t="shared" si="460"/>
        <v>1.0000000000459237</v>
      </c>
      <c r="BA498">
        <f t="shared" si="461"/>
        <v>-9.5837228664573859E-6</v>
      </c>
      <c r="BB498" s="58" t="str">
        <f t="shared" si="462"/>
        <v>-0.0000393664200239469+0.00875828052198985i</v>
      </c>
      <c r="BC498">
        <f t="shared" si="463"/>
        <v>-41.151535235785303</v>
      </c>
      <c r="BD498" s="60">
        <f t="shared" si="464"/>
        <v>90.257529377713325</v>
      </c>
      <c r="BE498" s="58" t="str">
        <f t="shared" si="465"/>
        <v>-0.000340549852164142-0.000143820563823287i</v>
      </c>
      <c r="BF498" s="37">
        <f t="shared" si="466"/>
        <v>-68.643631713220131</v>
      </c>
      <c r="BG498" s="60">
        <f t="shared" si="467"/>
        <v>-157.10475808725366</v>
      </c>
      <c r="BH498" s="58" t="str">
        <f t="shared" si="468"/>
        <v>0.0367179457615796+0.00243130515165857i</v>
      </c>
      <c r="BI498" s="37">
        <f t="shared" si="469"/>
        <v>-28.683432369010401</v>
      </c>
      <c r="BJ498" s="60">
        <f t="shared" si="470"/>
        <v>3.7883509506123989</v>
      </c>
      <c r="BK498">
        <f t="shared" si="471"/>
        <v>-68.643631713220131</v>
      </c>
      <c r="BL498" s="60">
        <f t="shared" si="472"/>
        <v>-157.10475808725366</v>
      </c>
      <c r="BN498">
        <f t="shared" si="473"/>
        <v>0</v>
      </c>
      <c r="BO498">
        <f t="shared" si="474"/>
        <v>0</v>
      </c>
    </row>
    <row r="499" spans="13:67" ht="14.25" x14ac:dyDescent="0.2">
      <c r="M499" s="66">
        <v>81</v>
      </c>
      <c r="N499" s="36">
        <f t="shared" si="475"/>
        <v>645654.22903465747</v>
      </c>
      <c r="O499" s="91" t="str">
        <f t="shared" si="423"/>
        <v>99.7340425531915</v>
      </c>
      <c r="P499" s="67" t="str">
        <f t="shared" si="424"/>
        <v>1+117818.818101189i</v>
      </c>
      <c r="Q499" s="67">
        <f t="shared" si="435"/>
        <v>117818.81810543279</v>
      </c>
      <c r="R499" s="67">
        <f t="shared" si="436"/>
        <v>1.5707878391864136</v>
      </c>
      <c r="S499" s="67" t="str">
        <f t="shared" si="425"/>
        <v>1+221.499378030235i</v>
      </c>
      <c r="T499" s="67">
        <f t="shared" si="437"/>
        <v>221.50163536141432</v>
      </c>
      <c r="U499" s="67">
        <f t="shared" si="438"/>
        <v>1.5662816721044504</v>
      </c>
      <c r="V499" t="str">
        <f t="shared" si="426"/>
        <v>1-22.8801555327935i</v>
      </c>
      <c r="W499" s="67">
        <f t="shared" si="439"/>
        <v>22.901998105074174</v>
      </c>
      <c r="X499" s="67">
        <f t="shared" si="440"/>
        <v>-1.5271181276099908</v>
      </c>
      <c r="Y499" t="str">
        <f t="shared" si="427"/>
        <v>-97.6673096971214+35.3666706726214i</v>
      </c>
      <c r="Z499" s="67">
        <f t="shared" si="441"/>
        <v>103.87350373381598</v>
      </c>
      <c r="AA499" s="67">
        <f t="shared" si="442"/>
        <v>2.7941671433960842</v>
      </c>
      <c r="AB499" s="92" t="str">
        <f t="shared" si="443"/>
        <v>-0.0155869399357955+0.0382893322100469i</v>
      </c>
      <c r="AC499" s="37">
        <f t="shared" si="444"/>
        <v>-27.672514171542435</v>
      </c>
      <c r="AD499" s="60">
        <f t="shared" si="445"/>
        <v>112.15040754372833</v>
      </c>
      <c r="AE499" t="str">
        <f t="shared" si="446"/>
        <v>118.329284003155</v>
      </c>
      <c r="AF499" t="str">
        <f t="shared" si="428"/>
        <v>1+94255.0544809512i</v>
      </c>
      <c r="AG499">
        <f t="shared" si="447"/>
        <v>94255.054486255947</v>
      </c>
      <c r="AH499">
        <f t="shared" si="448"/>
        <v>1.5707857172842929</v>
      </c>
      <c r="AI499" t="str">
        <f t="shared" si="429"/>
        <v>1+221.499378030235i</v>
      </c>
      <c r="AJ499">
        <f t="shared" si="449"/>
        <v>221.50163536141432</v>
      </c>
      <c r="AK499">
        <f t="shared" si="450"/>
        <v>1.5662816721044504</v>
      </c>
      <c r="AL499" t="str">
        <f t="shared" si="430"/>
        <v>1-15.4272002498515i</v>
      </c>
      <c r="AM499">
        <f t="shared" si="451"/>
        <v>15.459576564350598</v>
      </c>
      <c r="AN499">
        <f t="shared" si="452"/>
        <v>-1.5060663087017685</v>
      </c>
      <c r="AO499" s="58" t="str">
        <f t="shared" si="453"/>
        <v>0.258751793600506-4.29115313594832i</v>
      </c>
      <c r="AP499">
        <f t="shared" si="454"/>
        <v>12.667242386366787</v>
      </c>
      <c r="AQ499" s="60">
        <f t="shared" si="455"/>
        <v>-86.549305934999538</v>
      </c>
      <c r="AR499" t="str">
        <f t="shared" si="431"/>
        <v>-1.94444444444444</v>
      </c>
      <c r="AS499" t="str">
        <f t="shared" si="432"/>
        <v>1+227.178849261779i</v>
      </c>
      <c r="AT499">
        <f t="shared" si="456"/>
        <v>227.18105016023256</v>
      </c>
      <c r="AU499">
        <f t="shared" si="457"/>
        <v>1.5663945369951127</v>
      </c>
      <c r="AV499" t="str">
        <f t="shared" si="433"/>
        <v>1+227.178849261779i</v>
      </c>
      <c r="AW499">
        <f t="shared" si="458"/>
        <v>227.18105016023256</v>
      </c>
      <c r="AX499">
        <f t="shared" si="459"/>
        <v>1.5663945369951127</v>
      </c>
      <c r="AY499" t="str">
        <f t="shared" si="434"/>
        <v>1-9.36557070071419E-06i</v>
      </c>
      <c r="AZ499">
        <f t="shared" si="460"/>
        <v>1.0000000000438569</v>
      </c>
      <c r="BA499">
        <f t="shared" si="461"/>
        <v>-9.3655707004403603E-6</v>
      </c>
      <c r="BB499" s="58" t="str">
        <f t="shared" si="462"/>
        <v>-0.0000375946735904403+0.00855892551656648i</v>
      </c>
      <c r="BC499">
        <f t="shared" si="463"/>
        <v>-41.351531270065756</v>
      </c>
      <c r="BD499" s="60">
        <f t="shared" si="464"/>
        <v>90.251667370157492</v>
      </c>
      <c r="BE499" s="58" t="str">
        <f t="shared" si="465"/>
        <v>-0.000327129556545701-0.000134846932888102i</v>
      </c>
      <c r="BF499" s="37">
        <f t="shared" si="466"/>
        <v>-69.024045441608195</v>
      </c>
      <c r="BG499" s="60">
        <f t="shared" si="467"/>
        <v>-157.59792508611415</v>
      </c>
      <c r="BH499" s="58" t="str">
        <f t="shared" si="468"/>
        <v>0.036717932381541+0.00237596183017729i</v>
      </c>
      <c r="BI499" s="37">
        <f t="shared" si="469"/>
        <v>-28.684288883698969</v>
      </c>
      <c r="BJ499" s="60">
        <f t="shared" si="470"/>
        <v>3.7023614351579672</v>
      </c>
      <c r="BK499">
        <f t="shared" si="471"/>
        <v>-69.024045441608195</v>
      </c>
      <c r="BL499" s="60">
        <f t="shared" si="472"/>
        <v>-157.59792508611415</v>
      </c>
      <c r="BN499">
        <f t="shared" si="473"/>
        <v>0</v>
      </c>
      <c r="BO499">
        <f t="shared" si="474"/>
        <v>0</v>
      </c>
    </row>
    <row r="500" spans="13:67" ht="14.25" x14ac:dyDescent="0.2">
      <c r="M500" s="66">
        <v>82</v>
      </c>
      <c r="N500" s="36">
        <f t="shared" si="475"/>
        <v>660693.44800759677</v>
      </c>
      <c r="O500" s="91" t="str">
        <f t="shared" si="423"/>
        <v>99.7340425531915</v>
      </c>
      <c r="P500" s="67" t="str">
        <f t="shared" si="424"/>
        <v>1+120563.170921747i</v>
      </c>
      <c r="Q500" s="67">
        <f t="shared" si="435"/>
        <v>120563.17092589423</v>
      </c>
      <c r="R500" s="67">
        <f t="shared" si="436"/>
        <v>1.5707880323879702</v>
      </c>
      <c r="S500" s="67" t="str">
        <f t="shared" si="425"/>
        <v>1+226.658761332885i</v>
      </c>
      <c r="T500" s="67">
        <f t="shared" si="437"/>
        <v>226.66096728143935</v>
      </c>
      <c r="U500" s="67">
        <f t="shared" si="438"/>
        <v>1.5663844368425586</v>
      </c>
      <c r="V500" t="str">
        <f t="shared" si="426"/>
        <v>1-23.4131028190013i</v>
      </c>
      <c r="W500" s="67">
        <f t="shared" si="439"/>
        <v>23.434448651784546</v>
      </c>
      <c r="X500" s="67">
        <f t="shared" si="440"/>
        <v>-1.5281111435316195</v>
      </c>
      <c r="Y500" t="str">
        <f t="shared" si="427"/>
        <v>-102.317356743235+36.1904662595947i</v>
      </c>
      <c r="Z500" s="67">
        <f t="shared" si="441"/>
        <v>108.52921882612662</v>
      </c>
      <c r="AA500" s="67">
        <f t="shared" si="442"/>
        <v>2.801618332038299</v>
      </c>
      <c r="AB500" s="92" t="str">
        <f t="shared" si="443"/>
        <v>-0.0149517883555065+0.0376248033469055i</v>
      </c>
      <c r="AC500" s="37">
        <f t="shared" si="444"/>
        <v>-27.85372876086295</v>
      </c>
      <c r="AD500" s="60">
        <f t="shared" si="445"/>
        <v>111.67246717701775</v>
      </c>
      <c r="AE500" t="str">
        <f t="shared" si="446"/>
        <v>118.329284003155</v>
      </c>
      <c r="AF500" t="str">
        <f t="shared" si="428"/>
        <v>1+96450.5367373979i</v>
      </c>
      <c r="AG500">
        <f t="shared" si="447"/>
        <v>96450.536742581884</v>
      </c>
      <c r="AH500">
        <f t="shared" si="448"/>
        <v>1.5707859587862385</v>
      </c>
      <c r="AI500" t="str">
        <f t="shared" si="429"/>
        <v>1+226.658761332885i</v>
      </c>
      <c r="AJ500">
        <f t="shared" si="449"/>
        <v>226.66096728143935</v>
      </c>
      <c r="AK500">
        <f t="shared" si="450"/>
        <v>1.5663844368425586</v>
      </c>
      <c r="AL500" t="str">
        <f t="shared" si="430"/>
        <v>1-15.7865459061849i</v>
      </c>
      <c r="AM500">
        <f t="shared" si="451"/>
        <v>15.818186737046799</v>
      </c>
      <c r="AN500">
        <f t="shared" si="452"/>
        <v>-1.5075357703751118</v>
      </c>
      <c r="AO500" s="58" t="str">
        <f t="shared" si="453"/>
        <v>0.258751793002349-4.39104924011048i</v>
      </c>
      <c r="AP500">
        <f t="shared" si="454"/>
        <v>12.866420476309862</v>
      </c>
      <c r="AQ500" s="60">
        <f t="shared" si="455"/>
        <v>-86.627625738304189</v>
      </c>
      <c r="AR500" t="str">
        <f t="shared" si="431"/>
        <v>-1.94444444444444</v>
      </c>
      <c r="AS500" t="str">
        <f t="shared" si="432"/>
        <v>1+232.470524443984i</v>
      </c>
      <c r="AT500">
        <f t="shared" si="456"/>
        <v>232.4726752443413</v>
      </c>
      <c r="AU500">
        <f t="shared" si="457"/>
        <v>1.5664947327133232</v>
      </c>
      <c r="AV500" t="str">
        <f t="shared" si="433"/>
        <v>1+232.470524443984i</v>
      </c>
      <c r="AW500">
        <f t="shared" si="458"/>
        <v>232.4726752443413</v>
      </c>
      <c r="AX500">
        <f t="shared" si="459"/>
        <v>1.5664947327133232</v>
      </c>
      <c r="AY500" t="str">
        <f t="shared" si="434"/>
        <v>1-9.15238428423111E-06i</v>
      </c>
      <c r="AZ500">
        <f t="shared" si="460"/>
        <v>1.0000000000418829</v>
      </c>
      <c r="BA500">
        <f t="shared" si="461"/>
        <v>-9.1523842839755563E-6</v>
      </c>
      <c r="BB500" s="58" t="str">
        <f t="shared" si="462"/>
        <v>-0.0000359026658615758+0.00836410786455253i</v>
      </c>
      <c r="BC500">
        <f t="shared" si="463"/>
        <v>-41.551527482829584</v>
      </c>
      <c r="BD500" s="60">
        <f t="shared" si="464"/>
        <v>90.245938793060645</v>
      </c>
      <c r="BE500" s="58" t="str">
        <f t="shared" si="465"/>
        <v>-0.000314161104514734-0.000126409201316088i</v>
      </c>
      <c r="BF500" s="37">
        <f t="shared" si="466"/>
        <v>-69.405256243692534</v>
      </c>
      <c r="BG500" s="60">
        <f t="shared" si="467"/>
        <v>-158.08159402992166</v>
      </c>
      <c r="BH500" s="58" t="str">
        <f t="shared" si="468"/>
        <v>0.0367179196036802+0.00232187828046743i</v>
      </c>
      <c r="BI500" s="37">
        <f t="shared" si="469"/>
        <v>-28.685107006519726</v>
      </c>
      <c r="BJ500" s="60">
        <f t="shared" si="470"/>
        <v>3.6183130547564777</v>
      </c>
      <c r="BK500">
        <f t="shared" si="471"/>
        <v>-69.405256243692534</v>
      </c>
      <c r="BL500" s="60">
        <f t="shared" si="472"/>
        <v>-158.08159402992166</v>
      </c>
      <c r="BN500">
        <f t="shared" si="473"/>
        <v>0</v>
      </c>
      <c r="BO500">
        <f t="shared" si="474"/>
        <v>0</v>
      </c>
    </row>
    <row r="501" spans="13:67" ht="14.25" x14ac:dyDescent="0.2">
      <c r="M501" s="66">
        <v>83</v>
      </c>
      <c r="N501" s="36">
        <f t="shared" si="475"/>
        <v>676082.97539198259</v>
      </c>
      <c r="O501" s="91" t="str">
        <f t="shared" si="423"/>
        <v>99.7340425531915</v>
      </c>
      <c r="P501" s="67" t="str">
        <f t="shared" si="424"/>
        <v>1+123371.447931371i</v>
      </c>
      <c r="Q501" s="67">
        <f t="shared" si="435"/>
        <v>123371.4479354238</v>
      </c>
      <c r="R501" s="67">
        <f t="shared" si="436"/>
        <v>1.5707882211917223</v>
      </c>
      <c r="S501" s="67" t="str">
        <f t="shared" si="425"/>
        <v>1+231.938322110977i</v>
      </c>
      <c r="T501" s="67">
        <f t="shared" si="437"/>
        <v>231.94047784648396</v>
      </c>
      <c r="U501" s="67">
        <f t="shared" si="438"/>
        <v>1.566484862459683</v>
      </c>
      <c r="V501" t="str">
        <f t="shared" si="426"/>
        <v>1-23.9584640422328i</v>
      </c>
      <c r="W501" s="67">
        <f t="shared" si="439"/>
        <v>23.97932441214644</v>
      </c>
      <c r="X501" s="67">
        <f t="shared" si="440"/>
        <v>-1.5290816370513722</v>
      </c>
      <c r="Y501" t="str">
        <f t="shared" si="427"/>
        <v>-107.186553755+37.0334505108163i</v>
      </c>
      <c r="Z501" s="67">
        <f t="shared" si="441"/>
        <v>113.40385250338979</v>
      </c>
      <c r="AA501" s="67">
        <f t="shared" si="442"/>
        <v>2.8089282186604811</v>
      </c>
      <c r="AB501" s="92" t="str">
        <f t="shared" si="443"/>
        <v>-0.0143399033907045+0.0369632459300037i</v>
      </c>
      <c r="AC501" s="37">
        <f t="shared" si="444"/>
        <v>-28.035711133653336</v>
      </c>
      <c r="AD501" s="60">
        <f t="shared" si="445"/>
        <v>111.20377948847889</v>
      </c>
      <c r="AE501" t="str">
        <f t="shared" si="446"/>
        <v>118.329284003155</v>
      </c>
      <c r="AF501" t="str">
        <f t="shared" si="428"/>
        <v>1+98697.1583450967i</v>
      </c>
      <c r="AG501">
        <f t="shared" si="447"/>
        <v>98697.158350162703</v>
      </c>
      <c r="AH501">
        <f t="shared" si="448"/>
        <v>1.5707861947909287</v>
      </c>
      <c r="AI501" t="str">
        <f t="shared" si="429"/>
        <v>1+231.938322110977i</v>
      </c>
      <c r="AJ501">
        <f t="shared" si="449"/>
        <v>231.94047784648396</v>
      </c>
      <c r="AK501">
        <f t="shared" si="450"/>
        <v>1.566484862459683</v>
      </c>
      <c r="AL501" t="str">
        <f t="shared" si="430"/>
        <v>1-16.1542617981175i</v>
      </c>
      <c r="AM501">
        <f t="shared" si="451"/>
        <v>16.185183787715186</v>
      </c>
      <c r="AN501">
        <f t="shared" si="452"/>
        <v>-1.5089720474066155</v>
      </c>
      <c r="AO501" s="58" t="str">
        <f t="shared" si="453"/>
        <v>0.258751792431111-4.49327353670217i</v>
      </c>
      <c r="AP501">
        <f t="shared" si="454"/>
        <v>13.065635414469444</v>
      </c>
      <c r="AQ501" s="60">
        <f t="shared" si="455"/>
        <v>-86.704177908477391</v>
      </c>
      <c r="AR501" t="str">
        <f t="shared" si="431"/>
        <v>-1.94444444444444</v>
      </c>
      <c r="AS501" t="str">
        <f t="shared" si="432"/>
        <v>1+237.88545857536i</v>
      </c>
      <c r="AT501">
        <f t="shared" si="456"/>
        <v>237.88756041796157</v>
      </c>
      <c r="AU501">
        <f t="shared" si="457"/>
        <v>1.5665926477819967</v>
      </c>
      <c r="AV501" t="str">
        <f t="shared" si="433"/>
        <v>1+237.88545857536i</v>
      </c>
      <c r="AW501">
        <f t="shared" si="458"/>
        <v>237.88756041796157</v>
      </c>
      <c r="AX501">
        <f t="shared" si="459"/>
        <v>1.5665926477819967</v>
      </c>
      <c r="AY501" t="str">
        <f t="shared" si="434"/>
        <v>1-8.94405058304165E-06i</v>
      </c>
      <c r="AZ501">
        <f t="shared" si="460"/>
        <v>1.000000000039998</v>
      </c>
      <c r="BA501">
        <f t="shared" si="461"/>
        <v>-8.9440505828031551E-6</v>
      </c>
      <c r="BB501" s="58" t="str">
        <f t="shared" si="462"/>
        <v>-0.0000342868082702321+0.00817372431791663i</v>
      </c>
      <c r="BC501">
        <f t="shared" si="463"/>
        <v>-41.75152386604401</v>
      </c>
      <c r="BD501" s="60">
        <f t="shared" si="464"/>
        <v>90.240340609516736</v>
      </c>
      <c r="BE501" s="58" t="str">
        <f t="shared" si="465"/>
        <v>-0.000301635712609033-0.000118477768787424i</v>
      </c>
      <c r="BF501" s="37">
        <f t="shared" si="466"/>
        <v>-69.787234999697347</v>
      </c>
      <c r="BG501" s="60">
        <f t="shared" si="467"/>
        <v>-158.55587990200434</v>
      </c>
      <c r="BH501" s="58" t="str">
        <f t="shared" si="468"/>
        <v>0.0367179074008971+0.0022690258263573i</v>
      </c>
      <c r="BI501" s="37">
        <f t="shared" si="469"/>
        <v>-28.68588845157457</v>
      </c>
      <c r="BJ501" s="60">
        <f t="shared" si="470"/>
        <v>3.5361627010393359</v>
      </c>
      <c r="BK501">
        <f t="shared" si="471"/>
        <v>-69.787234999697347</v>
      </c>
      <c r="BL501" s="60">
        <f t="shared" si="472"/>
        <v>-158.55587990200434</v>
      </c>
      <c r="BN501">
        <f t="shared" si="473"/>
        <v>0</v>
      </c>
      <c r="BO501">
        <f t="shared" si="474"/>
        <v>0</v>
      </c>
    </row>
    <row r="502" spans="13:67" ht="14.25" x14ac:dyDescent="0.2">
      <c r="M502" s="66">
        <v>84</v>
      </c>
      <c r="N502" s="36">
        <f t="shared" si="475"/>
        <v>691830.97091893724</v>
      </c>
      <c r="O502" s="91" t="str">
        <f t="shared" si="423"/>
        <v>99.7340425531915</v>
      </c>
      <c r="P502" s="67" t="str">
        <f t="shared" si="424"/>
        <v>1+126245.138115702i</v>
      </c>
      <c r="Q502" s="67">
        <f t="shared" si="435"/>
        <v>126245.13811966253</v>
      </c>
      <c r="R502" s="67">
        <f t="shared" si="436"/>
        <v>1.5707884056977763</v>
      </c>
      <c r="S502" s="67" t="str">
        <f t="shared" si="425"/>
        <v>1+237.340859657519i</v>
      </c>
      <c r="T502" s="67">
        <f t="shared" si="437"/>
        <v>237.34296632293555</v>
      </c>
      <c r="U502" s="67">
        <f t="shared" si="438"/>
        <v>1.566583002194708</v>
      </c>
      <c r="V502" t="str">
        <f t="shared" si="426"/>
        <v>1-24.5165283602272i</v>
      </c>
      <c r="W502" s="67">
        <f t="shared" si="439"/>
        <v>24.536914289246408</v>
      </c>
      <c r="X502" s="67">
        <f t="shared" si="440"/>
        <v>-1.530030115421058</v>
      </c>
      <c r="Y502" t="str">
        <f t="shared" si="427"/>
        <v>-112.285228952104+37.8960703876944i</v>
      </c>
      <c r="Z502" s="67">
        <f t="shared" si="441"/>
        <v>118.50774148407143</v>
      </c>
      <c r="AA502" s="67">
        <f t="shared" si="442"/>
        <v>2.8160983524880612</v>
      </c>
      <c r="AB502" s="92" t="str">
        <f t="shared" si="443"/>
        <v>-0.0137506445431443+0.0363052414201182i</v>
      </c>
      <c r="AC502" s="37">
        <f t="shared" si="444"/>
        <v>-28.21843297377648</v>
      </c>
      <c r="AD502" s="60">
        <f t="shared" si="445"/>
        <v>110.74422969527348</v>
      </c>
      <c r="AE502" t="str">
        <f t="shared" si="446"/>
        <v>118.329284003155</v>
      </c>
      <c r="AF502" t="str">
        <f t="shared" si="428"/>
        <v>1+100996.110492561i</v>
      </c>
      <c r="AG502">
        <f t="shared" si="447"/>
        <v>100996.11049751168</v>
      </c>
      <c r="AH502">
        <f t="shared" si="448"/>
        <v>1.5707864254234964</v>
      </c>
      <c r="AI502" t="str">
        <f t="shared" si="429"/>
        <v>1+237.340859657519i</v>
      </c>
      <c r="AJ502">
        <f t="shared" si="449"/>
        <v>237.34296632293555</v>
      </c>
      <c r="AK502">
        <f t="shared" si="450"/>
        <v>1.566583002194708</v>
      </c>
      <c r="AL502" t="str">
        <f t="shared" si="430"/>
        <v>1-16.5305428934823i</v>
      </c>
      <c r="AM502">
        <f t="shared" si="451"/>
        <v>16.560762311960705</v>
      </c>
      <c r="AN502">
        <f t="shared" si="452"/>
        <v>-1.5103758776129279</v>
      </c>
      <c r="AO502" s="58" t="str">
        <f t="shared" si="453"/>
        <v>0.258751791885585-4.59788022639853i</v>
      </c>
      <c r="AP502">
        <f t="shared" si="454"/>
        <v>13.264885555010791</v>
      </c>
      <c r="AQ502" s="60">
        <f t="shared" si="455"/>
        <v>-86.779001676105352</v>
      </c>
      <c r="AR502" t="str">
        <f t="shared" si="431"/>
        <v>-1.94444444444444</v>
      </c>
      <c r="AS502" t="str">
        <f t="shared" si="432"/>
        <v>1+243.42652272566i</v>
      </c>
      <c r="AT502">
        <f t="shared" si="456"/>
        <v>243.42857672489126</v>
      </c>
      <c r="AU502">
        <f t="shared" si="457"/>
        <v>1.5666883341094844</v>
      </c>
      <c r="AV502" t="str">
        <f t="shared" si="433"/>
        <v>1+243.42652272566i</v>
      </c>
      <c r="AW502">
        <f t="shared" si="458"/>
        <v>243.42857672489126</v>
      </c>
      <c r="AX502">
        <f t="shared" si="459"/>
        <v>1.5666883341094844</v>
      </c>
      <c r="AY502" t="str">
        <f t="shared" si="434"/>
        <v>1-8.74045913585982E-06i</v>
      </c>
      <c r="AZ502">
        <f t="shared" si="460"/>
        <v>1.0000000000381979</v>
      </c>
      <c r="BA502">
        <f t="shared" si="461"/>
        <v>-8.7404591356372425E-6</v>
      </c>
      <c r="BB502" s="58" t="str">
        <f t="shared" si="462"/>
        <v>-0.0000327436737380301+0.00798767397652079i</v>
      </c>
      <c r="BC502">
        <f t="shared" si="463"/>
        <v>-41.951520412037823</v>
      </c>
      <c r="BD502" s="60">
        <f t="shared" si="464"/>
        <v>90.23486985172525</v>
      </c>
      <c r="BE502" s="58" t="str">
        <f t="shared" si="465"/>
        <v>-0.000289544185484174-0.000111024432557702i</v>
      </c>
      <c r="BF502" s="37">
        <f t="shared" si="466"/>
        <v>-70.169953385814324</v>
      </c>
      <c r="BG502" s="60">
        <f t="shared" si="467"/>
        <v>-159.02090045300125</v>
      </c>
      <c r="BH502" s="58" t="str">
        <f t="shared" si="468"/>
        <v>0.0367178957473104+0.00221737644444234i</v>
      </c>
      <c r="BI502" s="37">
        <f t="shared" si="469"/>
        <v>-28.686634857027041</v>
      </c>
      <c r="BJ502" s="60">
        <f t="shared" si="470"/>
        <v>3.4558681756199059</v>
      </c>
      <c r="BK502">
        <f t="shared" si="471"/>
        <v>-70.169953385814324</v>
      </c>
      <c r="BL502" s="60">
        <f t="shared" si="472"/>
        <v>-159.02090045300125</v>
      </c>
      <c r="BN502">
        <f t="shared" si="473"/>
        <v>0</v>
      </c>
      <c r="BO502">
        <f t="shared" si="474"/>
        <v>0</v>
      </c>
    </row>
    <row r="503" spans="13:67" ht="14.25" x14ac:dyDescent="0.2">
      <c r="M503" s="66">
        <v>85</v>
      </c>
      <c r="N503" s="36">
        <f t="shared" si="475"/>
        <v>707945.78438413853</v>
      </c>
      <c r="O503" s="91" t="str">
        <f t="shared" si="423"/>
        <v>99.7340425531915</v>
      </c>
      <c r="P503" s="67" t="str">
        <f t="shared" si="424"/>
        <v>1+129185.765143314i</v>
      </c>
      <c r="Q503" s="67">
        <f t="shared" si="435"/>
        <v>129185.76514718441</v>
      </c>
      <c r="R503" s="67">
        <f t="shared" si="436"/>
        <v>1.5707885860039599</v>
      </c>
      <c r="S503" s="67" t="str">
        <f t="shared" si="425"/>
        <v>1+242.86923846943i</v>
      </c>
      <c r="T503" s="67">
        <f t="shared" si="437"/>
        <v>242.87129718169842</v>
      </c>
      <c r="U503" s="67">
        <f t="shared" si="438"/>
        <v>1.5666789080750538</v>
      </c>
      <c r="V503" t="str">
        <f t="shared" si="426"/>
        <v>1-25.0875916660729i</v>
      </c>
      <c r="W503" s="67">
        <f t="shared" si="439"/>
        <v>25.107513927181451</v>
      </c>
      <c r="X503" s="67">
        <f t="shared" si="440"/>
        <v>-1.5309570747064787</v>
      </c>
      <c r="Y503" t="str">
        <f t="shared" si="427"/>
        <v>-117.624197308231+38.778783262706i</v>
      </c>
      <c r="Z503" s="67">
        <f t="shared" si="441"/>
        <v>123.85170900614001</v>
      </c>
      <c r="AA503" s="67">
        <f t="shared" si="442"/>
        <v>2.8231303370497725</v>
      </c>
      <c r="AB503" s="92" t="str">
        <f t="shared" si="443"/>
        <v>-0.0131833713985713+0.0356513298269744i</v>
      </c>
      <c r="AC503" s="37">
        <f t="shared" si="444"/>
        <v>-28.401866761069329</v>
      </c>
      <c r="AD503" s="60">
        <f t="shared" si="445"/>
        <v>110.29370047484221</v>
      </c>
      <c r="AE503" t="str">
        <f t="shared" si="446"/>
        <v>118.329284003155</v>
      </c>
      <c r="AF503" t="str">
        <f t="shared" si="428"/>
        <v>1+103348.612114651i</v>
      </c>
      <c r="AG503">
        <f t="shared" si="447"/>
        <v>103348.61211948899</v>
      </c>
      <c r="AH503">
        <f t="shared" si="448"/>
        <v>1.5707866508062258</v>
      </c>
      <c r="AI503" t="str">
        <f t="shared" si="429"/>
        <v>1+242.86923846943i</v>
      </c>
      <c r="AJ503">
        <f t="shared" si="449"/>
        <v>242.87129718169842</v>
      </c>
      <c r="AK503">
        <f t="shared" si="450"/>
        <v>1.5666789080750538</v>
      </c>
      <c r="AL503" t="str">
        <f t="shared" si="430"/>
        <v>1-16.9155887014969i</v>
      </c>
      <c r="AM503">
        <f t="shared" si="451"/>
        <v>16.945121454808451</v>
      </c>
      <c r="AN503">
        <f t="shared" si="452"/>
        <v>-1.5117479831782432</v>
      </c>
      <c r="AO503" s="58" t="str">
        <f t="shared" si="453"/>
        <v>0.258751791364611-4.70492477305105i</v>
      </c>
      <c r="AP503">
        <f t="shared" si="454"/>
        <v>13.464169325070605</v>
      </c>
      <c r="AQ503" s="60">
        <f t="shared" si="455"/>
        <v>-86.852135445349191</v>
      </c>
      <c r="AR503" t="str">
        <f t="shared" si="431"/>
        <v>-1.94444444444444</v>
      </c>
      <c r="AS503" t="str">
        <f t="shared" si="432"/>
        <v>1+249.09665484044i</v>
      </c>
      <c r="AT503">
        <f t="shared" si="456"/>
        <v>249.09866208532173</v>
      </c>
      <c r="AU503">
        <f t="shared" si="457"/>
        <v>1.5667818424229305</v>
      </c>
      <c r="AV503" t="str">
        <f t="shared" si="433"/>
        <v>1+249.09665484044i</v>
      </c>
      <c r="AW503">
        <f t="shared" si="458"/>
        <v>249.09866208532173</v>
      </c>
      <c r="AX503">
        <f t="shared" si="459"/>
        <v>1.5667818424229305</v>
      </c>
      <c r="AY503" t="str">
        <f t="shared" si="434"/>
        <v>1-8.54150199580546E-06i</v>
      </c>
      <c r="AZ503">
        <f t="shared" si="460"/>
        <v>1.0000000000364786</v>
      </c>
      <c r="BA503">
        <f t="shared" si="461"/>
        <v>-8.5415019955977393E-6</v>
      </c>
      <c r="BB503" s="58" t="str">
        <f t="shared" si="462"/>
        <v>-0.0000312699894092002+0.00780585823483071i</v>
      </c>
      <c r="BC503">
        <f t="shared" si="463"/>
        <v>-42.151517113484957</v>
      </c>
      <c r="BD503" s="60">
        <f t="shared" si="464"/>
        <v>90.229523619419822</v>
      </c>
      <c r="BE503" s="58" t="str">
        <f t="shared" si="465"/>
        <v>-0.000277876982628543-0.000104022344900483i</v>
      </c>
      <c r="BF503" s="37">
        <f t="shared" si="466"/>
        <v>-70.553383874554271</v>
      </c>
      <c r="BG503" s="60">
        <f t="shared" si="467"/>
        <v>-159.47677590573792</v>
      </c>
      <c r="BH503" s="58" t="str">
        <f t="shared" si="468"/>
        <v>0.036717884618204+0.00216690274922504i</v>
      </c>
      <c r="BI503" s="37">
        <f t="shared" si="469"/>
        <v>-28.687347788414339</v>
      </c>
      <c r="BJ503" s="60">
        <f t="shared" si="470"/>
        <v>3.3773881740706502</v>
      </c>
      <c r="BK503">
        <f t="shared" si="471"/>
        <v>-70.553383874554271</v>
      </c>
      <c r="BL503" s="60">
        <f t="shared" si="472"/>
        <v>-159.47677590573792</v>
      </c>
      <c r="BN503">
        <f t="shared" si="473"/>
        <v>0</v>
      </c>
      <c r="BO503">
        <f t="shared" si="474"/>
        <v>0</v>
      </c>
    </row>
    <row r="504" spans="13:67" ht="14.25" x14ac:dyDescent="0.2">
      <c r="M504" s="66">
        <v>86</v>
      </c>
      <c r="N504" s="36">
        <f t="shared" si="475"/>
        <v>724435.96007499192</v>
      </c>
      <c r="O504" s="91" t="str">
        <f t="shared" si="423"/>
        <v>99.7340425531915</v>
      </c>
      <c r="P504" s="67" t="str">
        <f t="shared" si="424"/>
        <v>1+132194.88817358i</v>
      </c>
      <c r="Q504" s="67">
        <f t="shared" si="435"/>
        <v>132194.8881773623</v>
      </c>
      <c r="R504" s="67">
        <f t="shared" si="436"/>
        <v>1.5707887622058736</v>
      </c>
      <c r="S504" s="67" t="str">
        <f t="shared" si="425"/>
        <v>1+248.526389766331i</v>
      </c>
      <c r="T504" s="67">
        <f t="shared" si="437"/>
        <v>248.52840161697065</v>
      </c>
      <c r="U504" s="67">
        <f t="shared" si="438"/>
        <v>1.5667726309442267</v>
      </c>
      <c r="V504" t="str">
        <f t="shared" si="426"/>
        <v>1-25.6719567450935i</v>
      </c>
      <c r="W504" s="67">
        <f t="shared" si="439"/>
        <v>25.691425867825078</v>
      </c>
      <c r="X504" s="67">
        <f t="shared" si="440"/>
        <v>-1.531863000018139</v>
      </c>
      <c r="Y504" t="str">
        <f t="shared" si="427"/>
        <v>-123.214783491072+39.6820571619013i</v>
      </c>
      <c r="Z504" s="67">
        <f t="shared" si="441"/>
        <v>129.44708776697973</v>
      </c>
      <c r="AA504" s="67">
        <f t="shared" si="442"/>
        <v>2.8300258249926671</v>
      </c>
      <c r="AB504" s="92" t="str">
        <f t="shared" si="443"/>
        <v>-0.0126374453777865+0.0350020112243704i</v>
      </c>
      <c r="AC504" s="37">
        <f t="shared" si="444"/>
        <v>-28.585985769508287</v>
      </c>
      <c r="AD504" s="60">
        <f t="shared" si="445"/>
        <v>109.85207225034017</v>
      </c>
      <c r="AE504" t="str">
        <f t="shared" si="446"/>
        <v>118.329284003155</v>
      </c>
      <c r="AF504" t="str">
        <f t="shared" si="428"/>
        <v>1+105755.910538864i</v>
      </c>
      <c r="AG504">
        <f t="shared" si="447"/>
        <v>105755.91054359188</v>
      </c>
      <c r="AH504">
        <f t="shared" si="448"/>
        <v>1.5707868710586179</v>
      </c>
      <c r="AI504" t="str">
        <f t="shared" si="429"/>
        <v>1+248.526389766331i</v>
      </c>
      <c r="AJ504">
        <f t="shared" si="449"/>
        <v>248.52840161697065</v>
      </c>
      <c r="AK504">
        <f t="shared" si="450"/>
        <v>1.5667726309442267</v>
      </c>
      <c r="AL504" t="str">
        <f t="shared" si="430"/>
        <v>1-17.3096033785453i</v>
      </c>
      <c r="AM504">
        <f t="shared" si="451"/>
        <v>17.338465016331376</v>
      </c>
      <c r="AN504">
        <f t="shared" si="452"/>
        <v>-1.5130890709335998</v>
      </c>
      <c r="AO504" s="58" t="str">
        <f>(IMDIV(IMPRODUCT(AE504,AI504,AL504),IMPRODUCT(AF504)))</f>
        <v>0.258751790867084-4.8144639330953i</v>
      </c>
      <c r="AP504">
        <f t="shared" si="454"/>
        <v>13.663485221569182</v>
      </c>
      <c r="AQ504" s="60">
        <f t="shared" si="455"/>
        <v>-86.923616808372842</v>
      </c>
      <c r="AR504" t="str">
        <f t="shared" si="431"/>
        <v>-1.94444444444444</v>
      </c>
      <c r="AS504" t="str">
        <f t="shared" si="432"/>
        <v>1+254.8988612988i</v>
      </c>
      <c r="AT504">
        <f t="shared" si="456"/>
        <v>254.9008228535657</v>
      </c>
      <c r="AU504">
        <f t="shared" si="457"/>
        <v>1.5668732222951363</v>
      </c>
      <c r="AV504" t="str">
        <f t="shared" si="433"/>
        <v>1+254.8988612988i</v>
      </c>
      <c r="AW504">
        <f t="shared" si="458"/>
        <v>254.9008228535657</v>
      </c>
      <c r="AX504">
        <f t="shared" si="459"/>
        <v>1.5668732222951363</v>
      </c>
      <c r="AY504" t="str">
        <f t="shared" si="434"/>
        <v>1-8.34707367316943E-06i</v>
      </c>
      <c r="AZ504">
        <f t="shared" si="460"/>
        <v>1.0000000000348368</v>
      </c>
      <c r="BA504">
        <f t="shared" si="461"/>
        <v>-8.3470736729755722E-6</v>
      </c>
      <c r="BB504" s="58" t="str">
        <f t="shared" si="462"/>
        <v>-0.000029862629711297+0.00762818072982848i</v>
      </c>
      <c r="BC504">
        <f t="shared" si="463"/>
        <v>-42.351513963389067</v>
      </c>
      <c r="BD504" s="60">
        <f t="shared" si="464"/>
        <v>90.224299078332294</v>
      </c>
      <c r="BE504" s="58" t="str">
        <f t="shared" si="465"/>
        <v>-0.000266624280175169-0.000097445969405435i</v>
      </c>
      <c r="BF504" s="37">
        <f t="shared" si="466"/>
        <v>-70.937499732897351</v>
      </c>
      <c r="BG504" s="60">
        <f t="shared" si="467"/>
        <v>-159.92362867132755</v>
      </c>
      <c r="BH504" s="58" t="str">
        <f t="shared" si="468"/>
        <v>0.036717873989974+0.00211757797859332i</v>
      </c>
      <c r="BI504" s="37">
        <f t="shared" si="469"/>
        <v>-28.688028741819885</v>
      </c>
      <c r="BJ504" s="60">
        <f t="shared" si="470"/>
        <v>3.3006822699594647</v>
      </c>
      <c r="BK504">
        <f t="shared" si="471"/>
        <v>-70.937499732897351</v>
      </c>
      <c r="BL504" s="60">
        <f t="shared" si="472"/>
        <v>-159.92362867132755</v>
      </c>
      <c r="BN504">
        <f t="shared" si="473"/>
        <v>0</v>
      </c>
      <c r="BO504">
        <f t="shared" si="474"/>
        <v>0</v>
      </c>
    </row>
    <row r="505" spans="13:67" ht="14.25" x14ac:dyDescent="0.2">
      <c r="M505" s="66">
        <v>87</v>
      </c>
      <c r="N505" s="36">
        <f t="shared" si="475"/>
        <v>741310.24130091805</v>
      </c>
      <c r="O505" s="91" t="str">
        <f t="shared" si="423"/>
        <v>99.7340425531915</v>
      </c>
      <c r="P505" s="67" t="str">
        <f t="shared" si="424"/>
        <v>1+135274.102683362i</v>
      </c>
      <c r="Q505" s="67">
        <f t="shared" si="435"/>
        <v>135274.10268705821</v>
      </c>
      <c r="R505" s="67">
        <f t="shared" si="436"/>
        <v>1.5707889343969421</v>
      </c>
      <c r="S505" s="67" t="str">
        <f t="shared" si="425"/>
        <v>1+254.315313044721i</v>
      </c>
      <c r="T505" s="67">
        <f t="shared" si="437"/>
        <v>254.31727910040723</v>
      </c>
      <c r="U505" s="67">
        <f t="shared" si="438"/>
        <v>1.5668642204887426</v>
      </c>
      <c r="V505" t="str">
        <f t="shared" si="426"/>
        <v>1-26.2699334353888i</v>
      </c>
      <c r="W505" s="67">
        <f t="shared" si="439"/>
        <v>26.288959711250623</v>
      </c>
      <c r="X505" s="67">
        <f t="shared" si="440"/>
        <v>-1.5327483657382899</v>
      </c>
      <c r="Y505" t="str">
        <f t="shared" si="427"/>
        <v>-129.068845883461+40.6063710130578i</v>
      </c>
      <c r="Z505" s="67">
        <f t="shared" si="441"/>
        <v>135.30574394510643</v>
      </c>
      <c r="AA505" s="67">
        <f t="shared" si="442"/>
        <v>2.8367865131015857</v>
      </c>
      <c r="AB505" s="92" t="str">
        <f t="shared" si="443"/>
        <v>-0.0121122313346324+0.0343577472935231i</v>
      </c>
      <c r="AC505" s="37">
        <f t="shared" si="444"/>
        <v>-28.770764063361746</v>
      </c>
      <c r="AD505" s="60">
        <f t="shared" si="445"/>
        <v>109.41922346453151</v>
      </c>
      <c r="AE505" t="str">
        <f t="shared" si="446"/>
        <v>118.329284003155</v>
      </c>
      <c r="AF505" t="str">
        <f t="shared" si="428"/>
        <v>1+108219.28214669i</v>
      </c>
      <c r="AG505">
        <f t="shared" si="447"/>
        <v>108219.28215131025</v>
      </c>
      <c r="AH505">
        <f t="shared" si="448"/>
        <v>1.5707870862974536</v>
      </c>
      <c r="AI505" t="str">
        <f t="shared" si="429"/>
        <v>1+254.315313044721i</v>
      </c>
      <c r="AJ505">
        <f t="shared" si="449"/>
        <v>254.31727910040723</v>
      </c>
      <c r="AK505">
        <f t="shared" si="450"/>
        <v>1.5668642204887426</v>
      </c>
      <c r="AL505" t="str">
        <f t="shared" si="430"/>
        <v>1-17.7127958364246i</v>
      </c>
      <c r="AM505">
        <f t="shared" si="451"/>
        <v>17.74100155974461</v>
      </c>
      <c r="AN505">
        <f t="shared" si="452"/>
        <v>-1.5143998326348187</v>
      </c>
      <c r="AO505" s="58" t="str">
        <f t="shared" si="453"/>
        <v>0.258751790391949-4.92655578564378i</v>
      </c>
      <c r="AP505">
        <f t="shared" si="454"/>
        <v>13.862831808157264</v>
      </c>
      <c r="AQ505" s="60">
        <f t="shared" si="455"/>
        <v>-86.993482559728648</v>
      </c>
      <c r="AR505" t="str">
        <f t="shared" si="431"/>
        <v>-1.94444444444444</v>
      </c>
      <c r="AS505" t="str">
        <f t="shared" si="432"/>
        <v>1+260.836218507405i</v>
      </c>
      <c r="AT505">
        <f t="shared" si="456"/>
        <v>260.83813541206496</v>
      </c>
      <c r="AU505">
        <f t="shared" si="457"/>
        <v>1.5669625221708114</v>
      </c>
      <c r="AV505" t="str">
        <f t="shared" si="433"/>
        <v>1+260.836218507405i</v>
      </c>
      <c r="AW505">
        <f t="shared" si="458"/>
        <v>260.83813541206496</v>
      </c>
      <c r="AX505">
        <f t="shared" si="459"/>
        <v>1.5669625221708114</v>
      </c>
      <c r="AY505" t="str">
        <f t="shared" si="434"/>
        <v>1-8.15707107948153E-06i</v>
      </c>
      <c r="AZ505">
        <f t="shared" si="460"/>
        <v>1.0000000000332689</v>
      </c>
      <c r="BA505">
        <f t="shared" si="461"/>
        <v>-8.1570710793006129E-6</v>
      </c>
      <c r="BB505" s="58" t="str">
        <f t="shared" si="462"/>
        <v>-0.0000285186097280694+0.00745454729010155i</v>
      </c>
      <c r="BC505">
        <f t="shared" si="463"/>
        <v>-42.551510955068693</v>
      </c>
      <c r="BD505" s="60">
        <f t="shared" si="464"/>
        <v>90.219193458691791</v>
      </c>
      <c r="BE505" s="58" t="str">
        <f t="shared" si="465"/>
        <v>-0.000255776027982558-0.0000912710364588667i</v>
      </c>
      <c r="BF505" s="37">
        <f t="shared" si="466"/>
        <v>-71.322275018430446</v>
      </c>
      <c r="BG505" s="60">
        <f t="shared" si="467"/>
        <v>-160.36158307677667</v>
      </c>
      <c r="BH505" s="58" t="str">
        <f t="shared" si="468"/>
        <v>0.0367178638400783+0.00206937597962957i</v>
      </c>
      <c r="BI505" s="37">
        <f t="shared" si="469"/>
        <v>-28.688679146911436</v>
      </c>
      <c r="BJ505" s="60">
        <f t="shared" si="470"/>
        <v>3.2257108989631393</v>
      </c>
      <c r="BK505">
        <f t="shared" si="471"/>
        <v>-71.322275018430446</v>
      </c>
      <c r="BL505" s="60">
        <f t="shared" si="472"/>
        <v>-160.36158307677667</v>
      </c>
      <c r="BN505">
        <f t="shared" si="473"/>
        <v>0</v>
      </c>
      <c r="BO505">
        <f t="shared" si="474"/>
        <v>0</v>
      </c>
    </row>
    <row r="506" spans="13:67" ht="14.25" x14ac:dyDescent="0.2">
      <c r="M506" s="66">
        <v>88</v>
      </c>
      <c r="N506" s="36">
        <f t="shared" si="475"/>
        <v>758577.57502918423</v>
      </c>
      <c r="O506" s="91" t="str">
        <f t="shared" si="423"/>
        <v>99.7340425531915</v>
      </c>
      <c r="P506" s="67" t="str">
        <f t="shared" si="424"/>
        <v>1+138425.041312952i</v>
      </c>
      <c r="Q506" s="67">
        <f t="shared" si="435"/>
        <v>138425.04131656408</v>
      </c>
      <c r="R506" s="67">
        <f t="shared" si="436"/>
        <v>1.5707891026684633</v>
      </c>
      <c r="S506" s="67" t="str">
        <f t="shared" si="425"/>
        <v>1+260.239077668349i</v>
      </c>
      <c r="T506" s="67">
        <f t="shared" si="437"/>
        <v>260.24099897147835</v>
      </c>
      <c r="U506" s="67">
        <f t="shared" si="438"/>
        <v>1.5669537252644401</v>
      </c>
      <c r="V506" t="str">
        <f t="shared" si="426"/>
        <v>1-26.8818387921152i</v>
      </c>
      <c r="W506" s="67">
        <f t="shared" si="439"/>
        <v>26.900432279895981</v>
      </c>
      <c r="X506" s="67">
        <f t="shared" si="440"/>
        <v>-1.5336136357442769</v>
      </c>
      <c r="Y506" t="str">
        <f t="shared" si="427"/>
        <v>-135.198801736606+41.5522148996144i</v>
      </c>
      <c r="Z506" s="67">
        <f t="shared" si="441"/>
        <v>141.44010235459331</v>
      </c>
      <c r="AA506" s="67">
        <f t="shared" si="442"/>
        <v>2.8434141375264526</v>
      </c>
      <c r="AB506" s="92" t="str">
        <f t="shared" si="443"/>
        <v>-0.0116070990067945+0.0337189628838257i</v>
      </c>
      <c r="AC506" s="37">
        <f t="shared" si="444"/>
        <v>-28.956176491511897</v>
      </c>
      <c r="AD506" s="60">
        <f t="shared" si="445"/>
        <v>108.99503084195217</v>
      </c>
      <c r="AE506" t="str">
        <f t="shared" si="446"/>
        <v>118.329284003155</v>
      </c>
      <c r="AF506" t="str">
        <f t="shared" si="428"/>
        <v>1+110740.033050361i</v>
      </c>
      <c r="AG506">
        <f t="shared" si="447"/>
        <v>110740.03305487608</v>
      </c>
      <c r="AH506">
        <f t="shared" si="448"/>
        <v>1.570787296636855</v>
      </c>
      <c r="AI506" t="str">
        <f t="shared" si="429"/>
        <v>1+260.239077668349i</v>
      </c>
      <c r="AJ506">
        <f t="shared" si="449"/>
        <v>260.24099897147835</v>
      </c>
      <c r="AK506">
        <f t="shared" si="450"/>
        <v>1.5669537252644401</v>
      </c>
      <c r="AL506" t="str">
        <f t="shared" si="430"/>
        <v>1-18.125379853113i</v>
      </c>
      <c r="AM506">
        <f t="shared" si="451"/>
        <v>18.152944522022718</v>
      </c>
      <c r="AN506">
        <f t="shared" si="452"/>
        <v>-1.5156809452387912</v>
      </c>
      <c r="AO506" s="58" t="str">
        <f t="shared" si="453"/>
        <v>0.2587517899382-5.04125976328055i</v>
      </c>
      <c r="AP506">
        <f t="shared" si="454"/>
        <v>14.0622077122935</v>
      </c>
      <c r="AQ506" s="60">
        <f t="shared" si="455"/>
        <v>-87.061768710683538</v>
      </c>
      <c r="AR506" t="str">
        <f t="shared" si="431"/>
        <v>-1.94444444444444</v>
      </c>
      <c r="AS506" t="str">
        <f t="shared" si="432"/>
        <v>1+266.91187453164i</v>
      </c>
      <c r="AT506">
        <f t="shared" si="456"/>
        <v>266.91374780253255</v>
      </c>
      <c r="AU506">
        <f t="shared" si="457"/>
        <v>1.5670497893922319</v>
      </c>
      <c r="AV506" t="str">
        <f t="shared" si="433"/>
        <v>1+266.91187453164i</v>
      </c>
      <c r="AW506">
        <f t="shared" si="458"/>
        <v>266.91374780253255</v>
      </c>
      <c r="AX506">
        <f t="shared" si="459"/>
        <v>1.5670497893922319</v>
      </c>
      <c r="AY506" t="str">
        <f t="shared" si="434"/>
        <v>1-7.97139347285154E-06i</v>
      </c>
      <c r="AZ506">
        <f t="shared" si="460"/>
        <v>1.0000000000317715</v>
      </c>
      <c r="BA506">
        <f t="shared" si="461"/>
        <v>-7.971393472682698E-6</v>
      </c>
      <c r="BB506" s="58" t="str">
        <f t="shared" si="462"/>
        <v>-0.0000272350788704489+0.00728486588608135i</v>
      </c>
      <c r="BC506">
        <f t="shared" si="463"/>
        <v>-42.751508082143147</v>
      </c>
      <c r="BD506" s="60">
        <f t="shared" si="464"/>
        <v>90.214204053757769</v>
      </c>
      <c r="BE506" s="58" t="str">
        <f t="shared" si="465"/>
        <v>-0.000245322002169518-0.0000854744982045367i</v>
      </c>
      <c r="BF506" s="37">
        <f t="shared" si="466"/>
        <v>-71.707684573655044</v>
      </c>
      <c r="BG506" s="60">
        <f t="shared" si="467"/>
        <v>-160.79076510429007</v>
      </c>
      <c r="BH506" s="58" t="str">
        <f t="shared" si="468"/>
        <v>0.0367178541469902+0.00202227119474265i</v>
      </c>
      <c r="BI506" s="37">
        <f t="shared" si="469"/>
        <v>-28.689300369849647</v>
      </c>
      <c r="BJ506" s="60">
        <f t="shared" si="470"/>
        <v>3.15243534307423</v>
      </c>
      <c r="BK506">
        <f t="shared" si="471"/>
        <v>-71.707684573655044</v>
      </c>
      <c r="BL506" s="60">
        <f t="shared" si="472"/>
        <v>-160.79076510429007</v>
      </c>
      <c r="BN506">
        <f t="shared" si="473"/>
        <v>0</v>
      </c>
      <c r="BO506">
        <f t="shared" si="474"/>
        <v>0</v>
      </c>
    </row>
    <row r="507" spans="13:67" ht="14.25" x14ac:dyDescent="0.2">
      <c r="M507" s="66">
        <v>89</v>
      </c>
      <c r="N507" s="36">
        <f t="shared" si="475"/>
        <v>776247.11662869214</v>
      </c>
      <c r="O507" s="91" t="str">
        <f t="shared" si="423"/>
        <v>99.7340425531915</v>
      </c>
      <c r="P507" s="67" t="str">
        <f t="shared" si="424"/>
        <v>1+141649.374731718i</v>
      </c>
      <c r="Q507" s="67">
        <f t="shared" si="435"/>
        <v>141649.37473524787</v>
      </c>
      <c r="R507" s="67">
        <f t="shared" si="436"/>
        <v>1.5707892671096571</v>
      </c>
      <c r="S507" s="67" t="str">
        <f t="shared" si="425"/>
        <v>1+266.300824495629i</v>
      </c>
      <c r="T507" s="67">
        <f t="shared" si="437"/>
        <v>266.30270206487165</v>
      </c>
      <c r="U507" s="67">
        <f t="shared" si="438"/>
        <v>1.5670411927221968</v>
      </c>
      <c r="V507" t="str">
        <f t="shared" si="426"/>
        <v>1-27.5079972555924i</v>
      </c>
      <c r="W507" s="67">
        <f t="shared" si="439"/>
        <v>27.526167786556833</v>
      </c>
      <c r="X507" s="67">
        <f t="shared" si="440"/>
        <v>-1.5344592636281855</v>
      </c>
      <c r="Y507" t="str">
        <f t="shared" si="427"/>
        <v>-141.617653508724+42.5200903205194i</v>
      </c>
      <c r="Z507" s="67">
        <f t="shared" si="441"/>
        <v>147.86317278545778</v>
      </c>
      <c r="AA507" s="67">
        <f t="shared" si="442"/>
        <v>2.8499104692191888</v>
      </c>
      <c r="AB507" s="92" t="str">
        <f t="shared" si="443"/>
        <v>-0.0111214243257352+0.0330860475812416i</v>
      </c>
      <c r="AC507" s="37">
        <f t="shared" si="444"/>
        <v>-29.142198680117851</v>
      </c>
      <c r="AD507" s="60">
        <f t="shared" si="445"/>
        <v>108.57936963924273</v>
      </c>
      <c r="AE507" t="str">
        <f t="shared" si="446"/>
        <v>118.329284003155</v>
      </c>
      <c r="AF507" t="str">
        <f t="shared" si="428"/>
        <v>1+113319.499785374i</v>
      </c>
      <c r="AG507">
        <f t="shared" si="447"/>
        <v>113319.49978978631</v>
      </c>
      <c r="AH507">
        <f t="shared" si="448"/>
        <v>1.5707875021883473</v>
      </c>
      <c r="AI507" t="str">
        <f t="shared" si="429"/>
        <v>1+266.300824495629i</v>
      </c>
      <c r="AJ507">
        <f t="shared" si="449"/>
        <v>266.30270206487165</v>
      </c>
      <c r="AK507">
        <f t="shared" si="450"/>
        <v>1.5670411927221968</v>
      </c>
      <c r="AL507" t="str">
        <f t="shared" si="430"/>
        <v>1-18.5475741861173i</v>
      </c>
      <c r="AM507">
        <f t="shared" si="451"/>
        <v>18.574512327098248</v>
      </c>
      <c r="AN507">
        <f t="shared" si="452"/>
        <v>-1.5169330711778481</v>
      </c>
      <c r="AO507" s="58" t="str">
        <f t="shared" si="453"/>
        <v>0.258751789504873-5.15863668357274i</v>
      </c>
      <c r="AP507">
        <f t="shared" si="454"/>
        <v>14.261611622445169</v>
      </c>
      <c r="AQ507" s="60">
        <f t="shared" si="455"/>
        <v>-87.12851050346913</v>
      </c>
      <c r="AR507" t="str">
        <f t="shared" si="431"/>
        <v>-1.94444444444444</v>
      </c>
      <c r="AS507" t="str">
        <f t="shared" si="432"/>
        <v>1+273.129050764747i</v>
      </c>
      <c r="AT507">
        <f t="shared" si="456"/>
        <v>273.13088139507721</v>
      </c>
      <c r="AU507">
        <f t="shared" si="457"/>
        <v>1.5671350702243139</v>
      </c>
      <c r="AV507" t="str">
        <f t="shared" si="433"/>
        <v>1+273.129050764747i</v>
      </c>
      <c r="AW507">
        <f t="shared" si="458"/>
        <v>273.13088139507721</v>
      </c>
      <c r="AX507">
        <f t="shared" si="459"/>
        <v>1.5671350702243139</v>
      </c>
      <c r="AY507" t="str">
        <f t="shared" si="434"/>
        <v>1-7.78994240455472E-06i</v>
      </c>
      <c r="AZ507">
        <f t="shared" si="460"/>
        <v>1.0000000000303415</v>
      </c>
      <c r="BA507">
        <f t="shared" si="461"/>
        <v>-7.7899424043971456E-6</v>
      </c>
      <c r="BB507" s="58" t="str">
        <f t="shared" si="462"/>
        <v>-0.000026009314832256+0.00711904658140662i</v>
      </c>
      <c r="BC507">
        <f t="shared" si="463"/>
        <v>-42.95150533851875</v>
      </c>
      <c r="BD507" s="60">
        <f t="shared" si="464"/>
        <v>90.209328218386503</v>
      </c>
      <c r="BE507" s="58" t="str">
        <f t="shared" si="465"/>
        <v>-0.000235251853298824-0.0000800344832545931i</v>
      </c>
      <c r="BF507" s="37">
        <f t="shared" si="466"/>
        <v>-72.0937040186366</v>
      </c>
      <c r="BG507" s="60">
        <f t="shared" si="467"/>
        <v>-161.21130214237078</v>
      </c>
      <c r="BH507" s="58" t="str">
        <f t="shared" si="468"/>
        <v>0.0367178448901507+0.00197623864811578i</v>
      </c>
      <c r="BI507" s="37">
        <f t="shared" si="469"/>
        <v>-28.689893716073573</v>
      </c>
      <c r="BJ507" s="60">
        <f t="shared" si="470"/>
        <v>3.0808177149173726</v>
      </c>
      <c r="BK507">
        <f t="shared" si="471"/>
        <v>-72.0937040186366</v>
      </c>
      <c r="BL507" s="60">
        <f t="shared" si="472"/>
        <v>-161.21130214237078</v>
      </c>
      <c r="BN507">
        <f t="shared" si="473"/>
        <v>0</v>
      </c>
      <c r="BO507">
        <f t="shared" si="474"/>
        <v>0</v>
      </c>
    </row>
    <row r="508" spans="13:67" ht="14.25" x14ac:dyDescent="0.2">
      <c r="M508" s="66">
        <v>90</v>
      </c>
      <c r="N508" s="36">
        <f t="shared" si="475"/>
        <v>794328.23472428333</v>
      </c>
      <c r="O508" s="91" t="str">
        <f t="shared" si="423"/>
        <v>99.7340425531915</v>
      </c>
      <c r="P508" s="67" t="str">
        <f t="shared" si="424"/>
        <v>1+144948.812523917i</v>
      </c>
      <c r="Q508" s="67">
        <f t="shared" si="435"/>
        <v>144948.81252736648</v>
      </c>
      <c r="R508" s="67">
        <f t="shared" si="436"/>
        <v>1.5707894278077124</v>
      </c>
      <c r="S508" s="67" t="str">
        <f t="shared" si="425"/>
        <v>1+272.503767544965i</v>
      </c>
      <c r="T508" s="67">
        <f t="shared" si="437"/>
        <v>272.50560237580498</v>
      </c>
      <c r="U508" s="67">
        <f t="shared" si="438"/>
        <v>1.5671266692330597</v>
      </c>
      <c r="V508" t="str">
        <f t="shared" si="426"/>
        <v>1-28.148740823326i</v>
      </c>
      <c r="W508" s="67">
        <f t="shared" si="439"/>
        <v>28.166498006297829</v>
      </c>
      <c r="X508" s="67">
        <f t="shared" si="440"/>
        <v>-1.5352856929127745</v>
      </c>
      <c r="Y508" t="str">
        <f t="shared" si="427"/>
        <v>-148.339016445017+43.5105104561323i</v>
      </c>
      <c r="Z508" s="67">
        <f t="shared" si="441"/>
        <v>154.58857758588834</v>
      </c>
      <c r="AA508" s="67">
        <f t="shared" si="442"/>
        <v>2.8562773095809626</v>
      </c>
      <c r="AB508" s="92" t="str">
        <f t="shared" si="443"/>
        <v>-0.0106545905923599+0.0324593572755301i</v>
      </c>
      <c r="AC508" s="37">
        <f t="shared" si="444"/>
        <v>-29.32880702379132</v>
      </c>
      <c r="AD508" s="60">
        <f t="shared" si="445"/>
        <v>108.172113883606</v>
      </c>
      <c r="AE508" t="str">
        <f t="shared" si="446"/>
        <v>118.329284003155</v>
      </c>
      <c r="AF508" t="str">
        <f t="shared" si="428"/>
        <v>1+115959.050019134i</v>
      </c>
      <c r="AG508">
        <f t="shared" si="447"/>
        <v>115959.05002344587</v>
      </c>
      <c r="AH508">
        <f t="shared" si="448"/>
        <v>1.5707877030609163</v>
      </c>
      <c r="AI508" t="str">
        <f t="shared" si="429"/>
        <v>1+272.503767544965i</v>
      </c>
      <c r="AJ508">
        <f t="shared" si="449"/>
        <v>272.50560237580498</v>
      </c>
      <c r="AK508">
        <f t="shared" si="450"/>
        <v>1.5671266692330597</v>
      </c>
      <c r="AL508" t="str">
        <f t="shared" si="430"/>
        <v>1-18.9796026884613i</v>
      </c>
      <c r="AM508">
        <f t="shared" si="451"/>
        <v>19.005928501703025</v>
      </c>
      <c r="AN508">
        <f t="shared" si="452"/>
        <v>-1.5181568586319789</v>
      </c>
      <c r="AO508" s="58" t="str">
        <f t="shared" si="453"/>
        <v>0.258751789091048-5.27874878131721i</v>
      </c>
      <c r="AP508">
        <f t="shared" si="454"/>
        <v>14.46104228540989</v>
      </c>
      <c r="AQ508" s="60">
        <f t="shared" si="455"/>
        <v>-87.193742425442352</v>
      </c>
      <c r="AR508" t="str">
        <f t="shared" si="431"/>
        <v>-1.94444444444444</v>
      </c>
      <c r="AS508" t="str">
        <f t="shared" si="432"/>
        <v>1+279.49104363586i</v>
      </c>
      <c r="AT508">
        <f t="shared" si="456"/>
        <v>279.49283259622638</v>
      </c>
      <c r="AU508">
        <f t="shared" si="457"/>
        <v>1.5672184098791186</v>
      </c>
      <c r="AV508" t="str">
        <f t="shared" si="433"/>
        <v>1+279.49104363586i</v>
      </c>
      <c r="AW508">
        <f t="shared" si="458"/>
        <v>279.49283259622638</v>
      </c>
      <c r="AX508">
        <f t="shared" si="459"/>
        <v>1.5672184098791186</v>
      </c>
      <c r="AY508" t="str">
        <f t="shared" si="434"/>
        <v>1-7.61262166683287E-06i</v>
      </c>
      <c r="AZ508">
        <f t="shared" si="460"/>
        <v>1.0000000000289759</v>
      </c>
      <c r="BA508">
        <f t="shared" si="461"/>
        <v>-7.612621666685814E-6</v>
      </c>
      <c r="BB508" s="58" t="str">
        <f t="shared" si="462"/>
        <v>-0.0000248387178178151+0.0069570014853855i</v>
      </c>
      <c r="BC508">
        <f t="shared" si="463"/>
        <v>-43.151502718376179</v>
      </c>
      <c r="BD508" s="60">
        <f t="shared" si="464"/>
        <v>90.204563367630016</v>
      </c>
      <c r="BE508" s="58" t="str">
        <f t="shared" si="465"/>
        <v>-0.000225555150411334-0.0000749302513931367i</v>
      </c>
      <c r="BF508" s="37">
        <f t="shared" si="466"/>
        <v>-72.480309742167492</v>
      </c>
      <c r="BG508" s="60">
        <f t="shared" si="467"/>
        <v>-161.62332274876402</v>
      </c>
      <c r="BH508" s="58" t="str">
        <f t="shared" si="468"/>
        <v>0.0367178360499266+0.00193125393246285i</v>
      </c>
      <c r="BI508" s="37">
        <f t="shared" si="469"/>
        <v>-28.690460432966297</v>
      </c>
      <c r="BJ508" s="60">
        <f t="shared" si="470"/>
        <v>3.0108209421876659</v>
      </c>
      <c r="BK508">
        <f t="shared" si="471"/>
        <v>-72.480309742167492</v>
      </c>
      <c r="BL508" s="60">
        <f t="shared" si="472"/>
        <v>-161.62332274876402</v>
      </c>
      <c r="BN508">
        <f t="shared" si="473"/>
        <v>0</v>
      </c>
      <c r="BO508">
        <f t="shared" si="474"/>
        <v>0</v>
      </c>
    </row>
    <row r="509" spans="13:67" ht="14.25" x14ac:dyDescent="0.2">
      <c r="M509" s="66">
        <v>91</v>
      </c>
      <c r="N509" s="36">
        <f t="shared" si="475"/>
        <v>812830.51616410096</v>
      </c>
      <c r="O509" s="91" t="str">
        <f t="shared" si="423"/>
        <v>99.7340425531915</v>
      </c>
      <c r="P509" s="67" t="str">
        <f t="shared" si="424"/>
        <v>1+148325.104095141i</v>
      </c>
      <c r="Q509" s="67">
        <f t="shared" si="435"/>
        <v>148325.10409851198</v>
      </c>
      <c r="R509" s="67">
        <f t="shared" si="436"/>
        <v>1.5707895848478333</v>
      </c>
      <c r="S509" s="67" t="str">
        <f t="shared" si="425"/>
        <v>1+278.851195698866i</v>
      </c>
      <c r="T509" s="67">
        <f t="shared" si="437"/>
        <v>278.85298876412867</v>
      </c>
      <c r="U509" s="67">
        <f t="shared" si="438"/>
        <v>1.5672102001128076</v>
      </c>
      <c r="V509" t="str">
        <f t="shared" si="426"/>
        <v>1-28.8044092260367i</v>
      </c>
      <c r="W509" s="67">
        <f t="shared" si="439"/>
        <v>28.821762452372479</v>
      </c>
      <c r="X509" s="67">
        <f t="shared" si="440"/>
        <v>-1.5360933572636977</v>
      </c>
      <c r="Y509" t="str">
        <f t="shared" si="427"/>
        <v>-155.37714745742+44.5240004403186i</v>
      </c>
      <c r="Z509" s="67">
        <f t="shared" si="441"/>
        <v>161.63058054469249</v>
      </c>
      <c r="AA509" s="67">
        <f t="shared" si="442"/>
        <v>2.8625164863190613</v>
      </c>
      <c r="AB509" s="92" t="str">
        <f t="shared" si="443"/>
        <v>-0.0102059895252556+0.031839215718482i</v>
      </c>
      <c r="AC509" s="37">
        <f t="shared" si="444"/>
        <v>-29.515978675438546</v>
      </c>
      <c r="AD509" s="60">
        <f t="shared" si="445"/>
        <v>107.7731365994382</v>
      </c>
      <c r="AE509" t="str">
        <f t="shared" si="446"/>
        <v>118.329284003155</v>
      </c>
      <c r="AF509" t="str">
        <f t="shared" si="428"/>
        <v>1+118660.083276113i</v>
      </c>
      <c r="AG509">
        <f t="shared" si="447"/>
        <v>118660.0832803267</v>
      </c>
      <c r="AH509">
        <f t="shared" si="448"/>
        <v>1.5707878993610673</v>
      </c>
      <c r="AI509" t="str">
        <f t="shared" si="429"/>
        <v>1+278.851195698866i</v>
      </c>
      <c r="AJ509">
        <f t="shared" si="449"/>
        <v>278.85298876412867</v>
      </c>
      <c r="AK509">
        <f t="shared" si="450"/>
        <v>1.5672102001128076</v>
      </c>
      <c r="AL509" t="str">
        <f t="shared" si="430"/>
        <v>1-19.4216944273754i</v>
      </c>
      <c r="AM509">
        <f t="shared" si="451"/>
        <v>19.447421793912543</v>
      </c>
      <c r="AN509">
        <f t="shared" si="452"/>
        <v>-1.5193529417986777</v>
      </c>
      <c r="AO509" s="58" t="str">
        <f t="shared" si="453"/>
        <v>0.258751788695849-5.40165974153803i</v>
      </c>
      <c r="AP509">
        <f t="shared" si="454"/>
        <v>14.660498503751016</v>
      </c>
      <c r="AQ509" s="60">
        <f t="shared" si="455"/>
        <v>-87.257498223142449</v>
      </c>
      <c r="AR509" t="str">
        <f t="shared" si="431"/>
        <v>-1.94444444444444</v>
      </c>
      <c r="AS509" t="str">
        <f t="shared" si="432"/>
        <v>1+286.00122635781i</v>
      </c>
      <c r="AT509">
        <f t="shared" si="456"/>
        <v>286.00297459671867</v>
      </c>
      <c r="AU509">
        <f t="shared" si="457"/>
        <v>1.5672998525398008</v>
      </c>
      <c r="AV509" t="str">
        <f t="shared" si="433"/>
        <v>1+286.00122635781i</v>
      </c>
      <c r="AW509">
        <f t="shared" si="458"/>
        <v>286.00297459671867</v>
      </c>
      <c r="AX509">
        <f t="shared" si="459"/>
        <v>1.5672998525398008</v>
      </c>
      <c r="AY509" t="str">
        <f t="shared" si="434"/>
        <v>1-7.43933724188375E-06i</v>
      </c>
      <c r="AZ509">
        <f t="shared" si="460"/>
        <v>1.0000000000276719</v>
      </c>
      <c r="BA509">
        <f t="shared" si="461"/>
        <v>-7.4393372417465096E-6</v>
      </c>
      <c r="BB509" s="58" t="str">
        <f t="shared" si="462"/>
        <v>-0.0000237208050292586+0.00679864470653279i</v>
      </c>
      <c r="BC509">
        <f t="shared" si="463"/>
        <v>-43.351500216157966</v>
      </c>
      <c r="BD509" s="60">
        <f t="shared" si="464"/>
        <v>90.199906975366815</v>
      </c>
      <c r="BE509" s="58" t="str">
        <f t="shared" si="465"/>
        <v>-0.000216221421116954-0.0000701421484891507i</v>
      </c>
      <c r="BF509" s="37">
        <f t="shared" si="466"/>
        <v>-72.867478891596505</v>
      </c>
      <c r="BG509" s="60">
        <f t="shared" si="467"/>
        <v>-162.02695642519498</v>
      </c>
      <c r="BH509" s="58" t="str">
        <f t="shared" si="468"/>
        <v>0.0367178276075682+0.00188729319608634i</v>
      </c>
      <c r="BI509" s="37">
        <f t="shared" si="469"/>
        <v>-28.691001712406944</v>
      </c>
      <c r="BJ509" s="60">
        <f t="shared" si="470"/>
        <v>2.9424087522243636</v>
      </c>
      <c r="BK509">
        <f t="shared" si="471"/>
        <v>-72.867478891596505</v>
      </c>
      <c r="BL509" s="60">
        <f t="shared" si="472"/>
        <v>-162.02695642519498</v>
      </c>
      <c r="BN509">
        <f t="shared" si="473"/>
        <v>0</v>
      </c>
      <c r="BO509">
        <f t="shared" si="474"/>
        <v>0</v>
      </c>
    </row>
    <row r="510" spans="13:67" ht="14.25" x14ac:dyDescent="0.2">
      <c r="M510" s="66">
        <v>92</v>
      </c>
      <c r="N510" s="36">
        <f t="shared" si="475"/>
        <v>831763.77110267128</v>
      </c>
      <c r="O510" s="91" t="str">
        <f t="shared" si="423"/>
        <v>99.7340425531915</v>
      </c>
      <c r="P510" s="67" t="str">
        <f t="shared" si="424"/>
        <v>1+151780.039599871i</v>
      </c>
      <c r="Q510" s="67">
        <f t="shared" si="435"/>
        <v>151780.03960316523</v>
      </c>
      <c r="R510" s="67">
        <f t="shared" si="436"/>
        <v>1.5707897383132845</v>
      </c>
      <c r="S510" s="67" t="str">
        <f t="shared" si="425"/>
        <v>1+285.346474447758i</v>
      </c>
      <c r="T510" s="67">
        <f t="shared" si="437"/>
        <v>285.34822669812581</v>
      </c>
      <c r="U510" s="67">
        <f t="shared" si="438"/>
        <v>1.5672918296459533</v>
      </c>
      <c r="V510" t="str">
        <f t="shared" si="426"/>
        <v>1-29.4753501077904i</v>
      </c>
      <c r="W510" s="67">
        <f t="shared" si="439"/>
        <v>29.492308556245973</v>
      </c>
      <c r="X510" s="67">
        <f t="shared" si="440"/>
        <v>-1.5368826806980209</v>
      </c>
      <c r="Y510" t="str">
        <f t="shared" si="427"/>
        <v>-162.746975365429+45.5610976388832i</v>
      </c>
      <c r="Z510" s="67">
        <f t="shared" si="441"/>
        <v>169.00411713522072</v>
      </c>
      <c r="AA510" s="67">
        <f t="shared" si="442"/>
        <v>2.8686298495118527</v>
      </c>
      <c r="AB510" s="92" t="str">
        <f t="shared" si="443"/>
        <v>-0.00977502218844+0.0312259160662244i</v>
      </c>
      <c r="AC510" s="37">
        <f t="shared" si="444"/>
        <v>-29.703691534921461</v>
      </c>
      <c r="AD510" s="60">
        <f t="shared" si="445"/>
        <v>107.38231002321332</v>
      </c>
      <c r="AE510" t="str">
        <f t="shared" si="446"/>
        <v>118.329284003155</v>
      </c>
      <c r="AF510" t="str">
        <f t="shared" si="428"/>
        <v>1+121424.031679897i</v>
      </c>
      <c r="AG510">
        <f t="shared" si="447"/>
        <v>121424.03168401479</v>
      </c>
      <c r="AH510">
        <f t="shared" si="448"/>
        <v>1.5707880911928815</v>
      </c>
      <c r="AI510" t="str">
        <f t="shared" si="429"/>
        <v>1+285.346474447758i</v>
      </c>
      <c r="AJ510">
        <f t="shared" si="449"/>
        <v>285.34822669812581</v>
      </c>
      <c r="AK510">
        <f t="shared" si="450"/>
        <v>1.5672918296459533</v>
      </c>
      <c r="AL510" t="str">
        <f t="shared" si="430"/>
        <v>1-19.8740838057514i</v>
      </c>
      <c r="AM510">
        <f t="shared" si="451"/>
        <v>19.899226294457531</v>
      </c>
      <c r="AN510">
        <f t="shared" si="452"/>
        <v>-1.5205219411602298</v>
      </c>
      <c r="AO510" s="58" t="str">
        <f t="shared" si="453"/>
        <v>0.258751788318436-5.52743473325321i</v>
      </c>
      <c r="AP510">
        <f t="shared" si="454"/>
        <v>14.859979133343654</v>
      </c>
      <c r="AQ510" s="60">
        <f t="shared" si="455"/>
        <v>-87.319810916233337</v>
      </c>
      <c r="AR510" t="str">
        <f t="shared" si="431"/>
        <v>-1.94444444444444</v>
      </c>
      <c r="AS510" t="str">
        <f t="shared" si="432"/>
        <v>1+292.663050715648i</v>
      </c>
      <c r="AT510">
        <f t="shared" si="456"/>
        <v>292.66475916001565</v>
      </c>
      <c r="AU510">
        <f t="shared" si="457"/>
        <v>1.567379441384013</v>
      </c>
      <c r="AV510" t="str">
        <f t="shared" si="433"/>
        <v>1+292.663050715648i</v>
      </c>
      <c r="AW510">
        <f t="shared" si="458"/>
        <v>292.66475916001565</v>
      </c>
      <c r="AX510">
        <f t="shared" si="459"/>
        <v>1.567379441384013</v>
      </c>
      <c r="AY510" t="str">
        <f t="shared" si="434"/>
        <v>1-7.26999725201155E-06i</v>
      </c>
      <c r="AZ510">
        <f t="shared" si="460"/>
        <v>1.0000000000264264</v>
      </c>
      <c r="BA510">
        <f t="shared" si="461"/>
        <v>-7.2699972518834699E-6</v>
      </c>
      <c r="BB510" s="58" t="str">
        <f t="shared" si="462"/>
        <v>-0.0000226532054018378+0.00664389230715784i</v>
      </c>
      <c r="BC510">
        <f t="shared" si="463"/>
        <v>-43.551497826556762</v>
      </c>
      <c r="BD510" s="60">
        <f t="shared" si="464"/>
        <v>90.195356572963846</v>
      </c>
      <c r="BE510" s="58" t="str">
        <f t="shared" si="465"/>
        <v>-0.000207240187950902-0.0000656515618105824i</v>
      </c>
      <c r="BF510" s="37">
        <f t="shared" si="466"/>
        <v>-73.255189361478244</v>
      </c>
      <c r="BG510" s="60">
        <f t="shared" si="467"/>
        <v>-162.42233340382276</v>
      </c>
      <c r="BH510" s="58" t="str">
        <f t="shared" si="468"/>
        <v>0.0367178195451692+0.00184433313022983i</v>
      </c>
      <c r="BI510" s="37">
        <f t="shared" si="469"/>
        <v>-28.691518693213105</v>
      </c>
      <c r="BJ510" s="60">
        <f t="shared" si="470"/>
        <v>2.8755456567305204</v>
      </c>
      <c r="BK510">
        <f t="shared" si="471"/>
        <v>-73.255189361478244</v>
      </c>
      <c r="BL510" s="60">
        <f t="shared" si="472"/>
        <v>-162.42233340382276</v>
      </c>
      <c r="BN510">
        <f t="shared" si="473"/>
        <v>0</v>
      </c>
      <c r="BO510">
        <f t="shared" si="474"/>
        <v>0</v>
      </c>
    </row>
    <row r="511" spans="13:67" ht="14.25" x14ac:dyDescent="0.2">
      <c r="M511" s="66">
        <v>93</v>
      </c>
      <c r="N511" s="36">
        <f t="shared" si="475"/>
        <v>851138.03820237669</v>
      </c>
      <c r="O511" s="91" t="str">
        <f t="shared" si="423"/>
        <v>99.7340425531915</v>
      </c>
      <c r="P511" s="67" t="str">
        <f t="shared" si="424"/>
        <v>1+155315.450890644i</v>
      </c>
      <c r="Q511" s="67">
        <f t="shared" si="435"/>
        <v>155315.45089386325</v>
      </c>
      <c r="R511" s="67">
        <f t="shared" si="436"/>
        <v>1.5707898882854356</v>
      </c>
      <c r="S511" s="67" t="str">
        <f t="shared" si="425"/>
        <v>1+291.99304767441i</v>
      </c>
      <c r="T511" s="67">
        <f t="shared" si="437"/>
        <v>291.99476003892647</v>
      </c>
      <c r="U511" s="67">
        <f t="shared" si="438"/>
        <v>1.5673716011092016</v>
      </c>
      <c r="V511" t="str">
        <f t="shared" si="426"/>
        <v>1-30.1619192103237i</v>
      </c>
      <c r="W511" s="67">
        <f t="shared" si="439"/>
        <v>30.178491851815487</v>
      </c>
      <c r="X511" s="67">
        <f t="shared" si="440"/>
        <v>-1.5376540777890428</v>
      </c>
      <c r="Y511" t="str">
        <f t="shared" si="427"/>
        <v>-170.464132562128+46.6223519344883i</v>
      </c>
      <c r="Z511" s="67">
        <f t="shared" si="441"/>
        <v>176.72482618484037</v>
      </c>
      <c r="AA511" s="67">
        <f t="shared" si="442"/>
        <v>2.8746192678792846</v>
      </c>
      <c r="AB511" s="92" t="str">
        <f t="shared" si="443"/>
        <v>-0.00936109980562846+0.0306197223995196i</v>
      </c>
      <c r="AC511" s="37">
        <f t="shared" si="444"/>
        <v>-29.891924236679177</v>
      </c>
      <c r="AD511" s="60">
        <f t="shared" si="445"/>
        <v>106.99950580677552</v>
      </c>
      <c r="AE511" t="str">
        <f t="shared" si="446"/>
        <v>118.329284003155</v>
      </c>
      <c r="AF511" t="str">
        <f t="shared" si="428"/>
        <v>1+124252.360712515i</v>
      </c>
      <c r="AG511">
        <f t="shared" si="447"/>
        <v>124252.36071653906</v>
      </c>
      <c r="AH511">
        <f t="shared" si="448"/>
        <v>1.5707882786580705</v>
      </c>
      <c r="AI511" t="str">
        <f t="shared" si="429"/>
        <v>1+291.99304767441i</v>
      </c>
      <c r="AJ511">
        <f t="shared" si="449"/>
        <v>291.99476003892647</v>
      </c>
      <c r="AK511">
        <f t="shared" si="450"/>
        <v>1.5673716011092016</v>
      </c>
      <c r="AL511" t="str">
        <f t="shared" si="430"/>
        <v>1-20.3370106864258i</v>
      </c>
      <c r="AM511">
        <f t="shared" si="451"/>
        <v>20.361581560865972</v>
      </c>
      <c r="AN511">
        <f t="shared" si="452"/>
        <v>-1.5216644637482581</v>
      </c>
      <c r="AO511" s="58" t="str">
        <f t="shared" si="453"/>
        <v>0.25875178795801-5.65614044402821i</v>
      </c>
      <c r="AP511">
        <f t="shared" si="454"/>
        <v>15.059483081026192</v>
      </c>
      <c r="AQ511" s="60">
        <f t="shared" si="455"/>
        <v>-87.380712811320137</v>
      </c>
      <c r="AR511" t="str">
        <f t="shared" si="431"/>
        <v>-1.94444444444444</v>
      </c>
      <c r="AS511" t="str">
        <f t="shared" si="432"/>
        <v>1+299.48004889683i</v>
      </c>
      <c r="AT511">
        <f t="shared" si="456"/>
        <v>299.48171845247526</v>
      </c>
      <c r="AU511">
        <f t="shared" si="457"/>
        <v>1.5674572186067786</v>
      </c>
      <c r="AV511" t="str">
        <f t="shared" si="433"/>
        <v>1+299.48004889683i</v>
      </c>
      <c r="AW511">
        <f t="shared" si="458"/>
        <v>299.48171845247526</v>
      </c>
      <c r="AX511">
        <f t="shared" si="459"/>
        <v>1.5674572186067786</v>
      </c>
      <c r="AY511" t="str">
        <f t="shared" si="434"/>
        <v>1-7.10451191091215E-06i</v>
      </c>
      <c r="AZ511">
        <f t="shared" si="460"/>
        <v>1.0000000000252371</v>
      </c>
      <c r="BA511">
        <f t="shared" si="461"/>
        <v>-7.1045119107926184E-6</v>
      </c>
      <c r="BB511" s="58" t="str">
        <f t="shared" si="462"/>
        <v>-0.0000216336545760885+0.00649266225897977i</v>
      </c>
      <c r="BC511">
        <f t="shared" si="463"/>
        <v>-43.751495544504138</v>
      </c>
      <c r="BD511" s="60">
        <f t="shared" si="464"/>
        <v>90.190909747968746</v>
      </c>
      <c r="BE511" s="58" t="str">
        <f t="shared" si="465"/>
        <v>-0.000198601001204151-0.0000614408759081537i</v>
      </c>
      <c r="BF511" s="37">
        <f t="shared" si="466"/>
        <v>-73.643419781183312</v>
      </c>
      <c r="BG511" s="60">
        <f t="shared" si="467"/>
        <v>-162.80958444525569</v>
      </c>
      <c r="BH511" s="58" t="str">
        <f t="shared" si="468"/>
        <v>0.0367178118456294+0.00180235095671846i</v>
      </c>
      <c r="BI511" s="37">
        <f t="shared" si="469"/>
        <v>-28.692012463477944</v>
      </c>
      <c r="BJ511" s="60">
        <f t="shared" si="470"/>
        <v>2.8101969366486261</v>
      </c>
      <c r="BK511">
        <f t="shared" si="471"/>
        <v>-73.643419781183312</v>
      </c>
      <c r="BL511" s="60">
        <f t="shared" si="472"/>
        <v>-162.80958444525569</v>
      </c>
      <c r="BN511">
        <f t="shared" si="473"/>
        <v>0</v>
      </c>
      <c r="BO511">
        <f t="shared" si="474"/>
        <v>0</v>
      </c>
    </row>
    <row r="512" spans="13:67" ht="14.25" x14ac:dyDescent="0.2">
      <c r="M512" s="66">
        <v>94</v>
      </c>
      <c r="N512" s="36">
        <f t="shared" si="475"/>
        <v>870963.58995608077</v>
      </c>
      <c r="O512" s="91" t="str">
        <f t="shared" si="423"/>
        <v>99.7340425531915</v>
      </c>
      <c r="P512" s="67" t="str">
        <f t="shared" si="424"/>
        <v>1+158933.212489321i</v>
      </c>
      <c r="Q512" s="67">
        <f t="shared" si="435"/>
        <v>158933.21249246699</v>
      </c>
      <c r="R512" s="67">
        <f t="shared" si="436"/>
        <v>1.570790034843804</v>
      </c>
      <c r="S512" s="67" t="str">
        <f t="shared" si="425"/>
        <v>1+298.794439479924i</v>
      </c>
      <c r="T512" s="67">
        <f t="shared" si="437"/>
        <v>298.79611286648623</v>
      </c>
      <c r="U512" s="67">
        <f t="shared" si="438"/>
        <v>1.5674495567943751</v>
      </c>
      <c r="V512" t="str">
        <f t="shared" si="426"/>
        <v>1-30.8644805616624i</v>
      </c>
      <c r="W512" s="67">
        <f t="shared" si="439"/>
        <v>30.880676163925493</v>
      </c>
      <c r="X512" s="67">
        <f t="shared" si="440"/>
        <v>-1.5384079538674325</v>
      </c>
      <c r="Y512" t="str">
        <f t="shared" si="427"/>
        <v>-178.544988172588+47.708326018209i</v>
      </c>
      <c r="Z512" s="67">
        <f t="shared" si="441"/>
        <v>184.80908303708807</v>
      </c>
      <c r="AA512" s="67">
        <f t="shared" si="442"/>
        <v>2.8804866252555823</v>
      </c>
      <c r="AB512" s="92" t="str">
        <f t="shared" si="443"/>
        <v>-0.00896364446800196+0.0300208712167889i</v>
      </c>
      <c r="AC512" s="37">
        <f t="shared" si="444"/>
        <v>-30.080656136442236</v>
      </c>
      <c r="AD512" s="60">
        <f t="shared" si="445"/>
        <v>106.62459520922471</v>
      </c>
      <c r="AE512" t="str">
        <f t="shared" si="446"/>
        <v>118.329284003155</v>
      </c>
      <c r="AF512" t="str">
        <f t="shared" si="428"/>
        <v>1+127146.569991457i</v>
      </c>
      <c r="AG512">
        <f t="shared" si="447"/>
        <v>127146.56999538947</v>
      </c>
      <c r="AH512">
        <f t="shared" si="448"/>
        <v>1.5707884618560308</v>
      </c>
      <c r="AI512" t="str">
        <f t="shared" si="429"/>
        <v>1+298.794439479924i</v>
      </c>
      <c r="AJ512">
        <f t="shared" si="449"/>
        <v>298.79611286648623</v>
      </c>
      <c r="AK512">
        <f t="shared" si="450"/>
        <v>1.5674495567943751</v>
      </c>
      <c r="AL512" t="str">
        <f t="shared" si="430"/>
        <v>1-20.8107205193583i</v>
      </c>
      <c r="AM512">
        <f t="shared" si="451"/>
        <v>20.834732744502396</v>
      </c>
      <c r="AN512">
        <f t="shared" si="452"/>
        <v>-1.5227811034053782</v>
      </c>
      <c r="AO512" s="58" t="str">
        <f t="shared" si="453"/>
        <v>0.258751787613805-5.78784511533452i</v>
      </c>
      <c r="AP512">
        <f t="shared" si="454"/>
        <v>15.259009302352947</v>
      </c>
      <c r="AQ512" s="60">
        <f t="shared" si="455"/>
        <v>-87.440235515630519</v>
      </c>
      <c r="AR512" t="str">
        <f t="shared" si="431"/>
        <v>-1.94444444444444</v>
      </c>
      <c r="AS512" t="str">
        <f t="shared" si="432"/>
        <v>1+306.455835364023i</v>
      </c>
      <c r="AT512">
        <f t="shared" si="456"/>
        <v>306.45746691614676</v>
      </c>
      <c r="AU512">
        <f t="shared" si="457"/>
        <v>1.5675332254428442</v>
      </c>
      <c r="AV512" t="str">
        <f t="shared" si="433"/>
        <v>1+306.455835364023i</v>
      </c>
      <c r="AW512">
        <f t="shared" si="458"/>
        <v>306.45746691614676</v>
      </c>
      <c r="AX512">
        <f t="shared" si="459"/>
        <v>1.5675332254428442</v>
      </c>
      <c r="AY512" t="str">
        <f t="shared" si="434"/>
        <v>1-6.94279347606725E-06i</v>
      </c>
      <c r="AZ512">
        <f t="shared" si="460"/>
        <v>1.0000000000241012</v>
      </c>
      <c r="BA512">
        <f t="shared" si="461"/>
        <v>-6.9427934759556962E-6</v>
      </c>
      <c r="BB512" s="58" t="str">
        <f t="shared" si="462"/>
        <v>-0.0000206599900962012+0.00634487439974724i</v>
      </c>
      <c r="BC512">
        <f t="shared" si="463"/>
        <v>-43.951493365159642</v>
      </c>
      <c r="BD512" s="60">
        <f t="shared" si="464"/>
        <v>90.186564142831827</v>
      </c>
      <c r="BE512" s="58" t="str">
        <f t="shared" si="465"/>
        <v>-0.000190293468435578-0.0000574934292154798i</v>
      </c>
      <c r="BF512" s="37">
        <f t="shared" si="466"/>
        <v>-74.032149501601879</v>
      </c>
      <c r="BG512" s="60">
        <f t="shared" si="467"/>
        <v>-163.18884064794347</v>
      </c>
      <c r="BH512" s="58" t="str">
        <f t="shared" si="468"/>
        <v>0.0367178044926186+0.00176132441588082i</v>
      </c>
      <c r="BI512" s="37">
        <f t="shared" si="469"/>
        <v>-28.692484062806702</v>
      </c>
      <c r="BJ512" s="60">
        <f t="shared" si="470"/>
        <v>2.7463286272013101</v>
      </c>
      <c r="BK512">
        <f t="shared" si="471"/>
        <v>-74.032149501601879</v>
      </c>
      <c r="BL512" s="60">
        <f t="shared" si="472"/>
        <v>-163.18884064794347</v>
      </c>
      <c r="BN512">
        <f t="shared" si="473"/>
        <v>0</v>
      </c>
      <c r="BO512">
        <f t="shared" si="474"/>
        <v>0</v>
      </c>
    </row>
    <row r="513" spans="13:67" ht="14.25" x14ac:dyDescent="0.2">
      <c r="M513" s="66">
        <v>95</v>
      </c>
      <c r="N513" s="36">
        <f t="shared" si="475"/>
        <v>891250.93813374708</v>
      </c>
      <c r="O513" s="91" t="str">
        <f t="shared" si="423"/>
        <v>99.7340425531915</v>
      </c>
      <c r="P513" s="67" t="str">
        <f t="shared" si="424"/>
        <v>1+162635.242580991i</v>
      </c>
      <c r="Q513" s="67">
        <f t="shared" si="435"/>
        <v>162635.24258406539</v>
      </c>
      <c r="R513" s="67">
        <f t="shared" si="436"/>
        <v>1.5707901780660964</v>
      </c>
      <c r="S513" s="67" t="str">
        <f t="shared" si="425"/>
        <v>1+305.754256052262i</v>
      </c>
      <c r="T513" s="67">
        <f t="shared" si="437"/>
        <v>305.75589134810173</v>
      </c>
      <c r="U513" s="67">
        <f t="shared" si="438"/>
        <v>1.5675257380308176</v>
      </c>
      <c r="V513" t="str">
        <f t="shared" si="426"/>
        <v>1-31.5834066691348i</v>
      </c>
      <c r="W513" s="67">
        <f t="shared" si="439"/>
        <v>31.599233801279876</v>
      </c>
      <c r="X513" s="67">
        <f t="shared" si="440"/>
        <v>-1.5391447052187082</v>
      </c>
      <c r="Y513" t="str">
        <f t="shared" si="427"/>
        <v>-187.006682774978+48.8195956878789i</v>
      </c>
      <c r="Z513" s="67">
        <f t="shared" si="441"/>
        <v>193.27403427679883</v>
      </c>
      <c r="AA513" s="67">
        <f t="shared" si="442"/>
        <v>2.8862338172601705</v>
      </c>
      <c r="AB513" s="92" t="str">
        <f t="shared" si="443"/>
        <v>-0.0085820897423885+0.0294295728953344i</v>
      </c>
      <c r="AC513" s="37">
        <f t="shared" si="444"/>
        <v>-30.269867297165757</v>
      </c>
      <c r="AD513" s="60">
        <f t="shared" si="445"/>
        <v>106.25744927762514</v>
      </c>
      <c r="AE513" t="str">
        <f t="shared" si="446"/>
        <v>118.329284003155</v>
      </c>
      <c r="AF513" t="str">
        <f t="shared" si="428"/>
        <v>1+130108.194064793i</v>
      </c>
      <c r="AG513">
        <f t="shared" si="447"/>
        <v>130108.19406863596</v>
      </c>
      <c r="AH513">
        <f t="shared" si="448"/>
        <v>1.5707886408838965</v>
      </c>
      <c r="AI513" t="str">
        <f t="shared" si="429"/>
        <v>1+305.754256052262i</v>
      </c>
      <c r="AJ513">
        <f t="shared" si="449"/>
        <v>305.75589134810173</v>
      </c>
      <c r="AK513">
        <f t="shared" si="450"/>
        <v>1.5675257380308176</v>
      </c>
      <c r="AL513" t="str">
        <f t="shared" si="430"/>
        <v>1-21.2954644717727i</v>
      </c>
      <c r="AM513">
        <f t="shared" si="451"/>
        <v>21.318930720571643</v>
      </c>
      <c r="AN513">
        <f t="shared" si="452"/>
        <v>-1.5238724410438256</v>
      </c>
      <c r="AO513" s="58" t="str">
        <f t="shared" si="453"/>
        <v>0.258751787285092-5.92261857873215i</v>
      </c>
      <c r="AP513">
        <f t="shared" si="454"/>
        <v>15.458556799443915</v>
      </c>
      <c r="AQ513" s="60">
        <f t="shared" si="455"/>
        <v>-87.498409950552187</v>
      </c>
      <c r="AR513" t="str">
        <f t="shared" si="431"/>
        <v>-1.94444444444444</v>
      </c>
      <c r="AS513" t="str">
        <f t="shared" si="432"/>
        <v>1+313.59410877155i</v>
      </c>
      <c r="AT513">
        <f t="shared" si="456"/>
        <v>313.59570318520429</v>
      </c>
      <c r="AU513">
        <f t="shared" si="457"/>
        <v>1.5676075021885261</v>
      </c>
      <c r="AV513" t="str">
        <f t="shared" si="433"/>
        <v>1+313.59410877155i</v>
      </c>
      <c r="AW513">
        <f t="shared" si="458"/>
        <v>313.59570318520429</v>
      </c>
      <c r="AX513">
        <f t="shared" si="459"/>
        <v>1.5676075021885261</v>
      </c>
      <c r="AY513" t="str">
        <f t="shared" si="434"/>
        <v>1-6.78475620222208E-06i</v>
      </c>
      <c r="AZ513">
        <f t="shared" si="460"/>
        <v>1.0000000000230165</v>
      </c>
      <c r="BA513">
        <f t="shared" si="461"/>
        <v>-6.784756202117973E-6</v>
      </c>
      <c r="BB513" s="58" t="str">
        <f t="shared" si="462"/>
        <v>-0.0000197301468244189+0.0062004503908398i</v>
      </c>
      <c r="BC513">
        <f t="shared" si="463"/>
        <v>-44.151491283900832</v>
      </c>
      <c r="BD513" s="60">
        <f t="shared" si="464"/>
        <v>90.182317453657092</v>
      </c>
      <c r="BE513" s="58" t="str">
        <f t="shared" si="465"/>
        <v>-0.000182307280870447-0.0000537934714916199i</v>
      </c>
      <c r="BF513" s="37">
        <f t="shared" si="466"/>
        <v>-74.421358581066585</v>
      </c>
      <c r="BG513" s="60">
        <f t="shared" si="467"/>
        <v>-163.56023326871778</v>
      </c>
      <c r="BH513" s="58" t="str">
        <f t="shared" si="468"/>
        <v>0.0367177974705406+0.00172123175474576i</v>
      </c>
      <c r="BI513" s="37">
        <f t="shared" si="469"/>
        <v>-28.692934484456917</v>
      </c>
      <c r="BJ513" s="60">
        <f t="shared" si="470"/>
        <v>2.6839075031049155</v>
      </c>
      <c r="BK513">
        <f t="shared" si="471"/>
        <v>-74.421358581066585</v>
      </c>
      <c r="BL513" s="60">
        <f t="shared" si="472"/>
        <v>-163.56023326871778</v>
      </c>
      <c r="BN513">
        <f t="shared" si="473"/>
        <v>0</v>
      </c>
      <c r="BO513">
        <f t="shared" si="474"/>
        <v>0</v>
      </c>
    </row>
    <row r="514" spans="13:67" ht="14.25" x14ac:dyDescent="0.2">
      <c r="M514" s="66">
        <v>96</v>
      </c>
      <c r="N514" s="36">
        <f t="shared" si="475"/>
        <v>912010.83935591124</v>
      </c>
      <c r="O514" s="91" t="str">
        <f t="shared" si="423"/>
        <v>99.7340425531915</v>
      </c>
      <c r="P514" s="67" t="str">
        <f t="shared" si="424"/>
        <v>1+166423.504031008i</v>
      </c>
      <c r="Q514" s="67">
        <f t="shared" si="435"/>
        <v>166423.50403401238</v>
      </c>
      <c r="R514" s="67">
        <f t="shared" si="436"/>
        <v>1.5707903180282514</v>
      </c>
      <c r="S514" s="67" t="str">
        <f t="shared" si="425"/>
        <v>1+312.876187578295i</v>
      </c>
      <c r="T514" s="67">
        <f t="shared" si="437"/>
        <v>312.8777856504492</v>
      </c>
      <c r="U514" s="67">
        <f t="shared" si="438"/>
        <v>1.5676001852072905</v>
      </c>
      <c r="V514" t="str">
        <f t="shared" si="426"/>
        <v>1-32.3190787168788i</v>
      </c>
      <c r="W514" s="67">
        <f t="shared" si="439"/>
        <v>32.334545753849831</v>
      </c>
      <c r="X514" s="67">
        <f t="shared" si="440"/>
        <v>-1.5398647192770747</v>
      </c>
      <c r="Y514" t="str">
        <f t="shared" si="427"/>
        <v>-195.867164758029+49.9567501533862i</v>
      </c>
      <c r="Z514" s="67">
        <f t="shared" si="441"/>
        <v>202.13763409181558</v>
      </c>
      <c r="AA514" s="67">
        <f t="shared" si="442"/>
        <v>2.8918627481621986</v>
      </c>
      <c r="AB514" s="92" t="str">
        <f t="shared" si="443"/>
        <v>-0.00821588118665421+0.0288460131169377i</v>
      </c>
      <c r="AC514" s="37">
        <f t="shared" si="444"/>
        <v>-30.459538474296259</v>
      </c>
      <c r="AD514" s="60">
        <f t="shared" si="445"/>
        <v>105.89793901680144</v>
      </c>
      <c r="AE514" t="str">
        <f t="shared" si="446"/>
        <v>118.329284003155</v>
      </c>
      <c r="AF514" t="str">
        <f t="shared" si="428"/>
        <v>1+133138.803224807i</v>
      </c>
      <c r="AG514">
        <f t="shared" si="447"/>
        <v>133138.80322856246</v>
      </c>
      <c r="AH514">
        <f t="shared" si="448"/>
        <v>1.5707888158365904</v>
      </c>
      <c r="AI514" t="str">
        <f t="shared" si="429"/>
        <v>1+312.876187578295i</v>
      </c>
      <c r="AJ514">
        <f t="shared" si="449"/>
        <v>312.8777856504492</v>
      </c>
      <c r="AK514">
        <f t="shared" si="450"/>
        <v>1.5676001852072905</v>
      </c>
      <c r="AL514" t="str">
        <f t="shared" si="430"/>
        <v>1-21.7914995613288i</v>
      </c>
      <c r="AM514">
        <f t="shared" si="451"/>
        <v>21.814432221155634</v>
      </c>
      <c r="AN514">
        <f t="shared" si="452"/>
        <v>-1.5249390449009286</v>
      </c>
      <c r="AO514" s="58" t="str">
        <f t="shared" si="453"/>
        <v>0.258751786971174-6.06053229289536i</v>
      </c>
      <c r="AP514">
        <f t="shared" si="454"/>
        <v>15.65812461892785</v>
      </c>
      <c r="AQ514" s="60">
        <f t="shared" si="455"/>
        <v>-87.55526636501898</v>
      </c>
      <c r="AR514" t="str">
        <f t="shared" si="431"/>
        <v>-1.94444444444444</v>
      </c>
      <c r="AS514" t="str">
        <f t="shared" si="432"/>
        <v>1+320.898653926456i</v>
      </c>
      <c r="AT514">
        <f t="shared" si="456"/>
        <v>320.90021204700287</v>
      </c>
      <c r="AU514">
        <f t="shared" si="457"/>
        <v>1.5676800882230573</v>
      </c>
      <c r="AV514" t="str">
        <f t="shared" si="433"/>
        <v>1+320.898653926456i</v>
      </c>
      <c r="AW514">
        <f t="shared" si="458"/>
        <v>320.90021204700287</v>
      </c>
      <c r="AX514">
        <f t="shared" si="459"/>
        <v>1.5676800882230573</v>
      </c>
      <c r="AY514" t="str">
        <f t="shared" si="434"/>
        <v>1-6.63031629592221E-06i</v>
      </c>
      <c r="AZ514">
        <f t="shared" si="460"/>
        <v>1.0000000000219806</v>
      </c>
      <c r="BA514">
        <f t="shared" si="461"/>
        <v>-6.630316295825051E-6</v>
      </c>
      <c r="BB514" s="58" t="str">
        <f t="shared" si="462"/>
        <v>-0.0000188421525617518+0.00605931367582958i</v>
      </c>
      <c r="BC514">
        <f t="shared" si="463"/>
        <v>-44.351489296313147</v>
      </c>
      <c r="BD514" s="60">
        <f t="shared" si="464"/>
        <v>90.178167428981681</v>
      </c>
      <c r="BE514" s="58" t="str">
        <f t="shared" si="465"/>
        <v>-0.000174632236885872-0.0000503261222132325i</v>
      </c>
      <c r="BF514" s="37">
        <f t="shared" si="466"/>
        <v>-74.811027770609414</v>
      </c>
      <c r="BG514" s="60">
        <f t="shared" si="467"/>
        <v>-163.92389355421687</v>
      </c>
      <c r="BH514" s="58" t="str">
        <f t="shared" si="468"/>
        <v>0.0367177907645019+0.00168205171550793i</v>
      </c>
      <c r="BI514" s="37">
        <f t="shared" si="469"/>
        <v>-28.693364677385304</v>
      </c>
      <c r="BJ514" s="60">
        <f t="shared" si="470"/>
        <v>2.6229010639627108</v>
      </c>
      <c r="BK514">
        <f t="shared" si="471"/>
        <v>-74.811027770609414</v>
      </c>
      <c r="BL514" s="60">
        <f t="shared" si="472"/>
        <v>-163.92389355421687</v>
      </c>
      <c r="BN514">
        <f t="shared" si="473"/>
        <v>0</v>
      </c>
      <c r="BO514">
        <f t="shared" si="474"/>
        <v>0</v>
      </c>
    </row>
    <row r="515" spans="13:67" ht="14.25" x14ac:dyDescent="0.2">
      <c r="M515" s="66">
        <v>97</v>
      </c>
      <c r="N515" s="36">
        <f t="shared" si="475"/>
        <v>933254.30079699249</v>
      </c>
      <c r="O515" s="91" t="str">
        <f t="shared" si="423"/>
        <v>99.7340425531915</v>
      </c>
      <c r="P515" s="67" t="str">
        <f t="shared" si="424"/>
        <v>1+170300.005425739i</v>
      </c>
      <c r="Q515" s="67">
        <f t="shared" si="435"/>
        <v>170300.00542867495</v>
      </c>
      <c r="R515" s="67">
        <f t="shared" si="436"/>
        <v>1.5707904548044789</v>
      </c>
      <c r="S515" s="67" t="str">
        <f t="shared" si="425"/>
        <v>1+320.164010200388i</v>
      </c>
      <c r="T515" s="67">
        <f t="shared" si="437"/>
        <v>320.16557189615838</v>
      </c>
      <c r="U515" s="67">
        <f t="shared" si="438"/>
        <v>1.5676729377933687</v>
      </c>
      <c r="V515" t="str">
        <f t="shared" si="426"/>
        <v>1-33.0718867679522i</v>
      </c>
      <c r="W515" s="67">
        <f t="shared" si="439"/>
        <v>33.087001894886939</v>
      </c>
      <c r="X515" s="67">
        <f t="shared" si="440"/>
        <v>-1.5405683748156498</v>
      </c>
      <c r="Y515" t="str">
        <f t="shared" si="427"/>
        <v>-205.145228391973+51.1203923490806i</v>
      </c>
      <c r="Z515" s="67">
        <f t="shared" si="441"/>
        <v>211.41868234836463</v>
      </c>
      <c r="AA515" s="67">
        <f t="shared" si="442"/>
        <v>2.8973753279335961</v>
      </c>
      <c r="AB515" s="92" t="str">
        <f t="shared" si="443"/>
        <v>-0.00786447677893428+0.028270354254646i</v>
      </c>
      <c r="AC515" s="37">
        <f t="shared" si="444"/>
        <v>-30.649651100481993</v>
      </c>
      <c r="AD515" s="60">
        <f t="shared" si="445"/>
        <v>105.54593554851019</v>
      </c>
      <c r="AE515" t="str">
        <f t="shared" si="446"/>
        <v>118.329284003155</v>
      </c>
      <c r="AF515" t="str">
        <f t="shared" si="428"/>
        <v>1+136240.004340591i</v>
      </c>
      <c r="AG515">
        <f t="shared" si="447"/>
        <v>136240.00434426096</v>
      </c>
      <c r="AH515">
        <f t="shared" si="448"/>
        <v>1.5707889868068745</v>
      </c>
      <c r="AI515" t="str">
        <f t="shared" si="429"/>
        <v>1+320.164010200388i</v>
      </c>
      <c r="AJ515">
        <f t="shared" si="449"/>
        <v>320.16557189615838</v>
      </c>
      <c r="AK515">
        <f t="shared" si="450"/>
        <v>1.5676729377933687</v>
      </c>
      <c r="AL515" t="str">
        <f t="shared" si="430"/>
        <v>1-22.2990887923969i</v>
      </c>
      <c r="AM515">
        <f t="shared" si="451"/>
        <v>22.321499971354996</v>
      </c>
      <c r="AN515">
        <f t="shared" si="452"/>
        <v>-1.5259814707913268</v>
      </c>
      <c r="AO515" s="58" t="str">
        <f t="shared" si="453"/>
        <v>0.258751786671384-6.20165938150091i</v>
      </c>
      <c r="AP515">
        <f t="shared" si="454"/>
        <v>15.857711849974226</v>
      </c>
      <c r="AQ515" s="60">
        <f t="shared" si="455"/>
        <v>-87.610834348738734</v>
      </c>
      <c r="AR515" t="str">
        <f t="shared" si="431"/>
        <v>-1.94444444444444</v>
      </c>
      <c r="AS515" t="str">
        <f t="shared" si="432"/>
        <v>1+328.373343795269i</v>
      </c>
      <c r="AT515">
        <f t="shared" si="456"/>
        <v>328.37486644882847</v>
      </c>
      <c r="AU515">
        <f t="shared" si="457"/>
        <v>1.567751022029453</v>
      </c>
      <c r="AV515" t="str">
        <f t="shared" si="433"/>
        <v>1+328.373343795269i</v>
      </c>
      <c r="AW515">
        <f t="shared" si="458"/>
        <v>328.37486644882847</v>
      </c>
      <c r="AX515">
        <f t="shared" si="459"/>
        <v>1.567751022029453</v>
      </c>
      <c r="AY515" t="str">
        <f t="shared" si="434"/>
        <v>1-6.47939187108504E-06i</v>
      </c>
      <c r="AZ515">
        <f t="shared" si="460"/>
        <v>1.0000000000209912</v>
      </c>
      <c r="BA515">
        <f t="shared" si="461"/>
        <v>-6.4793918709943655E-6</v>
      </c>
      <c r="BB515" s="58" t="str">
        <f t="shared" si="462"/>
        <v>-0.0000179941238657237+0.00592138943998105i</v>
      </c>
      <c r="BC515">
        <f t="shared" si="463"/>
        <v>-44.551487398180797</v>
      </c>
      <c r="BD515" s="60">
        <f t="shared" si="464"/>
        <v>90.174111868582969</v>
      </c>
      <c r="BE515" s="58" t="str">
        <f t="shared" si="465"/>
        <v>-0.000167258262778685-0.0000470773300059436i</v>
      </c>
      <c r="BF515" s="37">
        <f t="shared" si="466"/>
        <v>-75.201138498662786</v>
      </c>
      <c r="BG515" s="60">
        <f t="shared" si="467"/>
        <v>-164.27995258290684</v>
      </c>
      <c r="BH515" s="58" t="str">
        <f t="shared" si="468"/>
        <v>0.0367177843602791+0.00164376352425592i</v>
      </c>
      <c r="BI515" s="37">
        <f t="shared" si="469"/>
        <v>-28.693775548206556</v>
      </c>
      <c r="BJ515" s="60">
        <f t="shared" si="470"/>
        <v>2.5632775198442506</v>
      </c>
      <c r="BK515">
        <f t="shared" si="471"/>
        <v>-75.201138498662786</v>
      </c>
      <c r="BL515" s="60">
        <f t="shared" si="472"/>
        <v>-164.27995258290684</v>
      </c>
      <c r="BN515">
        <f t="shared" si="473"/>
        <v>0</v>
      </c>
      <c r="BO515">
        <f t="shared" si="474"/>
        <v>0</v>
      </c>
    </row>
    <row r="516" spans="13:67" ht="14.25" x14ac:dyDescent="0.2">
      <c r="M516" s="66">
        <v>98</v>
      </c>
      <c r="N516" s="36">
        <f t="shared" si="475"/>
        <v>954992.58602143743</v>
      </c>
      <c r="O516" s="91" t="str">
        <f t="shared" si="423"/>
        <v>99.7340425531915</v>
      </c>
      <c r="P516" s="67" t="str">
        <f t="shared" si="424"/>
        <v>1+174266.802137533i</v>
      </c>
      <c r="Q516" s="67">
        <f t="shared" si="435"/>
        <v>174266.80214040214</v>
      </c>
      <c r="R516" s="67">
        <f t="shared" si="436"/>
        <v>1.5707905884672995</v>
      </c>
      <c r="S516" s="67" t="str">
        <f t="shared" si="425"/>
        <v>1+327.621588018561i</v>
      </c>
      <c r="T516" s="67">
        <f t="shared" si="437"/>
        <v>327.62311416596316</v>
      </c>
      <c r="U516" s="67">
        <f t="shared" si="438"/>
        <v>1.5677440343603546</v>
      </c>
      <c r="V516" t="str">
        <f t="shared" si="426"/>
        <v>1-33.8422299711481i</v>
      </c>
      <c r="W516" s="67">
        <f t="shared" si="439"/>
        <v>33.85700118764322</v>
      </c>
      <c r="X516" s="67">
        <f t="shared" si="440"/>
        <v>-1.5412560421331056</v>
      </c>
      <c r="Y516" t="str">
        <f t="shared" si="427"/>
        <v>-214.860553693707+52.3111392534568i</v>
      </c>
      <c r="Z516" s="67">
        <f t="shared" si="441"/>
        <v>221.13686446081508</v>
      </c>
      <c r="AA516" s="67">
        <f t="shared" si="442"/>
        <v>2.9027734694851683</v>
      </c>
      <c r="AB516" s="92" t="str">
        <f t="shared" si="443"/>
        <v>-0.00752734726714473+0.027702736718154i</v>
      </c>
      <c r="AC516" s="37">
        <f t="shared" si="444"/>
        <v>-30.840187269825833</v>
      </c>
      <c r="AD516" s="60">
        <f t="shared" si="445"/>
        <v>105.20131026030225</v>
      </c>
      <c r="AE516" t="str">
        <f t="shared" si="446"/>
        <v>118.329284003155</v>
      </c>
      <c r="AF516" t="str">
        <f t="shared" si="428"/>
        <v>1+139413.441710026i</v>
      </c>
      <c r="AG516">
        <f t="shared" si="447"/>
        <v>139413.44171361244</v>
      </c>
      <c r="AH516">
        <f t="shared" si="448"/>
        <v>1.5707891538854002</v>
      </c>
      <c r="AI516" t="str">
        <f t="shared" si="429"/>
        <v>1+327.621588018561i</v>
      </c>
      <c r="AJ516">
        <f t="shared" si="449"/>
        <v>327.62311416596316</v>
      </c>
      <c r="AK516">
        <f t="shared" si="450"/>
        <v>1.5677440343603546</v>
      </c>
      <c r="AL516" t="str">
        <f t="shared" si="430"/>
        <v>1-22.818501295506i</v>
      </c>
      <c r="AM516">
        <f t="shared" si="451"/>
        <v>22.840402828606351</v>
      </c>
      <c r="AN516">
        <f t="shared" si="452"/>
        <v>-1.5270002623558374</v>
      </c>
      <c r="AO516" s="58" t="str">
        <f t="shared" si="453"/>
        <v>0.258751786385089-6.34607467199919i</v>
      </c>
      <c r="AP516">
        <f t="shared" si="454"/>
        <v>16.057317622410796</v>
      </c>
      <c r="AQ516" s="60">
        <f t="shared" si="455"/>
        <v>-87.665142845256909</v>
      </c>
      <c r="AR516" t="str">
        <f t="shared" si="431"/>
        <v>-1.94444444444444</v>
      </c>
      <c r="AS516" t="str">
        <f t="shared" si="432"/>
        <v>1+336.022141557498i</v>
      </c>
      <c r="AT516">
        <f t="shared" si="456"/>
        <v>336.02362955138619</v>
      </c>
      <c r="AU516">
        <f t="shared" si="457"/>
        <v>1.5678203412148994</v>
      </c>
      <c r="AV516" t="str">
        <f t="shared" si="433"/>
        <v>1+336.022141557498i</v>
      </c>
      <c r="AW516">
        <f t="shared" si="458"/>
        <v>336.02362955138619</v>
      </c>
      <c r="AX516">
        <f t="shared" si="459"/>
        <v>1.5678203412148994</v>
      </c>
      <c r="AY516" t="str">
        <f t="shared" si="434"/>
        <v>1-6.33190290558282E-06i</v>
      </c>
      <c r="AZ516">
        <f t="shared" si="460"/>
        <v>1.0000000000200466</v>
      </c>
      <c r="BA516">
        <f t="shared" si="461"/>
        <v>-6.3319029054981978E-6</v>
      </c>
      <c r="BB516" s="58" t="str">
        <f t="shared" si="462"/>
        <v>-0.000017184262056293+0.00578660457066835i</v>
      </c>
      <c r="BC516">
        <f t="shared" si="463"/>
        <v>-44.751485585477688</v>
      </c>
      <c r="BD516" s="60">
        <f t="shared" si="464"/>
        <v>90.170148622312851</v>
      </c>
      <c r="BE516" s="58" t="str">
        <f t="shared" si="465"/>
        <v>-0.000160175431005265-0.0000440338331885089i</v>
      </c>
      <c r="BF516" s="37">
        <f t="shared" si="466"/>
        <v>-75.5916728553035</v>
      </c>
      <c r="BG516" s="60">
        <f t="shared" si="467"/>
        <v>-164.62854111738491</v>
      </c>
      <c r="BH516" s="58" t="str">
        <f t="shared" si="468"/>
        <v>0.0367177782442884+0.00160634687995699i</v>
      </c>
      <c r="BI516" s="37">
        <f t="shared" si="469"/>
        <v>-28.694167963066892</v>
      </c>
      <c r="BJ516" s="60">
        <f t="shared" si="470"/>
        <v>2.5050057770559397</v>
      </c>
      <c r="BK516">
        <f t="shared" si="471"/>
        <v>-75.5916728553035</v>
      </c>
      <c r="BL516" s="60">
        <f t="shared" si="472"/>
        <v>-164.62854111738491</v>
      </c>
      <c r="BN516">
        <f t="shared" si="473"/>
        <v>0</v>
      </c>
      <c r="BO516">
        <f t="shared" si="474"/>
        <v>0</v>
      </c>
    </row>
    <row r="517" spans="13:67" ht="14.25" x14ac:dyDescent="0.2">
      <c r="M517" s="66">
        <v>99</v>
      </c>
      <c r="N517" s="36">
        <f t="shared" si="475"/>
        <v>977237.22095581202</v>
      </c>
      <c r="O517" s="91" t="str">
        <f t="shared" si="423"/>
        <v>99.7340425531915</v>
      </c>
      <c r="P517" s="67" t="str">
        <f t="shared" si="424"/>
        <v>1+178325.997414514i</v>
      </c>
      <c r="Q517" s="67">
        <f t="shared" si="435"/>
        <v>178325.99741731785</v>
      </c>
      <c r="R517" s="67">
        <f t="shared" si="436"/>
        <v>1.5707907190875825</v>
      </c>
      <c r="S517" s="67" t="str">
        <f t="shared" si="425"/>
        <v>1+335.252875139286i</v>
      </c>
      <c r="T517" s="67">
        <f t="shared" si="437"/>
        <v>335.25436654748836</v>
      </c>
      <c r="U517" s="67">
        <f t="shared" si="438"/>
        <v>1.5678135126017121</v>
      </c>
      <c r="V517" t="str">
        <f t="shared" si="426"/>
        <v>1-34.6305167726296i</v>
      </c>
      <c r="W517" s="67">
        <f t="shared" si="439"/>
        <v>34.644951896912481</v>
      </c>
      <c r="X517" s="67">
        <f t="shared" si="440"/>
        <v>-1.5419280832367601</v>
      </c>
      <c r="Y517" t="str">
        <f t="shared" si="427"/>
        <v>-225.033748170755+53.529622216285i</v>
      </c>
      <c r="Z517" s="67">
        <f t="shared" si="441"/>
        <v>231.31279314036431</v>
      </c>
      <c r="AA517" s="67">
        <f t="shared" si="442"/>
        <v>2.9080590860799269</v>
      </c>
      <c r="AB517" s="92" t="str">
        <f t="shared" si="443"/>
        <v>-0.00720397644499135+0.0271432802557205i</v>
      </c>
      <c r="AC517" s="37">
        <f t="shared" si="444"/>
        <v>-31.031129721774118</v>
      </c>
      <c r="AD517" s="60">
        <f t="shared" si="445"/>
        <v>104.86393494440642</v>
      </c>
      <c r="AE517" t="str">
        <f t="shared" si="446"/>
        <v>118.329284003155</v>
      </c>
      <c r="AF517" t="str">
        <f t="shared" si="428"/>
        <v>1+142660.797931611i</v>
      </c>
      <c r="AG517">
        <f t="shared" si="447"/>
        <v>142660.79793511581</v>
      </c>
      <c r="AH517">
        <f t="shared" si="448"/>
        <v>1.5707893171607541</v>
      </c>
      <c r="AI517" t="str">
        <f t="shared" si="429"/>
        <v>1+335.252875139286i</v>
      </c>
      <c r="AJ517">
        <f t="shared" si="449"/>
        <v>335.25436654748836</v>
      </c>
      <c r="AK517">
        <f t="shared" si="450"/>
        <v>1.5678135126017121</v>
      </c>
      <c r="AL517" t="str">
        <f t="shared" si="430"/>
        <v>1-23.3500124700406i</v>
      </c>
      <c r="AM517">
        <f t="shared" si="451"/>
        <v>23.371415925250471</v>
      </c>
      <c r="AN517">
        <f t="shared" si="452"/>
        <v>-1.5279959513068917</v>
      </c>
      <c r="AO517" s="58" t="str">
        <f t="shared" si="453"/>
        <v>0.258751786111678-6.49385473528879i</v>
      </c>
      <c r="AP517">
        <f t="shared" si="454"/>
        <v>16.25694110492319</v>
      </c>
      <c r="AQ517" s="60">
        <f t="shared" si="455"/>
        <v>-87.718220164851033</v>
      </c>
      <c r="AR517" t="str">
        <f t="shared" si="431"/>
        <v>-1.94444444444444</v>
      </c>
      <c r="AS517" t="str">
        <f t="shared" si="432"/>
        <v>1+343.849102706959i</v>
      </c>
      <c r="AT517">
        <f t="shared" si="456"/>
        <v>343.85055683011598</v>
      </c>
      <c r="AU517">
        <f t="shared" si="457"/>
        <v>1.56788808253068</v>
      </c>
      <c r="AV517" t="str">
        <f t="shared" si="433"/>
        <v>1+343.849102706959i</v>
      </c>
      <c r="AW517">
        <f t="shared" si="458"/>
        <v>343.85055683011598</v>
      </c>
      <c r="AX517">
        <f t="shared" si="459"/>
        <v>1.56788808253068</v>
      </c>
      <c r="AY517" t="str">
        <f t="shared" si="434"/>
        <v>1-6.18777119881378E-06i</v>
      </c>
      <c r="AZ517">
        <f t="shared" si="460"/>
        <v>1.0000000000191442</v>
      </c>
      <c r="BA517">
        <f t="shared" si="461"/>
        <v>-6.1877711987348072E-6</v>
      </c>
      <c r="BB517" s="58" t="str">
        <f t="shared" si="462"/>
        <v>-0.0000164108494014812+0.00565488761868939i</v>
      </c>
      <c r="BC517">
        <f t="shared" si="463"/>
        <v>-44.951483854358962</v>
      </c>
      <c r="BD517" s="60">
        <f t="shared" si="464"/>
        <v>90.166275588958456</v>
      </c>
      <c r="BE517" s="58" t="str">
        <f t="shared" si="465"/>
        <v>-0.000153373976076159-0.0000411831214886504i</v>
      </c>
      <c r="BF517" s="37">
        <f t="shared" si="466"/>
        <v>-75.982613576133105</v>
      </c>
      <c r="BG517" s="60">
        <f t="shared" si="467"/>
        <v>-164.96978946663509</v>
      </c>
      <c r="BH517" s="58" t="str">
        <f t="shared" si="468"/>
        <v>0.0367177724035578+0.00156978194369261i</v>
      </c>
      <c r="BI517" s="37">
        <f t="shared" si="469"/>
        <v>-28.694542749435769</v>
      </c>
      <c r="BJ517" s="60">
        <f t="shared" si="470"/>
        <v>2.4480554241074235</v>
      </c>
      <c r="BK517">
        <f t="shared" si="471"/>
        <v>-75.982613576133105</v>
      </c>
      <c r="BL517" s="60">
        <f t="shared" si="472"/>
        <v>-164.96978946663509</v>
      </c>
      <c r="BN517">
        <f t="shared" si="473"/>
        <v>0</v>
      </c>
      <c r="BO517">
        <f t="shared" si="474"/>
        <v>0</v>
      </c>
    </row>
    <row r="518" spans="13:67" ht="14.25" x14ac:dyDescent="0.2">
      <c r="M518" s="66">
        <v>100</v>
      </c>
      <c r="N518" s="36">
        <f t="shared" si="475"/>
        <v>1000000</v>
      </c>
      <c r="O518" s="91" t="str">
        <f t="shared" si="423"/>
        <v>99.7340425531915</v>
      </c>
      <c r="P518" s="67" t="str">
        <f t="shared" si="424"/>
        <v>1+182479.743495748i</v>
      </c>
      <c r="Q518" s="67">
        <f t="shared" si="435"/>
        <v>182479.74349848804</v>
      </c>
      <c r="R518" s="67">
        <f t="shared" si="436"/>
        <v>1.570790846734585</v>
      </c>
      <c r="S518" s="67" t="str">
        <f t="shared" si="425"/>
        <v>1+343.061917772006i</v>
      </c>
      <c r="T518" s="67">
        <f t="shared" si="437"/>
        <v>343.06337523175887</v>
      </c>
      <c r="U518" s="67">
        <f t="shared" si="438"/>
        <v>1.5678814093530398</v>
      </c>
      <c r="V518" t="str">
        <f t="shared" si="426"/>
        <v>1-35.4371651324929i</v>
      </c>
      <c r="W518" s="67">
        <f t="shared" si="439"/>
        <v>35.451271805501854</v>
      </c>
      <c r="X518" s="67">
        <f t="shared" si="440"/>
        <v>-1.542584852022151</v>
      </c>
      <c r="Y518" t="str">
        <f t="shared" si="427"/>
        <v>-235.686390532545+54.7764872933606i</v>
      </c>
      <c r="Z518" s="67">
        <f t="shared" si="441"/>
        <v>241.96805211113929</v>
      </c>
      <c r="AA518" s="67">
        <f t="shared" si="442"/>
        <v>2.9132340889175543</v>
      </c>
      <c r="AB518" s="92" t="str">
        <f t="shared" si="443"/>
        <v>-0.00689386136045192+0.0265920852110463i</v>
      </c>
      <c r="AC518" s="37">
        <f t="shared" si="444"/>
        <v>-31.222461824727191</v>
      </c>
      <c r="AD518" s="60">
        <f t="shared" si="445"/>
        <v>104.53368192698257</v>
      </c>
      <c r="AE518" t="str">
        <f t="shared" si="446"/>
        <v>118.329284003155</v>
      </c>
      <c r="AF518" t="str">
        <f t="shared" si="428"/>
        <v>1+145983.794796598i</v>
      </c>
      <c r="AG518">
        <f t="shared" si="447"/>
        <v>145983.79480002302</v>
      </c>
      <c r="AH518">
        <f t="shared" si="448"/>
        <v>1.5707894767195072</v>
      </c>
      <c r="AI518" t="str">
        <f t="shared" si="429"/>
        <v>1+343.061917772006i</v>
      </c>
      <c r="AJ518">
        <f t="shared" si="449"/>
        <v>343.06337523175887</v>
      </c>
      <c r="AK518">
        <f t="shared" si="450"/>
        <v>1.5678814093530398</v>
      </c>
      <c r="AL518" t="str">
        <f t="shared" si="430"/>
        <v>1-23.8939041302608i</v>
      </c>
      <c r="AM518">
        <f t="shared" si="451"/>
        <v>23.914820814425813</v>
      </c>
      <c r="AN518">
        <f t="shared" si="452"/>
        <v>-1.5289690576704729</v>
      </c>
      <c r="AO518" s="58" t="str">
        <f t="shared" si="453"/>
        <v>0.258751785850572-6.64507792631538i</v>
      </c>
      <c r="AP518">
        <f t="shared" si="454"/>
        <v>16.456581503332828</v>
      </c>
      <c r="AQ518" s="60">
        <f t="shared" si="455"/>
        <v>-87.770093997250967</v>
      </c>
      <c r="AR518" t="str">
        <f t="shared" si="431"/>
        <v>-1.94444444444444</v>
      </c>
      <c r="AS518" t="str">
        <f t="shared" si="432"/>
        <v>1+351.858377202056i</v>
      </c>
      <c r="AT518">
        <f t="shared" si="456"/>
        <v>351.85979822546409</v>
      </c>
      <c r="AU518">
        <f t="shared" si="457"/>
        <v>1.5679542818916488</v>
      </c>
      <c r="AV518" t="str">
        <f t="shared" si="433"/>
        <v>1+351.858377202056i</v>
      </c>
      <c r="AW518">
        <f t="shared" si="458"/>
        <v>351.85979822546409</v>
      </c>
      <c r="AX518">
        <f t="shared" si="459"/>
        <v>1.5679542818916488</v>
      </c>
      <c r="AY518" t="str">
        <f t="shared" si="434"/>
        <v>1-6.04692033023919E-06i</v>
      </c>
      <c r="AZ518">
        <f t="shared" si="460"/>
        <v>1.0000000000182827</v>
      </c>
      <c r="BA518">
        <f t="shared" si="461"/>
        <v>-6.0469203301654877E-6</v>
      </c>
      <c r="BB518" s="58" t="str">
        <f t="shared" si="462"/>
        <v>-0.0000156722454746269+0.00552616876045663i</v>
      </c>
      <c r="BC518">
        <f t="shared" si="463"/>
        <v>-45.151482201152746</v>
      </c>
      <c r="BD518" s="60">
        <f t="shared" si="464"/>
        <v>90.162490715128797</v>
      </c>
      <c r="BE518" s="58" t="str">
        <f t="shared" si="465"/>
        <v>-0.000146844308281176-0.0000385133989761582i</v>
      </c>
      <c r="BF518" s="37">
        <f t="shared" si="466"/>
        <v>-76.373944025879922</v>
      </c>
      <c r="BG518" s="60">
        <f t="shared" si="467"/>
        <v>-165.30382735788865</v>
      </c>
      <c r="BH518" s="58" t="str">
        <f t="shared" si="468"/>
        <v>0.0367177668256991+0.00153404932813903i</v>
      </c>
      <c r="BI518" s="37">
        <f t="shared" si="469"/>
        <v>-28.694900697819929</v>
      </c>
      <c r="BJ518" s="60">
        <f t="shared" si="470"/>
        <v>2.3923967178778169</v>
      </c>
      <c r="BK518">
        <f t="shared" si="471"/>
        <v>-76.373944025879922</v>
      </c>
      <c r="BL518" s="60">
        <f t="shared" si="472"/>
        <v>-165.30382735788865</v>
      </c>
      <c r="BN518">
        <f t="shared" si="473"/>
        <v>0</v>
      </c>
      <c r="BO518">
        <f t="shared" si="474"/>
        <v>0</v>
      </c>
    </row>
    <row r="519" spans="13:67" ht="14.25" x14ac:dyDescent="0.2">
      <c r="M519" s="66">
        <v>1</v>
      </c>
      <c r="N519" s="36">
        <f>10^(6+(M519/100))</f>
        <v>1023292.9922807553</v>
      </c>
      <c r="O519" s="91" t="str">
        <f t="shared" si="423"/>
        <v>99.7340425531915</v>
      </c>
      <c r="P519" s="67" t="str">
        <f t="shared" si="424"/>
        <v>1+186730.242752388i</v>
      </c>
      <c r="Q519" s="67">
        <f t="shared" si="435"/>
        <v>186730.24275506564</v>
      </c>
      <c r="R519" s="67">
        <f t="shared" si="436"/>
        <v>1.5707909714759871</v>
      </c>
      <c r="S519" s="67" t="str">
        <f t="shared" si="425"/>
        <v>1+351.05285637449i</v>
      </c>
      <c r="T519" s="67">
        <f t="shared" si="437"/>
        <v>351.05428065854471</v>
      </c>
      <c r="U519" s="67">
        <f t="shared" si="438"/>
        <v>1.5679477606115886</v>
      </c>
      <c r="V519" t="str">
        <f t="shared" si="426"/>
        <v>1-36.2626027463759i</v>
      </c>
      <c r="W519" s="67">
        <f t="shared" si="439"/>
        <v>36.276388435750725</v>
      </c>
      <c r="X519" s="67">
        <f t="shared" si="440"/>
        <v>-1.543226694449132</v>
      </c>
      <c r="Y519" t="str">
        <f t="shared" si="427"/>
        <v>-246.841076461752+56.0523955890518i</v>
      </c>
      <c r="Z519" s="67">
        <f t="shared" si="441"/>
        <v>253.12524188643863</v>
      </c>
      <c r="AA519" s="67">
        <f t="shared" si="442"/>
        <v>2.9183003848837847</v>
      </c>
      <c r="AB519" s="92" t="str">
        <f t="shared" si="443"/>
        <v>-0.0065965124624497+0.026049233733988i</v>
      </c>
      <c r="AC519" s="37">
        <f t="shared" si="444"/>
        <v>-31.414167559447556</v>
      </c>
      <c r="AD519" s="60">
        <f t="shared" si="445"/>
        <v>104.21042418809931</v>
      </c>
      <c r="AE519" t="str">
        <f t="shared" si="446"/>
        <v>118.329284003155</v>
      </c>
      <c r="AF519" t="str">
        <f t="shared" si="428"/>
        <v>1+149384.194201911i</v>
      </c>
      <c r="AG519">
        <f t="shared" si="447"/>
        <v>149384.1942052581</v>
      </c>
      <c r="AH519">
        <f t="shared" si="448"/>
        <v>1.5707896326462598</v>
      </c>
      <c r="AI519" t="str">
        <f t="shared" si="429"/>
        <v>1+351.05285637449i</v>
      </c>
      <c r="AJ519">
        <f t="shared" si="449"/>
        <v>351.05428065854471</v>
      </c>
      <c r="AK519">
        <f t="shared" si="450"/>
        <v>1.5679477606115886</v>
      </c>
      <c r="AL519" t="str">
        <f t="shared" si="430"/>
        <v>1-24.450464654724i</v>
      </c>
      <c r="AM519">
        <f t="shared" si="451"/>
        <v>24.470905619365784</v>
      </c>
      <c r="AN519">
        <f t="shared" si="452"/>
        <v>-1.5299200900244996</v>
      </c>
      <c r="AO519" s="58" t="str">
        <f t="shared" si="453"/>
        <v>0.258751785601217-6.79982442561644i</v>
      </c>
      <c r="AP519">
        <f t="shared" si="454"/>
        <v>16.656238058949896</v>
      </c>
      <c r="AQ519" s="60">
        <f t="shared" si="455"/>
        <v>-87.820791424181721</v>
      </c>
      <c r="AR519" t="str">
        <f t="shared" si="431"/>
        <v>-1.94444444444444</v>
      </c>
      <c r="AS519" t="str">
        <f t="shared" si="432"/>
        <v>1+360.054211666143i</v>
      </c>
      <c r="AT519">
        <f t="shared" si="456"/>
        <v>360.05560034323548</v>
      </c>
      <c r="AU519">
        <f t="shared" si="457"/>
        <v>1.5680189743952608</v>
      </c>
      <c r="AV519" t="str">
        <f t="shared" si="433"/>
        <v>1+360.054211666143i</v>
      </c>
      <c r="AW519">
        <f t="shared" si="458"/>
        <v>360.05560034323548</v>
      </c>
      <c r="AX519">
        <f t="shared" si="459"/>
        <v>1.5680189743952608</v>
      </c>
      <c r="AY519" t="str">
        <f t="shared" si="434"/>
        <v>1-5.90927561886413E-06i</v>
      </c>
      <c r="AZ519">
        <f t="shared" si="460"/>
        <v>1.0000000000174598</v>
      </c>
      <c r="BA519">
        <f t="shared" si="461"/>
        <v>-5.9092756187953468E-6</v>
      </c>
      <c r="BB519" s="58" t="str">
        <f t="shared" si="462"/>
        <v>-0.0000149668836755443+0.00540037976104476i</v>
      </c>
      <c r="BC519">
        <f t="shared" si="463"/>
        <v>-45.351480622352526</v>
      </c>
      <c r="BD519" s="60">
        <f t="shared" si="464"/>
        <v>90.15879199416672</v>
      </c>
      <c r="BE519" s="58" t="str">
        <f t="shared" si="465"/>
        <v>-0.000140577025413063-0.0000360135482468266i</v>
      </c>
      <c r="BF519" s="37">
        <f t="shared" si="466"/>
        <v>-76.765648181800103</v>
      </c>
      <c r="BG519" s="60">
        <f t="shared" si="467"/>
        <v>-165.63078381773391</v>
      </c>
      <c r="BH519" s="58" t="str">
        <f t="shared" si="468"/>
        <v>0.0367177614988809+0.00149913008728733i</v>
      </c>
      <c r="BI519" s="37">
        <f t="shared" si="469"/>
        <v>-28.69524256340263</v>
      </c>
      <c r="BJ519" s="60">
        <f t="shared" si="470"/>
        <v>2.3380005699850077</v>
      </c>
      <c r="BK519">
        <f t="shared" si="471"/>
        <v>-76.765648181800103</v>
      </c>
      <c r="BL519" s="60">
        <f t="shared" si="472"/>
        <v>-165.63078381773391</v>
      </c>
      <c r="BN519">
        <f t="shared" si="473"/>
        <v>0</v>
      </c>
      <c r="BO519">
        <f t="shared" si="474"/>
        <v>0</v>
      </c>
    </row>
    <row r="520" spans="13:67" ht="14.25" x14ac:dyDescent="0.2">
      <c r="M520" s="66">
        <v>2</v>
      </c>
      <c r="N520" s="36">
        <f t="shared" ref="N520:N560" si="476">10^(6+(M520/100))</f>
        <v>1047128.5480509007</v>
      </c>
      <c r="O520" s="91" t="str">
        <f t="shared" si="423"/>
        <v>99.7340425531915</v>
      </c>
      <c r="P520" s="67" t="str">
        <f t="shared" si="424"/>
        <v>1+191079.748855403i</v>
      </c>
      <c r="Q520" s="67">
        <f t="shared" si="435"/>
        <v>191079.74885801974</v>
      </c>
      <c r="R520" s="67">
        <f t="shared" si="436"/>
        <v>1.5707910933779281</v>
      </c>
      <c r="S520" s="67" t="str">
        <f t="shared" si="425"/>
        <v>1+359.229927848158i</v>
      </c>
      <c r="T520" s="67">
        <f t="shared" si="437"/>
        <v>359.23131971167663</v>
      </c>
      <c r="U520" s="67">
        <f t="shared" si="438"/>
        <v>1.5680126015553355</v>
      </c>
      <c r="V520" t="str">
        <f t="shared" si="426"/>
        <v>1-37.1072672722273i</v>
      </c>
      <c r="W520" s="67">
        <f t="shared" si="439"/>
        <v>37.120739276212035</v>
      </c>
      <c r="X520" s="67">
        <f t="shared" si="440"/>
        <v>-1.5438539487145269</v>
      </c>
      <c r="Y520" t="str">
        <f t="shared" si="427"/>
        <v>-258.521466542767+57.3580236068253i</v>
      </c>
      <c r="Z520" s="67">
        <f t="shared" si="441"/>
        <v>264.8080277021528</v>
      </c>
      <c r="AA520" s="67">
        <f t="shared" si="442"/>
        <v>2.9232598744582772</v>
      </c>
      <c r="AB520" s="92" t="str">
        <f t="shared" si="443"/>
        <v>-0.00631145369116374+0.0255147909443573i</v>
      </c>
      <c r="AC520" s="37">
        <f t="shared" si="444"/>
        <v>-31.606231502340634</v>
      </c>
      <c r="AD520" s="60">
        <f t="shared" si="445"/>
        <v>103.89403547280259</v>
      </c>
      <c r="AE520" t="str">
        <f t="shared" si="446"/>
        <v>118.329284003155</v>
      </c>
      <c r="AF520" t="str">
        <f t="shared" si="428"/>
        <v>1+152863.799084322i</v>
      </c>
      <c r="AG520">
        <f t="shared" si="447"/>
        <v>152863.79908759292</v>
      </c>
      <c r="AH520">
        <f t="shared" si="448"/>
        <v>1.570789785023686</v>
      </c>
      <c r="AI520" t="str">
        <f t="shared" si="429"/>
        <v>1+359.229927848158i</v>
      </c>
      <c r="AJ520">
        <f t="shared" si="449"/>
        <v>359.23131971167663</v>
      </c>
      <c r="AK520">
        <f t="shared" si="450"/>
        <v>1.5680126015553355</v>
      </c>
      <c r="AL520" t="str">
        <f t="shared" si="430"/>
        <v>1-25.0199891391873i</v>
      </c>
      <c r="AM520">
        <f t="shared" si="451"/>
        <v>25.039965186178879</v>
      </c>
      <c r="AN520">
        <f t="shared" si="452"/>
        <v>-1.5308495457336075</v>
      </c>
      <c r="AO520" s="58" t="str">
        <f t="shared" si="453"/>
        <v>0.258751785363088-6.95817628183437i</v>
      </c>
      <c r="AP520">
        <f t="shared" si="454"/>
        <v>16.855910046998876</v>
      </c>
      <c r="AQ520" s="60">
        <f t="shared" si="455"/>
        <v>-87.870338931725001</v>
      </c>
      <c r="AR520" t="str">
        <f t="shared" si="431"/>
        <v>-1.94444444444444</v>
      </c>
      <c r="AS520" t="str">
        <f t="shared" si="432"/>
        <v>1+368.440951639135i</v>
      </c>
      <c r="AT520">
        <f t="shared" si="456"/>
        <v>368.44230870619549</v>
      </c>
      <c r="AU520">
        <f t="shared" si="457"/>
        <v>1.5680821943401708</v>
      </c>
      <c r="AV520" t="str">
        <f t="shared" si="433"/>
        <v>1+368.440951639135i</v>
      </c>
      <c r="AW520">
        <f t="shared" si="458"/>
        <v>368.44230870619549</v>
      </c>
      <c r="AX520">
        <f t="shared" si="459"/>
        <v>1.5680821943401708</v>
      </c>
      <c r="AY520" t="str">
        <f t="shared" si="434"/>
        <v>1-5.77476408364071E-06i</v>
      </c>
      <c r="AZ520">
        <f t="shared" si="460"/>
        <v>1.000000000016674</v>
      </c>
      <c r="BA520">
        <f t="shared" si="461"/>
        <v>-5.7747640835765173E-6</v>
      </c>
      <c r="BB520" s="58" t="str">
        <f t="shared" si="462"/>
        <v>-0.0000142932679082151+0.0052774539380763i</v>
      </c>
      <c r="BC520">
        <f t="shared" si="463"/>
        <v>-45.55147911460945</v>
      </c>
      <c r="BD520" s="60">
        <f t="shared" si="464"/>
        <v>90.155177465085586</v>
      </c>
      <c r="BE520" s="58" t="str">
        <f t="shared" si="465"/>
        <v>-0.000134562922649994-0.0000336730958800081i</v>
      </c>
      <c r="BF520" s="37">
        <f t="shared" si="466"/>
        <v>-77.157710616950069</v>
      </c>
      <c r="BG520" s="60">
        <f t="shared" si="467"/>
        <v>-165.95078706211183</v>
      </c>
      <c r="BH520" s="58" t="str">
        <f t="shared" si="468"/>
        <v>0.036717756411806+0.00146500570639755i</v>
      </c>
      <c r="BI520" s="37">
        <f t="shared" si="469"/>
        <v>-28.695569067610567</v>
      </c>
      <c r="BJ520" s="60">
        <f t="shared" si="470"/>
        <v>2.2848385333605958</v>
      </c>
      <c r="BK520">
        <f t="shared" si="471"/>
        <v>-77.157710616950069</v>
      </c>
      <c r="BL520" s="60">
        <f t="shared" si="472"/>
        <v>-165.95078706211183</v>
      </c>
      <c r="BN520">
        <f t="shared" si="473"/>
        <v>0</v>
      </c>
      <c r="BO520">
        <f t="shared" si="474"/>
        <v>0</v>
      </c>
    </row>
    <row r="521" spans="13:67" ht="14.25" x14ac:dyDescent="0.2">
      <c r="M521" s="66">
        <v>3</v>
      </c>
      <c r="N521" s="36">
        <f t="shared" si="476"/>
        <v>1071519.3052376076</v>
      </c>
      <c r="O521" s="91" t="str">
        <f t="shared" si="423"/>
        <v>99.7340425531915</v>
      </c>
      <c r="P521" s="67" t="str">
        <f t="shared" si="424"/>
        <v>1+195530.5679705i</v>
      </c>
      <c r="Q521" s="67">
        <f t="shared" si="435"/>
        <v>195530.56797305716</v>
      </c>
      <c r="R521" s="67">
        <f t="shared" si="436"/>
        <v>1.5707912125050423</v>
      </c>
      <c r="S521" s="67" t="str">
        <f t="shared" si="425"/>
        <v>1+367.597467784541i</v>
      </c>
      <c r="T521" s="67">
        <f t="shared" si="437"/>
        <v>367.59882796549647</v>
      </c>
      <c r="U521" s="67">
        <f t="shared" si="438"/>
        <v>1.5680759665616255</v>
      </c>
      <c r="V521" t="str">
        <f t="shared" si="426"/>
        <v>1-37.9716065623591i</v>
      </c>
      <c r="W521" s="67">
        <f t="shared" si="439"/>
        <v>37.984772013618731</v>
      </c>
      <c r="X521" s="67">
        <f t="shared" si="440"/>
        <v>-1.5444669454213844</v>
      </c>
      <c r="Y521" t="str">
        <f t="shared" si="427"/>
        <v>-270.752336448967+58.6940636079383i</v>
      </c>
      <c r="Z521" s="67">
        <f t="shared" si="441"/>
        <v>277.04118970901658</v>
      </c>
      <c r="AA521" s="67">
        <f t="shared" si="442"/>
        <v>2.9281144497745206</v>
      </c>
      <c r="AB521" s="92" t="str">
        <f t="shared" si="443"/>
        <v>-0.00603822251714957+0.02498880604843i</v>
      </c>
      <c r="AC521" s="37">
        <f t="shared" si="444"/>
        <v>-31.798638808669022</v>
      </c>
      <c r="AD521" s="60">
        <f t="shared" si="445"/>
        <v>103.58439039364353</v>
      </c>
      <c r="AE521" t="str">
        <f t="shared" si="446"/>
        <v>118.329284003155</v>
      </c>
      <c r="AF521" t="str">
        <f t="shared" si="428"/>
        <v>1+156424.4543764i</v>
      </c>
      <c r="AG521">
        <f t="shared" si="447"/>
        <v>156424.45437959643</v>
      </c>
      <c r="AH521">
        <f t="shared" si="448"/>
        <v>1.5707899339325786</v>
      </c>
      <c r="AI521" t="str">
        <f t="shared" si="429"/>
        <v>1+367.597467784541i</v>
      </c>
      <c r="AJ521">
        <f t="shared" si="449"/>
        <v>367.59882796549647</v>
      </c>
      <c r="AK521">
        <f t="shared" si="450"/>
        <v>1.5680759665616255</v>
      </c>
      <c r="AL521" t="str">
        <f t="shared" si="430"/>
        <v>1-25.602779553071i</v>
      </c>
      <c r="AM521">
        <f t="shared" si="451"/>
        <v>25.622301240192112</v>
      </c>
      <c r="AN521">
        <f t="shared" si="452"/>
        <v>-1.5317579111802895</v>
      </c>
      <c r="AO521" s="58" t="str">
        <f t="shared" si="453"/>
        <v>0.258751785135674-7.12021745521928i</v>
      </c>
      <c r="AP521">
        <f t="shared" si="454"/>
        <v>17.055596775111908</v>
      </c>
      <c r="AQ521" s="60">
        <f t="shared" si="455"/>
        <v>-87.918762422497238</v>
      </c>
      <c r="AR521" t="str">
        <f t="shared" si="431"/>
        <v>-1.94444444444444</v>
      </c>
      <c r="AS521" t="str">
        <f t="shared" si="432"/>
        <v>1+377.023043881579i</v>
      </c>
      <c r="AT521">
        <f t="shared" si="456"/>
        <v>377.02437005813175</v>
      </c>
      <c r="AU521">
        <f t="shared" si="457"/>
        <v>1.5681439752444077</v>
      </c>
      <c r="AV521" t="str">
        <f t="shared" si="433"/>
        <v>1+377.023043881579i</v>
      </c>
      <c r="AW521">
        <f t="shared" si="458"/>
        <v>377.02437005813175</v>
      </c>
      <c r="AX521">
        <f t="shared" si="459"/>
        <v>1.5681439752444077</v>
      </c>
      <c r="AY521" t="str">
        <f t="shared" si="434"/>
        <v>1-5.64331440477248E-06i</v>
      </c>
      <c r="AZ521">
        <f t="shared" si="460"/>
        <v>1.0000000000159235</v>
      </c>
      <c r="BA521">
        <f t="shared" si="461"/>
        <v>-5.6433144047125724E-6</v>
      </c>
      <c r="BB521" s="58" t="str">
        <f t="shared" si="462"/>
        <v>-0.0000136499694079696+0.00515732612642576i</v>
      </c>
      <c r="BC521">
        <f t="shared" si="463"/>
        <v>-45.751477674725507</v>
      </c>
      <c r="BD521" s="60">
        <f t="shared" si="464"/>
        <v>90.151645211530123</v>
      </c>
      <c r="BE521" s="58" t="str">
        <f t="shared" si="465"/>
        <v>-0.000128793000749116-0.0000314821791829705i</v>
      </c>
      <c r="BF521" s="37">
        <f t="shared" si="466"/>
        <v>-77.550116483394561</v>
      </c>
      <c r="BG521" s="60">
        <f t="shared" si="467"/>
        <v>-166.26396439482627</v>
      </c>
      <c r="BH521" s="58" t="str">
        <f t="shared" si="468"/>
        <v>0.0367177515536838+0.00143165809218135i</v>
      </c>
      <c r="BI521" s="37">
        <f t="shared" si="469"/>
        <v>-28.695880899613591</v>
      </c>
      <c r="BJ521" s="60">
        <f t="shared" si="470"/>
        <v>2.2328827890328951</v>
      </c>
      <c r="BK521">
        <f t="shared" si="471"/>
        <v>-77.550116483394561</v>
      </c>
      <c r="BL521" s="60">
        <f t="shared" si="472"/>
        <v>-166.26396439482627</v>
      </c>
      <c r="BN521">
        <f t="shared" si="473"/>
        <v>0</v>
      </c>
      <c r="BO521">
        <f t="shared" si="474"/>
        <v>0</v>
      </c>
    </row>
    <row r="522" spans="13:67" ht="14.25" x14ac:dyDescent="0.2">
      <c r="M522" s="66">
        <v>4</v>
      </c>
      <c r="N522" s="36">
        <f t="shared" si="476"/>
        <v>1096478.196143186</v>
      </c>
      <c r="O522" s="91" t="str">
        <f t="shared" si="423"/>
        <v>99.7340425531915</v>
      </c>
      <c r="P522" s="67" t="str">
        <f t="shared" si="424"/>
        <v>1+200085.059980889i</v>
      </c>
      <c r="Q522" s="67">
        <f t="shared" si="435"/>
        <v>200085.05998338794</v>
      </c>
      <c r="R522" s="67">
        <f t="shared" si="436"/>
        <v>1.5707913289204922</v>
      </c>
      <c r="S522" s="67" t="str">
        <f t="shared" si="425"/>
        <v>1+376.159912764071i</v>
      </c>
      <c r="T522" s="67">
        <f t="shared" si="437"/>
        <v>376.1612419836386</v>
      </c>
      <c r="U522" s="67">
        <f t="shared" si="438"/>
        <v>1.568137889225387</v>
      </c>
      <c r="V522" t="str">
        <f t="shared" si="426"/>
        <v>1-38.856078900904i</v>
      </c>
      <c r="W522" s="67">
        <f t="shared" si="439"/>
        <v>38.868944770256846</v>
      </c>
      <c r="X522" s="67">
        <f t="shared" si="440"/>
        <v>-1.5450660077448759</v>
      </c>
      <c r="Y522" t="str">
        <f t="shared" si="427"/>
        <v>-283.559629495246+60.0612239784841i</v>
      </c>
      <c r="Z522" s="67">
        <f t="shared" si="441"/>
        <v>289.85067553013363</v>
      </c>
      <c r="AA522" s="67">
        <f t="shared" si="442"/>
        <v>2.9328659928252772</v>
      </c>
      <c r="AB522" s="92" t="str">
        <f t="shared" si="443"/>
        <v>-0.0057763699341567+0.0244713134080761i</v>
      </c>
      <c r="AC522" s="37">
        <f t="shared" si="444"/>
        <v>-31.99137519576248</v>
      </c>
      <c r="AD522" s="60">
        <f t="shared" si="445"/>
        <v>103.28136452503489</v>
      </c>
      <c r="AE522" t="str">
        <f t="shared" si="446"/>
        <v>118.329284003155</v>
      </c>
      <c r="AF522" t="str">
        <f t="shared" si="428"/>
        <v>1+160068.047984711i</v>
      </c>
      <c r="AG522">
        <f t="shared" si="447"/>
        <v>160068.04798783467</v>
      </c>
      <c r="AH522">
        <f t="shared" si="448"/>
        <v>1.570790079451891</v>
      </c>
      <c r="AI522" t="str">
        <f t="shared" si="429"/>
        <v>1+376.159912764071i</v>
      </c>
      <c r="AJ522">
        <f t="shared" si="449"/>
        <v>376.1612419836386</v>
      </c>
      <c r="AK522">
        <f t="shared" si="450"/>
        <v>1.568137889225387</v>
      </c>
      <c r="AL522" t="str">
        <f t="shared" si="430"/>
        <v>1-26.1991448995665i</v>
      </c>
      <c r="AM522">
        <f t="shared" si="451"/>
        <v>26.218222545940854</v>
      </c>
      <c r="AN522">
        <f t="shared" si="452"/>
        <v>-1.5326456619923678</v>
      </c>
      <c r="AO522" s="58" t="str">
        <f t="shared" si="453"/>
        <v>0.258751784918495-7.28603386214606i</v>
      </c>
      <c r="AP522">
        <f t="shared" si="454"/>
        <v>17.255297581889145</v>
      </c>
      <c r="AQ522" s="60">
        <f t="shared" si="455"/>
        <v>-87.966087227641324</v>
      </c>
      <c r="AR522" t="str">
        <f t="shared" si="431"/>
        <v>-1.94444444444444</v>
      </c>
      <c r="AS522" t="str">
        <f t="shared" si="432"/>
        <v>1+385.805038732379i</v>
      </c>
      <c r="AT522">
        <f t="shared" si="456"/>
        <v>385.80633472157041</v>
      </c>
      <c r="AU522">
        <f t="shared" si="457"/>
        <v>1.5682043498631373</v>
      </c>
      <c r="AV522" t="str">
        <f t="shared" si="433"/>
        <v>1+385.805038732379i</v>
      </c>
      <c r="AW522">
        <f t="shared" si="458"/>
        <v>385.80633472157041</v>
      </c>
      <c r="AX522">
        <f t="shared" si="459"/>
        <v>1.5682043498631373</v>
      </c>
      <c r="AY522" t="str">
        <f t="shared" si="434"/>
        <v>1-5.51485688589975E-06i</v>
      </c>
      <c r="AZ522">
        <f t="shared" si="460"/>
        <v>1.0000000000152069</v>
      </c>
      <c r="BA522">
        <f t="shared" si="461"/>
        <v>-5.514856885843841E-6</v>
      </c>
      <c r="BB522" s="58" t="str">
        <f t="shared" si="462"/>
        <v>-0.0000130356237114349+0.00503993264372454i</v>
      </c>
      <c r="BC522">
        <f t="shared" si="463"/>
        <v>-45.951476299646579</v>
      </c>
      <c r="BD522" s="60">
        <f t="shared" si="464"/>
        <v>90.148193360760899</v>
      </c>
      <c r="BE522" s="58" t="str">
        <f t="shared" si="465"/>
        <v>-0.000123258472695297-0.0000294315142266976i</v>
      </c>
      <c r="BF522" s="37">
        <f t="shared" si="466"/>
        <v>-77.942851495409073</v>
      </c>
      <c r="BG522" s="60">
        <f t="shared" si="467"/>
        <v>-166.57044211420418</v>
      </c>
      <c r="BH522" s="58" t="str">
        <f t="shared" si="468"/>
        <v>0.0367177469142095+0.00139906956320842i</v>
      </c>
      <c r="BI522" s="37">
        <f t="shared" si="469"/>
        <v>-28.696178717757419</v>
      </c>
      <c r="BJ522" s="60">
        <f t="shared" si="470"/>
        <v>2.1821061331195666</v>
      </c>
      <c r="BK522">
        <f t="shared" si="471"/>
        <v>-77.942851495409073</v>
      </c>
      <c r="BL522" s="60">
        <f t="shared" si="472"/>
        <v>-166.57044211420418</v>
      </c>
      <c r="BN522">
        <f t="shared" si="473"/>
        <v>0</v>
      </c>
      <c r="BO522">
        <f t="shared" si="474"/>
        <v>0</v>
      </c>
    </row>
    <row r="523" spans="13:67" ht="14.25" x14ac:dyDescent="0.2">
      <c r="M523" s="66">
        <v>5</v>
      </c>
      <c r="N523" s="36">
        <f t="shared" si="476"/>
        <v>1122018.4543019643</v>
      </c>
      <c r="O523" s="91" t="str">
        <f t="shared" si="423"/>
        <v>99.7340425531915</v>
      </c>
      <c r="P523" s="67" t="str">
        <f t="shared" si="424"/>
        <v>1+204745.639738518i</v>
      </c>
      <c r="Q523" s="67">
        <f t="shared" si="435"/>
        <v>204745.63974096006</v>
      </c>
      <c r="R523" s="67">
        <f t="shared" si="436"/>
        <v>1.570791442686003</v>
      </c>
      <c r="S523" s="67" t="str">
        <f t="shared" si="425"/>
        <v>1+384.921802708413i</v>
      </c>
      <c r="T523" s="67">
        <f t="shared" si="437"/>
        <v>384.92310167135253</v>
      </c>
      <c r="U523" s="67">
        <f t="shared" si="438"/>
        <v>1.5681984023769353</v>
      </c>
      <c r="V523" t="str">
        <f t="shared" si="426"/>
        <v>1-39.7611532468031i</v>
      </c>
      <c r="W523" s="67">
        <f t="shared" si="439"/>
        <v>39.773726346870752</v>
      </c>
      <c r="X523" s="67">
        <f t="shared" si="440"/>
        <v>-1.5456514515948785</v>
      </c>
      <c r="Y523" t="str">
        <f t="shared" si="427"/>
        <v>-296.970511667259+61.4602296049876i</v>
      </c>
      <c r="Z523" s="67">
        <f t="shared" si="441"/>
        <v>303.26365529520911</v>
      </c>
      <c r="AA523" s="67">
        <f t="shared" si="442"/>
        <v>2.937516373807052</v>
      </c>
      <c r="AB523" s="92" t="str">
        <f t="shared" si="443"/>
        <v>-0.00552546041025449+0.023962333562712i</v>
      </c>
      <c r="AC523" s="37">
        <f t="shared" si="444"/>
        <v>-32.184426926274583</v>
      </c>
      <c r="AD523" s="60">
        <f t="shared" si="445"/>
        <v>102.98483448980939</v>
      </c>
      <c r="AE523" t="str">
        <f t="shared" si="446"/>
        <v>118.329284003155</v>
      </c>
      <c r="AF523" t="str">
        <f t="shared" si="428"/>
        <v>1+163796.511790814i</v>
      </c>
      <c r="AG523">
        <f t="shared" si="447"/>
        <v>163796.51179386655</v>
      </c>
      <c r="AH523">
        <f t="shared" si="448"/>
        <v>1.5707902216587795</v>
      </c>
      <c r="AI523" t="str">
        <f t="shared" si="429"/>
        <v>1+384.921802708413i</v>
      </c>
      <c r="AJ523">
        <f t="shared" si="449"/>
        <v>384.92310167135253</v>
      </c>
      <c r="AK523">
        <f t="shared" si="450"/>
        <v>1.5681984023769353</v>
      </c>
      <c r="AL523" t="str">
        <f t="shared" si="430"/>
        <v>1-26.8094013794745i</v>
      </c>
      <c r="AM523">
        <f t="shared" si="451"/>
        <v>26.828045070891196</v>
      </c>
      <c r="AN523">
        <f t="shared" si="452"/>
        <v>-1.5335132632667789</v>
      </c>
      <c r="AO523" s="58" t="str">
        <f t="shared" si="453"/>
        <v>0.258751784711092-7.45571342066867i</v>
      </c>
      <c r="AP523">
        <f t="shared" si="454"/>
        <v>17.455011835522281</v>
      </c>
      <c r="AQ523" s="60">
        <f t="shared" si="455"/>
        <v>-88.012338118631021</v>
      </c>
      <c r="AR523" t="str">
        <f t="shared" si="431"/>
        <v>-1.94444444444444</v>
      </c>
      <c r="AS523" t="str">
        <f t="shared" si="432"/>
        <v>1+394.791592521448i</v>
      </c>
      <c r="AT523">
        <f t="shared" si="456"/>
        <v>394.79285901041965</v>
      </c>
      <c r="AU523">
        <f t="shared" si="457"/>
        <v>1.5682633502060197</v>
      </c>
      <c r="AV523" t="str">
        <f t="shared" si="433"/>
        <v>1+394.791592521448i</v>
      </c>
      <c r="AW523">
        <f t="shared" si="458"/>
        <v>394.79285901041965</v>
      </c>
      <c r="AX523">
        <f t="shared" si="459"/>
        <v>1.5682633502060197</v>
      </c>
      <c r="AY523" t="str">
        <f t="shared" si="434"/>
        <v>1-5.38932341714569E-06i</v>
      </c>
      <c r="AZ523">
        <f t="shared" si="460"/>
        <v>1.0000000000145224</v>
      </c>
      <c r="BA523">
        <f t="shared" si="461"/>
        <v>-5.3893234170935124E-6</v>
      </c>
      <c r="BB523" s="58" t="str">
        <f t="shared" si="462"/>
        <v>-0.0000124489277628255+0.00492521125664813i</v>
      </c>
      <c r="BC523">
        <f t="shared" si="463"/>
        <v>-46.15147498645598</v>
      </c>
      <c r="BD523" s="60">
        <f t="shared" si="464"/>
        <v>90.144820082661852</v>
      </c>
      <c r="BE523" s="58" t="str">
        <f t="shared" si="465"/>
        <v>-0.000117950768941123-0.0000275123651702999i</v>
      </c>
      <c r="BF523" s="37">
        <f t="shared" si="466"/>
        <v>-78.335901912730549</v>
      </c>
      <c r="BG523" s="60">
        <f t="shared" si="467"/>
        <v>-166.87034542752878</v>
      </c>
      <c r="BH523" s="58" t="str">
        <f t="shared" si="468"/>
        <v>0.0367177424835435+0.0013672228405311i</v>
      </c>
      <c r="BI523" s="37">
        <f t="shared" si="469"/>
        <v>-28.696463150933695</v>
      </c>
      <c r="BJ523" s="60">
        <f t="shared" si="470"/>
        <v>2.1324819640308492</v>
      </c>
      <c r="BK523">
        <f t="shared" si="471"/>
        <v>-78.335901912730549</v>
      </c>
      <c r="BL523" s="60">
        <f t="shared" si="472"/>
        <v>-166.87034542752878</v>
      </c>
      <c r="BN523">
        <f t="shared" si="473"/>
        <v>0</v>
      </c>
      <c r="BO523">
        <f t="shared" si="474"/>
        <v>0</v>
      </c>
    </row>
    <row r="524" spans="13:67" ht="14.25" x14ac:dyDescent="0.2">
      <c r="M524" s="66">
        <v>6</v>
      </c>
      <c r="N524" s="36">
        <f t="shared" si="476"/>
        <v>1148153.6214968837</v>
      </c>
      <c r="O524" s="91" t="str">
        <f t="shared" si="423"/>
        <v>99.7340425531915</v>
      </c>
      <c r="P524" s="67" t="str">
        <f t="shared" si="424"/>
        <v>1+209514.778344465i</v>
      </c>
      <c r="Q524" s="67">
        <f t="shared" si="435"/>
        <v>209514.77834685147</v>
      </c>
      <c r="R524" s="67">
        <f t="shared" si="436"/>
        <v>1.5707915538618944</v>
      </c>
      <c r="S524" s="67" t="str">
        <f t="shared" si="425"/>
        <v>1+393.887783287594i</v>
      </c>
      <c r="T524" s="67">
        <f t="shared" si="437"/>
        <v>393.88905268262357</v>
      </c>
      <c r="U524" s="67">
        <f t="shared" si="438"/>
        <v>1.5682575380993704</v>
      </c>
      <c r="V524" t="str">
        <f t="shared" si="426"/>
        <v>1-40.6873094824548i</v>
      </c>
      <c r="W524" s="67">
        <f t="shared" si="439"/>
        <v>40.699596471231217</v>
      </c>
      <c r="X524" s="67">
        <f t="shared" si="440"/>
        <v>-1.54622358577529</v>
      </c>
      <c r="Y524" t="str">
        <f t="shared" si="427"/>
        <v>-311.01342924412+62.89182225875i</v>
      </c>
      <c r="Z524" s="67">
        <f t="shared" si="441"/>
        <v>317.30857926821557</v>
      </c>
      <c r="AA524" s="67">
        <f t="shared" si="442"/>
        <v>2.9420674495971424</v>
      </c>
      <c r="AB524" s="92" t="str">
        <f t="shared" si="443"/>
        <v>-0.00528507180159285+0.023461874204504i</v>
      </c>
      <c r="AC524" s="37">
        <f t="shared" si="444"/>
        <v>-32.377780791534484</v>
      </c>
      <c r="AD524" s="60">
        <f t="shared" si="445"/>
        <v>102.69467803834486</v>
      </c>
      <c r="AE524" t="str">
        <f t="shared" si="446"/>
        <v>118.329284003155</v>
      </c>
      <c r="AF524" t="str">
        <f t="shared" si="428"/>
        <v>1+167611.822675572i</v>
      </c>
      <c r="AG524">
        <f t="shared" si="447"/>
        <v>167611.82267855509</v>
      </c>
      <c r="AH524">
        <f t="shared" si="448"/>
        <v>1.570790360628644</v>
      </c>
      <c r="AI524" t="str">
        <f t="shared" si="429"/>
        <v>1+393.887783287594i</v>
      </c>
      <c r="AJ524">
        <f t="shared" si="449"/>
        <v>393.88905268262357</v>
      </c>
      <c r="AK524">
        <f t="shared" si="450"/>
        <v>1.5682575380993704</v>
      </c>
      <c r="AL524" t="str">
        <f t="shared" si="430"/>
        <v>1-27.4338725588582i</v>
      </c>
      <c r="AM524">
        <f t="shared" si="451"/>
        <v>27.4520921529794</v>
      </c>
      <c r="AN524">
        <f t="shared" si="452"/>
        <v>-1.5343611697896504</v>
      </c>
      <c r="AO524" s="58" t="str">
        <f t="shared" si="453"/>
        <v>0.258751784513022-7.62934609713498i</v>
      </c>
      <c r="AP524">
        <f t="shared" si="454"/>
        <v>17.654738932477631</v>
      </c>
      <c r="AQ524" s="60">
        <f t="shared" si="455"/>
        <v>-88.057539318885901</v>
      </c>
      <c r="AR524" t="str">
        <f t="shared" si="431"/>
        <v>-1.94444444444444</v>
      </c>
      <c r="AS524" t="str">
        <f t="shared" si="432"/>
        <v>1+403.987470038557i</v>
      </c>
      <c r="AT524">
        <f t="shared" si="456"/>
        <v>403.98870769880926</v>
      </c>
      <c r="AU524">
        <f t="shared" si="457"/>
        <v>1.5683210075541738</v>
      </c>
      <c r="AV524" t="str">
        <f t="shared" si="433"/>
        <v>1+403.987470038557i</v>
      </c>
      <c r="AW524">
        <f t="shared" si="458"/>
        <v>403.98870769880926</v>
      </c>
      <c r="AX524">
        <f t="shared" si="459"/>
        <v>1.5683210075541738</v>
      </c>
      <c r="AY524" t="str">
        <f t="shared" si="434"/>
        <v>1-5.26664743900353E-06i</v>
      </c>
      <c r="AZ524">
        <f t="shared" si="460"/>
        <v>1.0000000000138689</v>
      </c>
      <c r="BA524">
        <f t="shared" si="461"/>
        <v>-5.2666474389548349E-6</v>
      </c>
      <c r="BB524" s="58" t="str">
        <f t="shared" si="462"/>
        <v>-0.0000118886371504444+0.00481310114796806i</v>
      </c>
      <c r="BC524">
        <f t="shared" si="463"/>
        <v>-46.351473732368333</v>
      </c>
      <c r="BD524" s="60">
        <f t="shared" si="464"/>
        <v>90.141523588770511</v>
      </c>
      <c r="BE524" s="58" t="str">
        <f t="shared" si="465"/>
        <v>-0.000112861541366217-0.0000257165148646269i</v>
      </c>
      <c r="BF524" s="37">
        <f t="shared" si="466"/>
        <v>-78.729254523902824</v>
      </c>
      <c r="BG524" s="60">
        <f t="shared" si="467"/>
        <v>-167.16379837288457</v>
      </c>
      <c r="BH524" s="58" t="str">
        <f t="shared" si="468"/>
        <v>0.0367177382522879+0.00133610103852241i</v>
      </c>
      <c r="BI524" s="37">
        <f t="shared" si="469"/>
        <v>-28.696734799890699</v>
      </c>
      <c r="BJ524" s="60">
        <f t="shared" si="470"/>
        <v>2.0839842698846072</v>
      </c>
      <c r="BK524">
        <f t="shared" si="471"/>
        <v>-78.729254523902824</v>
      </c>
      <c r="BL524" s="60">
        <f t="shared" si="472"/>
        <v>-167.16379837288457</v>
      </c>
      <c r="BN524">
        <f t="shared" si="473"/>
        <v>0</v>
      </c>
      <c r="BO524">
        <f t="shared" si="474"/>
        <v>0</v>
      </c>
    </row>
    <row r="525" spans="13:67" ht="14.25" x14ac:dyDescent="0.2">
      <c r="M525" s="66">
        <v>7</v>
      </c>
      <c r="N525" s="36">
        <f t="shared" si="476"/>
        <v>1174897.5549395324</v>
      </c>
      <c r="O525" s="91" t="str">
        <f t="shared" si="423"/>
        <v>99.7340425531915</v>
      </c>
      <c r="P525" s="67" t="str">
        <f t="shared" si="424"/>
        <v>1+214395.004459147i</v>
      </c>
      <c r="Q525" s="67">
        <f t="shared" si="435"/>
        <v>214395.00446147914</v>
      </c>
      <c r="R525" s="67">
        <f t="shared" si="436"/>
        <v>1.5707916625071139</v>
      </c>
      <c r="S525" s="67" t="str">
        <f t="shared" si="425"/>
        <v>1+403.062608383196i</v>
      </c>
      <c r="T525" s="67">
        <f t="shared" si="437"/>
        <v>403.06384888335702</v>
      </c>
      <c r="U525" s="67">
        <f t="shared" si="438"/>
        <v>1.5683153277455801</v>
      </c>
      <c r="V525" t="str">
        <f t="shared" si="426"/>
        <v>1-41.6350386681543i</v>
      </c>
      <c r="W525" s="67">
        <f t="shared" si="439"/>
        <v>41.647046052495774</v>
      </c>
      <c r="X525" s="67">
        <f t="shared" si="440"/>
        <v>-1.5467827121401199</v>
      </c>
      <c r="Y525" t="str">
        <f t="shared" si="427"/>
        <v>-325.718169136779+64.3567609891457i</v>
      </c>
      <c r="Z525" s="67">
        <f t="shared" si="441"/>
        <v>332.01523819070326</v>
      </c>
      <c r="AA525" s="67">
        <f t="shared" si="442"/>
        <v>2.9465210623568949</v>
      </c>
      <c r="AB525" s="92" t="str">
        <f t="shared" si="443"/>
        <v>-0.00505479523285212+0.0229699311074611i</v>
      </c>
      <c r="AC525" s="37">
        <f t="shared" si="444"/>
        <v>-32.5714240950362</v>
      </c>
      <c r="AD525" s="60">
        <f t="shared" si="445"/>
        <v>102.41077412062106</v>
      </c>
      <c r="AE525" t="str">
        <f t="shared" si="446"/>
        <v>118.329284003155</v>
      </c>
      <c r="AF525" t="str">
        <f t="shared" si="428"/>
        <v>1+171516.003567318i</v>
      </c>
      <c r="AG525">
        <f t="shared" si="447"/>
        <v>171516.00357023318</v>
      </c>
      <c r="AH525">
        <f t="shared" si="448"/>
        <v>1.5707904964351682</v>
      </c>
      <c r="AI525" t="str">
        <f t="shared" si="429"/>
        <v>1+403.062608383196i</v>
      </c>
      <c r="AJ525">
        <f t="shared" si="449"/>
        <v>403.06384888335702</v>
      </c>
      <c r="AK525">
        <f t="shared" si="450"/>
        <v>1.5683153277455801</v>
      </c>
      <c r="AL525" t="str">
        <f t="shared" si="430"/>
        <v>1-28.0728895406029i</v>
      </c>
      <c r="AM525">
        <f t="shared" si="451"/>
        <v>28.09069467205985</v>
      </c>
      <c r="AN525">
        <f t="shared" si="452"/>
        <v>-1.535189826252672</v>
      </c>
      <c r="AO525" s="58" t="str">
        <f t="shared" si="453"/>
        <v>0.258751784323867-7.80702395388826i</v>
      </c>
      <c r="AP525">
        <f t="shared" si="454"/>
        <v>17.854478296237886</v>
      </c>
      <c r="AQ525" s="60">
        <f t="shared" si="455"/>
        <v>-88.101714515196562</v>
      </c>
      <c r="AR525" t="str">
        <f t="shared" si="431"/>
        <v>-1.94444444444444</v>
      </c>
      <c r="AS525" t="str">
        <f t="shared" si="432"/>
        <v>1+413.397547059687i</v>
      </c>
      <c r="AT525">
        <f t="shared" si="456"/>
        <v>413.39875654743588</v>
      </c>
      <c r="AU525">
        <f t="shared" si="457"/>
        <v>1.5683773524767546</v>
      </c>
      <c r="AV525" t="str">
        <f t="shared" si="433"/>
        <v>1+413.397547059687i</v>
      </c>
      <c r="AW525">
        <f t="shared" si="458"/>
        <v>413.39875654743588</v>
      </c>
      <c r="AX525">
        <f t="shared" si="459"/>
        <v>1.5683773524767546</v>
      </c>
      <c r="AY525" t="str">
        <f t="shared" si="434"/>
        <v>1-5.14676390704584E-06i</v>
      </c>
      <c r="AZ525">
        <f t="shared" si="460"/>
        <v>1.0000000000132445</v>
      </c>
      <c r="BA525">
        <f t="shared" si="461"/>
        <v>-5.1467639070003956E-6</v>
      </c>
      <c r="BB525" s="58" t="str">
        <f t="shared" si="462"/>
        <v>-0.0000113535634675354+0.00470354288435154i</v>
      </c>
      <c r="BC525">
        <f t="shared" si="463"/>
        <v>-46.551472534723601</v>
      </c>
      <c r="BD525" s="60">
        <f t="shared" si="464"/>
        <v>90.138302131330065</v>
      </c>
      <c r="BE525" s="58" t="str">
        <f t="shared" si="465"/>
        <v>-0.000107982666076052-0.0000240362367200091i</v>
      </c>
      <c r="BF525" s="37">
        <f t="shared" si="466"/>
        <v>-79.122896629759808</v>
      </c>
      <c r="BG525" s="60">
        <f t="shared" si="467"/>
        <v>-167.45092374804889</v>
      </c>
      <c r="BH525" s="58" t="str">
        <f t="shared" si="468"/>
        <v>0.0367177342114675+0.00130568765592283i</v>
      </c>
      <c r="BI525" s="37">
        <f t="shared" si="469"/>
        <v>-28.696994238485711</v>
      </c>
      <c r="BJ525" s="60">
        <f t="shared" si="470"/>
        <v>2.0365876161334913</v>
      </c>
      <c r="BK525">
        <f t="shared" si="471"/>
        <v>-79.122896629759808</v>
      </c>
      <c r="BL525" s="60">
        <f t="shared" si="472"/>
        <v>-167.45092374804889</v>
      </c>
      <c r="BN525">
        <f t="shared" si="473"/>
        <v>0</v>
      </c>
      <c r="BO525">
        <f t="shared" si="474"/>
        <v>0</v>
      </c>
    </row>
    <row r="526" spans="13:67" ht="14.25" x14ac:dyDescent="0.2">
      <c r="M526" s="66">
        <v>8</v>
      </c>
      <c r="N526" s="36">
        <f t="shared" si="476"/>
        <v>1202264.4346174158</v>
      </c>
      <c r="O526" s="91" t="str">
        <f t="shared" si="423"/>
        <v>99.7340425531915</v>
      </c>
      <c r="P526" s="67" t="str">
        <f t="shared" si="424"/>
        <v>1+219388.905643046i</v>
      </c>
      <c r="Q526" s="67">
        <f t="shared" si="435"/>
        <v>219388.90564532502</v>
      </c>
      <c r="R526" s="67">
        <f t="shared" si="436"/>
        <v>1.5707917686792661</v>
      </c>
      <c r="S526" s="67" t="str">
        <f t="shared" si="425"/>
        <v>1+412.451142608927i</v>
      </c>
      <c r="T526" s="67">
        <f t="shared" si="437"/>
        <v>412.45235487194088</v>
      </c>
      <c r="U526" s="67">
        <f t="shared" si="438"/>
        <v>1.5683718019548547</v>
      </c>
      <c r="V526" t="str">
        <f t="shared" si="426"/>
        <v>1-42.6048433024606i</v>
      </c>
      <c r="W526" s="67">
        <f t="shared" si="439"/>
        <v>42.616577441498308</v>
      </c>
      <c r="X526" s="67">
        <f t="shared" si="440"/>
        <v>-1.5473291257464035</v>
      </c>
      <c r="Y526" t="str">
        <f t="shared" si="427"/>
        <v>-341.115922070044+65.8558225260802i</v>
      </c>
      <c r="Z526" s="67">
        <f t="shared" si="441"/>
        <v>347.41482646870855</v>
      </c>
      <c r="AA526" s="67">
        <f t="shared" si="442"/>
        <v>2.9508790382548762</v>
      </c>
      <c r="AB526" s="92" t="str">
        <f t="shared" si="443"/>
        <v>-0.00483423494816514+0.0224864890112294i</v>
      </c>
      <c r="AC526" s="37">
        <f t="shared" si="444"/>
        <v>-32.765344636103315</v>
      </c>
      <c r="AD526" s="60">
        <f t="shared" si="445"/>
        <v>102.133002951565</v>
      </c>
      <c r="AE526" t="str">
        <f t="shared" si="446"/>
        <v>118.329284003155</v>
      </c>
      <c r="AF526" t="str">
        <f t="shared" si="428"/>
        <v>1+175511.124514437i</v>
      </c>
      <c r="AG526">
        <f t="shared" si="447"/>
        <v>175511.12451728579</v>
      </c>
      <c r="AH526">
        <f t="shared" si="448"/>
        <v>1.5707906291503584</v>
      </c>
      <c r="AI526" t="str">
        <f t="shared" si="429"/>
        <v>1+412.451142608927i</v>
      </c>
      <c r="AJ526">
        <f t="shared" si="449"/>
        <v>412.45235487194088</v>
      </c>
      <c r="AK526">
        <f t="shared" si="450"/>
        <v>1.5683718019548547</v>
      </c>
      <c r="AL526" t="str">
        <f t="shared" si="430"/>
        <v>1-28.7267911399707i</v>
      </c>
      <c r="AM526">
        <f t="shared" si="451"/>
        <v>28.744191225350196</v>
      </c>
      <c r="AN526">
        <f t="shared" si="452"/>
        <v>-1.5359996674657506</v>
      </c>
      <c r="AO526" s="58" t="str">
        <f t="shared" si="453"/>
        <v>0.258751784143227-7.98884119808019i</v>
      </c>
      <c r="AP526">
        <f t="shared" si="454"/>
        <v>18.054229376099457</v>
      </c>
      <c r="AQ526" s="60">
        <f t="shared" si="455"/>
        <v>-88.144886868959233</v>
      </c>
      <c r="AR526" t="str">
        <f t="shared" si="431"/>
        <v>-1.94444444444444</v>
      </c>
      <c r="AS526" t="str">
        <f t="shared" si="432"/>
        <v>1+423.026812932231i</v>
      </c>
      <c r="AT526">
        <f t="shared" si="456"/>
        <v>423.02799488875525</v>
      </c>
      <c r="AU526">
        <f t="shared" si="457"/>
        <v>1.5684324148471538</v>
      </c>
      <c r="AV526" t="str">
        <f t="shared" si="433"/>
        <v>1+423.026812932231i</v>
      </c>
      <c r="AW526">
        <f t="shared" si="458"/>
        <v>423.02799488875525</v>
      </c>
      <c r="AX526">
        <f t="shared" si="459"/>
        <v>1.5684324148471538</v>
      </c>
      <c r="AY526" t="str">
        <f t="shared" si="434"/>
        <v>1-5.02960925743714E-06i</v>
      </c>
      <c r="AZ526">
        <f t="shared" si="460"/>
        <v>1.0000000000126485</v>
      </c>
      <c r="BA526">
        <f t="shared" si="461"/>
        <v>-5.0296092573947293E-6</v>
      </c>
      <c r="BB526" s="58" t="str">
        <f t="shared" si="462"/>
        <v>-0.000010842571791893+0.00459647838489176i</v>
      </c>
      <c r="BC526">
        <f t="shared" si="463"/>
        <v>-46.751471390981429</v>
      </c>
      <c r="BD526" s="60">
        <f t="shared" si="464"/>
        <v>90.135154002363166</v>
      </c>
      <c r="BE526" s="58" t="str">
        <f t="shared" si="465"/>
        <v>-0.000103306245152738-0.0000224642678181813i</v>
      </c>
      <c r="BF526" s="37">
        <f t="shared" si="466"/>
        <v>-79.516816027084715</v>
      </c>
      <c r="BG526" s="60">
        <f t="shared" si="467"/>
        <v>-167.73184304607184</v>
      </c>
      <c r="BH526" s="58" t="str">
        <f t="shared" si="468"/>
        <v>0.0367177303525125+0.00127596656709074i</v>
      </c>
      <c r="BI526" s="37">
        <f t="shared" si="469"/>
        <v>-28.697242014881983</v>
      </c>
      <c r="BJ526" s="60">
        <f t="shared" si="470"/>
        <v>1.9902671334039292</v>
      </c>
      <c r="BK526">
        <f t="shared" si="471"/>
        <v>-79.516816027084715</v>
      </c>
      <c r="BL526" s="60">
        <f t="shared" si="472"/>
        <v>-167.73184304607184</v>
      </c>
      <c r="BN526">
        <f t="shared" si="473"/>
        <v>0</v>
      </c>
      <c r="BO526">
        <f t="shared" si="474"/>
        <v>0</v>
      </c>
    </row>
    <row r="527" spans="13:67" ht="14.25" x14ac:dyDescent="0.2">
      <c r="M527" s="66">
        <v>9</v>
      </c>
      <c r="N527" s="36">
        <f t="shared" si="476"/>
        <v>1230268.770812382</v>
      </c>
      <c r="O527" s="91" t="str">
        <f t="shared" si="423"/>
        <v>99.7340425531915</v>
      </c>
      <c r="P527" s="67" t="str">
        <f t="shared" si="424"/>
        <v>1+224499.129728672i</v>
      </c>
      <c r="Q527" s="67">
        <f t="shared" si="435"/>
        <v>224499.12973089915</v>
      </c>
      <c r="R527" s="67">
        <f t="shared" si="436"/>
        <v>1.570791872434645</v>
      </c>
      <c r="S527" s="67" t="str">
        <f t="shared" si="425"/>
        <v>1+422.058363889904i</v>
      </c>
      <c r="T527" s="67">
        <f t="shared" si="437"/>
        <v>422.0595485585211</v>
      </c>
      <c r="U527" s="67">
        <f t="shared" si="438"/>
        <v>1.5684269906691257</v>
      </c>
      <c r="V527" t="str">
        <f t="shared" si="426"/>
        <v>1-43.5972375886274i</v>
      </c>
      <c r="W527" s="67">
        <f t="shared" si="439"/>
        <v>43.608704697104066</v>
      </c>
      <c r="X527" s="67">
        <f t="shared" si="440"/>
        <v>-1.5478631150039877</v>
      </c>
      <c r="Y527" t="str">
        <f t="shared" si="427"/>
        <v>-357.239348742299+67.3898016918228i</v>
      </c>
      <c r="Z527" s="67">
        <f t="shared" si="441"/>
        <v>363.54000833730134</v>
      </c>
      <c r="AA527" s="67">
        <f t="shared" si="442"/>
        <v>2.9551431863038213</v>
      </c>
      <c r="AB527" s="92" t="str">
        <f t="shared" si="443"/>
        <v>-0.00462300813603328+0.0220115224605502i</v>
      </c>
      <c r="AC527" s="37">
        <f t="shared" si="444"/>
        <v>-32.959530693762076</v>
      </c>
      <c r="AD527" s="60">
        <f t="shared" si="445"/>
        <v>101.86124607003573</v>
      </c>
      <c r="AE527" t="str">
        <f t="shared" si="446"/>
        <v>118.329284003155</v>
      </c>
      <c r="AF527" t="str">
        <f t="shared" si="428"/>
        <v>1+179599.303782938i</v>
      </c>
      <c r="AG527">
        <f t="shared" si="447"/>
        <v>179599.30378572195</v>
      </c>
      <c r="AH527">
        <f t="shared" si="448"/>
        <v>1.570790758844582</v>
      </c>
      <c r="AI527" t="str">
        <f t="shared" si="429"/>
        <v>1+422.058363889904i</v>
      </c>
      <c r="AJ527">
        <f t="shared" si="449"/>
        <v>422.0595485585211</v>
      </c>
      <c r="AK527">
        <f t="shared" si="450"/>
        <v>1.5684269906691257</v>
      </c>
      <c r="AL527" t="str">
        <f t="shared" si="430"/>
        <v>1-29.3959240642448i</v>
      </c>
      <c r="AM527">
        <f t="shared" si="451"/>
        <v>29.412928306968119</v>
      </c>
      <c r="AN527">
        <f t="shared" si="452"/>
        <v>-1.5367911185659615</v>
      </c>
      <c r="AO527" s="58" t="str">
        <f t="shared" si="453"/>
        <v>0.258751783970716-8.17489423162005i</v>
      </c>
      <c r="AP527">
        <f t="shared" si="454"/>
        <v>18.25399164602166</v>
      </c>
      <c r="AQ527" s="60">
        <f t="shared" si="455"/>
        <v>-88.187079027219482</v>
      </c>
      <c r="AR527" t="str">
        <f t="shared" si="431"/>
        <v>-1.94444444444444</v>
      </c>
      <c r="AS527" t="str">
        <f t="shared" si="432"/>
        <v>1+432.880373220413i</v>
      </c>
      <c r="AT527">
        <f t="shared" si="456"/>
        <v>432.88152827239475</v>
      </c>
      <c r="AU527">
        <f t="shared" si="457"/>
        <v>1.5684862238588329</v>
      </c>
      <c r="AV527" t="str">
        <f t="shared" si="433"/>
        <v>1+432.880373220413i</v>
      </c>
      <c r="AW527">
        <f t="shared" si="458"/>
        <v>432.88152827239475</v>
      </c>
      <c r="AX527">
        <f t="shared" si="459"/>
        <v>1.5684862238588329</v>
      </c>
      <c r="AY527" t="str">
        <f t="shared" si="434"/>
        <v>1-0.0000049151213732315i</v>
      </c>
      <c r="AZ527">
        <f t="shared" si="460"/>
        <v>1.0000000000120792</v>
      </c>
      <c r="BA527">
        <f t="shared" si="461"/>
        <v>-4.91512137319192E-6</v>
      </c>
      <c r="BB527" s="58" t="str">
        <f t="shared" si="462"/>
        <v>-0.0000103545782788865+0.00449185089035233i</v>
      </c>
      <c r="BC527">
        <f t="shared" si="463"/>
        <v>-46.951470298715861</v>
      </c>
      <c r="BD527" s="60">
        <f t="shared" si="464"/>
        <v>90.132077532766743</v>
      </c>
      <c r="BE527" s="58" t="str">
        <f t="shared" si="465"/>
        <v>-0.0000988246074628042-0.0000209937832443024i</v>
      </c>
      <c r="BF527" s="37">
        <f t="shared" si="466"/>
        <v>-79.911000992477938</v>
      </c>
      <c r="BG527" s="60">
        <f t="shared" si="467"/>
        <v>-168.00667639719748</v>
      </c>
      <c r="BH527" s="58" t="str">
        <f t="shared" si="468"/>
        <v>0.0367177266672367+0.00124692201345204i</v>
      </c>
      <c r="BI527" s="37">
        <f t="shared" si="469"/>
        <v>-28.697478652694208</v>
      </c>
      <c r="BJ527" s="60">
        <f t="shared" si="470"/>
        <v>1.9449985055472774</v>
      </c>
      <c r="BK527">
        <f t="shared" si="471"/>
        <v>-79.911000992477938</v>
      </c>
      <c r="BL527" s="60">
        <f t="shared" si="472"/>
        <v>-168.00667639719748</v>
      </c>
      <c r="BN527">
        <f t="shared" si="473"/>
        <v>0</v>
      </c>
      <c r="BO527">
        <f t="shared" si="474"/>
        <v>0</v>
      </c>
    </row>
    <row r="528" spans="13:67" ht="14.25" x14ac:dyDescent="0.2">
      <c r="M528" s="66">
        <v>10</v>
      </c>
      <c r="N528" s="36">
        <f t="shared" si="476"/>
        <v>1258925.4117941677</v>
      </c>
      <c r="O528" s="91" t="str">
        <f t="shared" si="423"/>
        <v>99.7340425531915</v>
      </c>
      <c r="P528" s="67" t="str">
        <f t="shared" si="424"/>
        <v>1+229728.386224478i</v>
      </c>
      <c r="Q528" s="67">
        <f t="shared" si="435"/>
        <v>229728.38622665449</v>
      </c>
      <c r="R528" s="67">
        <f t="shared" si="436"/>
        <v>1.5707919738282632</v>
      </c>
      <c r="S528" s="67" t="str">
        <f t="shared" si="425"/>
        <v>1+431.889366102019i</v>
      </c>
      <c r="T528" s="67">
        <f t="shared" si="437"/>
        <v>431.89052380435919</v>
      </c>
      <c r="U528" s="67">
        <f t="shared" si="438"/>
        <v>1.5684809231488346</v>
      </c>
      <c r="V528" t="str">
        <f t="shared" si="426"/>
        <v>1-44.6127477072415i</v>
      </c>
      <c r="W528" s="67">
        <f t="shared" si="439"/>
        <v>44.623953858773902</v>
      </c>
      <c r="X528" s="67">
        <f t="shared" si="440"/>
        <v>-1.5483849618222336</v>
      </c>
      <c r="Y528" t="str">
        <f t="shared" si="427"/>
        <v>-374.122649103223+68.9595118224319i</v>
      </c>
      <c r="Z528" s="67">
        <f t="shared" si="441"/>
        <v>380.42498714306538</v>
      </c>
      <c r="AA528" s="67">
        <f t="shared" si="442"/>
        <v>2.9593152973053343</v>
      </c>
      <c r="AB528" s="92" t="str">
        <f t="shared" si="443"/>
        <v>-0.00442074473150401+0.0215449966014655i</v>
      </c>
      <c r="AC528" s="37">
        <f t="shared" si="444"/>
        <v>-33.153971010852587</v>
      </c>
      <c r="AD528" s="60">
        <f t="shared" si="445"/>
        <v>101.59538639179068</v>
      </c>
      <c r="AE528" t="str">
        <f t="shared" si="446"/>
        <v>118.329284003155</v>
      </c>
      <c r="AF528" t="str">
        <f t="shared" si="428"/>
        <v>1+183782.708979583i</v>
      </c>
      <c r="AG528">
        <f t="shared" si="447"/>
        <v>183782.70898230359</v>
      </c>
      <c r="AH528">
        <f t="shared" si="448"/>
        <v>1.5707908855866048</v>
      </c>
      <c r="AI528" t="str">
        <f t="shared" si="429"/>
        <v>1+431.889366102019i</v>
      </c>
      <c r="AJ528">
        <f t="shared" si="449"/>
        <v>431.89052380435919</v>
      </c>
      <c r="AK528">
        <f t="shared" si="450"/>
        <v>1.5684809231488346</v>
      </c>
      <c r="AL528" t="str">
        <f t="shared" si="430"/>
        <v>1-30.0806430965589i</v>
      </c>
      <c r="AM528">
        <f t="shared" si="451"/>
        <v>30.09726049165533</v>
      </c>
      <c r="AN528">
        <f t="shared" si="452"/>
        <v>-1.5375645952228014</v>
      </c>
      <c r="AO528" s="58" t="str">
        <f t="shared" si="453"/>
        <v>0.258751783805969-8.36528170228903i</v>
      </c>
      <c r="AP528">
        <f t="shared" si="454"/>
        <v>18.453764603528274</v>
      </c>
      <c r="AQ528" s="60">
        <f t="shared" si="455"/>
        <v>-88.228313133525276</v>
      </c>
      <c r="AR528" t="str">
        <f t="shared" si="431"/>
        <v>-1.94444444444444</v>
      </c>
      <c r="AS528" t="str">
        <f t="shared" si="432"/>
        <v>1+442.963452412326i</v>
      </c>
      <c r="AT528">
        <f t="shared" si="456"/>
        <v>442.96458117218242</v>
      </c>
      <c r="AU528">
        <f t="shared" si="457"/>
        <v>1.5685388080407949</v>
      </c>
      <c r="AV528" t="str">
        <f t="shared" si="433"/>
        <v>1+442.963452412326i</v>
      </c>
      <c r="AW528">
        <f t="shared" si="458"/>
        <v>442.96458117218242</v>
      </c>
      <c r="AX528">
        <f t="shared" si="459"/>
        <v>1.5685388080407949</v>
      </c>
      <c r="AY528" t="str">
        <f t="shared" si="434"/>
        <v>1-4.80323955143726E-06i</v>
      </c>
      <c r="AZ528">
        <f t="shared" si="460"/>
        <v>1.0000000000115357</v>
      </c>
      <c r="BA528">
        <f t="shared" si="461"/>
        <v>-4.8032395514003205E-6</v>
      </c>
      <c r="BB528" s="58" t="str">
        <f t="shared" si="462"/>
        <v>-9.88854786279649E-06+0.00438960493310999i</v>
      </c>
      <c r="BC528">
        <f t="shared" si="463"/>
        <v>-47.151469255610081</v>
      </c>
      <c r="BD528" s="60">
        <f t="shared" si="464"/>
        <v>90.129071091427363</v>
      </c>
      <c r="BE528" s="58" t="str">
        <f t="shared" si="465"/>
        <v>-0.0000945303086197642-0.0000196183716115274i</v>
      </c>
      <c r="BF528" s="37">
        <f t="shared" si="466"/>
        <v>-80.305440266462668</v>
      </c>
      <c r="BG528" s="60">
        <f t="shared" si="467"/>
        <v>-168.27554251678191</v>
      </c>
      <c r="BH528" s="58" t="str">
        <f t="shared" si="468"/>
        <v>0.0367177231478239+0.00121853859514455i</v>
      </c>
      <c r="BI528" s="37">
        <f t="shared" si="469"/>
        <v>-28.697704652081811</v>
      </c>
      <c r="BJ528" s="60">
        <f t="shared" si="470"/>
        <v>1.9007579579020926</v>
      </c>
      <c r="BK528">
        <f t="shared" si="471"/>
        <v>-80.305440266462668</v>
      </c>
      <c r="BL528" s="60">
        <f t="shared" si="472"/>
        <v>-168.27554251678191</v>
      </c>
      <c r="BN528">
        <f t="shared" si="473"/>
        <v>0</v>
      </c>
      <c r="BO528">
        <f t="shared" si="474"/>
        <v>0</v>
      </c>
    </row>
    <row r="529" spans="13:67" ht="14.25" x14ac:dyDescent="0.2">
      <c r="M529" s="66">
        <v>11</v>
      </c>
      <c r="N529" s="36">
        <f t="shared" si="476"/>
        <v>1288249.5516931366</v>
      </c>
      <c r="O529" s="91" t="str">
        <f t="shared" si="423"/>
        <v>99.7340425531915</v>
      </c>
      <c r="P529" s="67" t="str">
        <f t="shared" si="424"/>
        <v>1+235079.447751475i</v>
      </c>
      <c r="Q529" s="67">
        <f t="shared" si="435"/>
        <v>235079.44775360197</v>
      </c>
      <c r="R529" s="67">
        <f t="shared" si="436"/>
        <v>1.5707920729138809</v>
      </c>
      <c r="S529" s="67" t="str">
        <f t="shared" si="425"/>
        <v>1+441.949361772774i</v>
      </c>
      <c r="T529" s="67">
        <f t="shared" si="437"/>
        <v>441.95049312265991</v>
      </c>
      <c r="U529" s="67">
        <f t="shared" si="438"/>
        <v>1.5685336279884401</v>
      </c>
      <c r="V529" t="str">
        <f t="shared" si="426"/>
        <v>1-45.6519120952096i</v>
      </c>
      <c r="W529" s="67">
        <f t="shared" si="439"/>
        <v>45.662863225478368</v>
      </c>
      <c r="X529" s="67">
        <f t="shared" si="440"/>
        <v>-1.548894941753689</v>
      </c>
      <c r="Y529" t="str">
        <f t="shared" si="427"/>
        <v>-391.801634896466+70.5657851989965i</v>
      </c>
      <c r="Z529" s="67">
        <f t="shared" si="441"/>
        <v>398.10557789146156</v>
      </c>
      <c r="AA529" s="67">
        <f t="shared" si="442"/>
        <v>2.9633971428964907</v>
      </c>
      <c r="AB529" s="92" t="str">
        <f t="shared" si="443"/>
        <v>-0.00422708719863357+0.0210868679354572i</v>
      </c>
      <c r="AC529" s="37">
        <f t="shared" si="444"/>
        <v>-33.348654778403358</v>
      </c>
      <c r="AD529" s="60">
        <f t="shared" si="445"/>
        <v>101.33530825676623</v>
      </c>
      <c r="AE529" t="str">
        <f t="shared" si="446"/>
        <v>118.329284003155</v>
      </c>
      <c r="AF529" t="str">
        <f t="shared" si="428"/>
        <v>1+188063.55820118i</v>
      </c>
      <c r="AG529">
        <f t="shared" si="447"/>
        <v>188063.55820383871</v>
      </c>
      <c r="AH529">
        <f t="shared" si="448"/>
        <v>1.5707910094436268</v>
      </c>
      <c r="AI529" t="str">
        <f t="shared" si="429"/>
        <v>1+441.949361772774i</v>
      </c>
      <c r="AJ529">
        <f t="shared" si="449"/>
        <v>441.95049312265991</v>
      </c>
      <c r="AK529">
        <f t="shared" si="450"/>
        <v>1.5685336279884401</v>
      </c>
      <c r="AL529" t="str">
        <f t="shared" si="430"/>
        <v>1-30.7813112840072i</v>
      </c>
      <c r="AM529">
        <f t="shared" si="451"/>
        <v>30.797550622784094</v>
      </c>
      <c r="AN529">
        <f t="shared" si="452"/>
        <v>-1.5383205038397567</v>
      </c>
      <c r="AO529" s="58" t="str">
        <f t="shared" si="453"/>
        <v>0.258751783648639-8.56010455604426i</v>
      </c>
      <c r="AP529">
        <f t="shared" si="454"/>
        <v>18.653547768656374</v>
      </c>
      <c r="AQ529" s="60">
        <f t="shared" si="455"/>
        <v>-88.268610838589709</v>
      </c>
      <c r="AR529" t="str">
        <f t="shared" si="431"/>
        <v>-1.94444444444444</v>
      </c>
      <c r="AS529" t="str">
        <f t="shared" si="432"/>
        <v>1+453.281396690023i</v>
      </c>
      <c r="AT529">
        <f t="shared" si="456"/>
        <v>453.2824997562314</v>
      </c>
      <c r="AU529">
        <f t="shared" si="457"/>
        <v>1.5685901952727055</v>
      </c>
      <c r="AV529" t="str">
        <f t="shared" si="433"/>
        <v>1+453.281396690023i</v>
      </c>
      <c r="AW529">
        <f t="shared" si="458"/>
        <v>453.2824997562314</v>
      </c>
      <c r="AX529">
        <f t="shared" si="459"/>
        <v>1.5685901952727055</v>
      </c>
      <c r="AY529" t="str">
        <f t="shared" si="434"/>
        <v>1-4.69390447083158E-06i</v>
      </c>
      <c r="AZ529">
        <f t="shared" si="460"/>
        <v>1.0000000000110165</v>
      </c>
      <c r="BA529">
        <f t="shared" si="461"/>
        <v>-4.6939044707971067E-6</v>
      </c>
      <c r="BB529" s="58" t="str">
        <f t="shared" si="462"/>
        <v>-0.0000094434920615896+0.00428968630777954i</v>
      </c>
      <c r="BC529">
        <f t="shared" si="463"/>
        <v>-47.351468259451586</v>
      </c>
      <c r="BD529" s="60">
        <f t="shared" si="464"/>
        <v>90.126133084356709</v>
      </c>
      <c r="BE529" s="58" t="str">
        <f t="shared" si="465"/>
        <v>-0.0000904161301922822-0.0000183320117477209i</v>
      </c>
      <c r="BF529" s="37">
        <f t="shared" si="466"/>
        <v>-80.700123037854951</v>
      </c>
      <c r="BG529" s="60">
        <f t="shared" si="467"/>
        <v>-168.53855865887704</v>
      </c>
      <c r="BH529" s="58" t="str">
        <f t="shared" si="468"/>
        <v>0.0367177197868095+0.00119080126285248i</v>
      </c>
      <c r="BI529" s="37">
        <f t="shared" si="469"/>
        <v>-28.697920490795216</v>
      </c>
      <c r="BJ529" s="60">
        <f t="shared" si="470"/>
        <v>1.8575222457670033</v>
      </c>
      <c r="BK529">
        <f t="shared" si="471"/>
        <v>-80.700123037854951</v>
      </c>
      <c r="BL529" s="60">
        <f t="shared" si="472"/>
        <v>-168.53855865887704</v>
      </c>
      <c r="BN529">
        <f t="shared" si="473"/>
        <v>0</v>
      </c>
      <c r="BO529">
        <f t="shared" si="474"/>
        <v>0</v>
      </c>
    </row>
    <row r="530" spans="13:67" ht="14.25" x14ac:dyDescent="0.2">
      <c r="M530" s="66">
        <v>12</v>
      </c>
      <c r="N530" s="36">
        <f t="shared" si="476"/>
        <v>1318256.7385564097</v>
      </c>
      <c r="O530" s="91" t="str">
        <f t="shared" si="423"/>
        <v>99.7340425531915</v>
      </c>
      <c r="P530" s="67" t="str">
        <f t="shared" si="424"/>
        <v>1+240555.151513315i</v>
      </c>
      <c r="Q530" s="67">
        <f t="shared" si="435"/>
        <v>240555.15151539355</v>
      </c>
      <c r="R530" s="67">
        <f t="shared" si="436"/>
        <v>1.5707921697440346</v>
      </c>
      <c r="S530" s="67" t="str">
        <f t="shared" si="425"/>
        <v>1+452.243684845032i</v>
      </c>
      <c r="T530" s="67">
        <f t="shared" si="437"/>
        <v>452.24479044231418</v>
      </c>
      <c r="U530" s="67">
        <f t="shared" si="438"/>
        <v>1.5685851331315741</v>
      </c>
      <c r="V530" t="str">
        <f t="shared" si="426"/>
        <v>1-46.715281731245i</v>
      </c>
      <c r="W530" s="67">
        <f t="shared" si="439"/>
        <v>46.725983641113352</v>
      </c>
      <c r="X530" s="67">
        <f t="shared" si="440"/>
        <v>-1.5493933241347726</v>
      </c>
      <c r="Y530" t="str">
        <f t="shared" si="427"/>
        <v>-410.313805621156+72.2094734889223i</v>
      </c>
      <c r="Z530" s="67">
        <f t="shared" si="441"/>
        <v>416.61928321293914</v>
      </c>
      <c r="AA530" s="67">
        <f t="shared" si="442"/>
        <v>2.9673904746926585</v>
      </c>
      <c r="AB530" s="92" t="str">
        <f t="shared" si="443"/>
        <v>-0.00404169029602502+0.020637085032788i</v>
      </c>
      <c r="AC530" s="37">
        <f t="shared" si="444"/>
        <v>-33.543571620290919</v>
      </c>
      <c r="AD530" s="60">
        <f t="shared" si="445"/>
        <v>101.08089747099626</v>
      </c>
      <c r="AE530" t="str">
        <f t="shared" si="446"/>
        <v>118.329284003155</v>
      </c>
      <c r="AF530" t="str">
        <f t="shared" si="428"/>
        <v>1+192444.121210652i</v>
      </c>
      <c r="AG530">
        <f t="shared" si="447"/>
        <v>192444.12121325012</v>
      </c>
      <c r="AH530">
        <f t="shared" si="448"/>
        <v>1.5707911304813189</v>
      </c>
      <c r="AI530" t="str">
        <f t="shared" si="429"/>
        <v>1+452.243684845032i</v>
      </c>
      <c r="AJ530">
        <f t="shared" si="449"/>
        <v>452.24479044231418</v>
      </c>
      <c r="AK530">
        <f t="shared" si="450"/>
        <v>1.5685851331315741</v>
      </c>
      <c r="AL530" t="str">
        <f t="shared" si="430"/>
        <v>1-31.4983001301371i</v>
      </c>
      <c r="AM530">
        <f t="shared" si="451"/>
        <v>31.514170004748575</v>
      </c>
      <c r="AN530">
        <f t="shared" si="452"/>
        <v>-1.5390592417522102</v>
      </c>
      <c r="AO530" s="58" t="str">
        <f t="shared" si="453"/>
        <v>0.258751783498387-8.75946609054136i</v>
      </c>
      <c r="AP530">
        <f t="shared" si="454"/>
        <v>18.853340682951693</v>
      </c>
      <c r="AQ530" s="60">
        <f t="shared" si="455"/>
        <v>-88.307993310763734</v>
      </c>
      <c r="AR530" t="str">
        <f t="shared" si="431"/>
        <v>-1.94444444444444</v>
      </c>
      <c r="AS530" t="str">
        <f t="shared" si="432"/>
        <v>1+463.839676764134i</v>
      </c>
      <c r="AT530">
        <f t="shared" si="456"/>
        <v>463.84075472154916</v>
      </c>
      <c r="AU530">
        <f t="shared" si="457"/>
        <v>1.5686404127996687</v>
      </c>
      <c r="AV530" t="str">
        <f t="shared" si="433"/>
        <v>1+463.839676764134i</v>
      </c>
      <c r="AW530">
        <f t="shared" si="458"/>
        <v>463.84075472154916</v>
      </c>
      <c r="AX530">
        <f t="shared" si="459"/>
        <v>1.5686404127996687</v>
      </c>
      <c r="AY530" t="str">
        <f t="shared" si="434"/>
        <v>1-0.0000045870581605075i</v>
      </c>
      <c r="AZ530">
        <f t="shared" si="460"/>
        <v>1.0000000000105205</v>
      </c>
      <c r="BA530">
        <f t="shared" si="461"/>
        <v>-4.5870581604753281E-6</v>
      </c>
      <c r="BB530" s="58" t="str">
        <f t="shared" si="462"/>
        <v>-9.01846688047868E-06+0.00419204204250582i</v>
      </c>
      <c r="BC530">
        <f t="shared" si="463"/>
        <v>-47.551467308127393</v>
      </c>
      <c r="BD530" s="60">
        <f t="shared" si="464"/>
        <v>90.123261953846765</v>
      </c>
      <c r="BE530" s="58" t="str">
        <f t="shared" si="465"/>
        <v>-0.000086475078242139-0.0000171290505116025i</v>
      </c>
      <c r="BF530" s="37">
        <f t="shared" si="466"/>
        <v>-81.095038928418305</v>
      </c>
      <c r="BG530" s="60">
        <f t="shared" si="467"/>
        <v>-168.79584057515694</v>
      </c>
      <c r="BH530" s="58" t="str">
        <f t="shared" si="468"/>
        <v>0.0367177165770637+0.00116369530982683i</v>
      </c>
      <c r="BI530" s="37">
        <f t="shared" si="469"/>
        <v>-28.698126625175707</v>
      </c>
      <c r="BJ530" s="60">
        <f t="shared" si="470"/>
        <v>1.8152686430830562</v>
      </c>
      <c r="BK530">
        <f t="shared" si="471"/>
        <v>-81.095038928418305</v>
      </c>
      <c r="BL530" s="60">
        <f t="shared" si="472"/>
        <v>-168.79584057515694</v>
      </c>
      <c r="BN530">
        <f t="shared" si="473"/>
        <v>0</v>
      </c>
      <c r="BO530">
        <f t="shared" si="474"/>
        <v>0</v>
      </c>
    </row>
    <row r="531" spans="13:67" ht="14.25" x14ac:dyDescent="0.2">
      <c r="M531" s="66">
        <v>13</v>
      </c>
      <c r="N531" s="36">
        <f t="shared" si="476"/>
        <v>1348962.8825916562</v>
      </c>
      <c r="O531" s="91" t="str">
        <f t="shared" ref="O531:O560" si="477">COMPLEX(adc,0)</f>
        <v>99.7340425531915</v>
      </c>
      <c r="P531" s="67" t="str">
        <f t="shared" ref="P531:P560" si="478">IMSUM(COMPLEX(1,0),IMDIV(COMPLEX(0,2*PI()*N531),COMPLEX(wp_lf,0)))</f>
        <v>1+246158.40080061i</v>
      </c>
      <c r="Q531" s="67">
        <f t="shared" si="435"/>
        <v>246158.4008026412</v>
      </c>
      <c r="R531" s="67">
        <f t="shared" si="436"/>
        <v>1.5707922643700647</v>
      </c>
      <c r="S531" s="67" t="str">
        <f t="shared" ref="S531:S560" si="479">IMSUM(COMPLEX(1,0),IMDIV(COMPLEX(0,2*PI()*N531),COMPLEX(wz_esr,0)))</f>
        <v>1+462.777793505146i</v>
      </c>
      <c r="T531" s="67">
        <f t="shared" si="437"/>
        <v>462.778873936021</v>
      </c>
      <c r="U531" s="67">
        <f t="shared" si="438"/>
        <v>1.5686354658858512</v>
      </c>
      <c r="V531" t="str">
        <f t="shared" ref="V531:V560" si="480">IMSUB(COMPLEX(1,0),IMDIV(COMPLEX(0,2*PI()*N531),COMPLEX(wz_rhp,0)))</f>
        <v>1-47.8034204280041i</v>
      </c>
      <c r="W531" s="67">
        <f t="shared" si="439"/>
        <v>47.813878786566981</v>
      </c>
      <c r="X531" s="67">
        <f t="shared" si="440"/>
        <v>-1.5498803722235264</v>
      </c>
      <c r="Y531" t="str">
        <f t="shared" ref="Y531:Y560" si="481">IMSUM(COMPLEX(1,0),IMDIV(COMPLEX(0,2*PI()*N531),COMPLEX(Q*(wsl/2),0)),IMDIV(IMPOWER(COMPLEX(0,2*PI()*N531),2),IMPOWER(COMPLEX(wsl/2,0),2)))</f>
        <v>-429.69842807337+73.891448197497i</v>
      </c>
      <c r="Z531" s="67">
        <f t="shared" si="441"/>
        <v>436.00537290892242</v>
      </c>
      <c r="AA531" s="67">
        <f t="shared" si="442"/>
        <v>2.9712970235210414</v>
      </c>
      <c r="AB531" s="92" t="str">
        <f t="shared" si="443"/>
        <v>-0.00386422082800855+0.0201955892063739i</v>
      </c>
      <c r="AC531" s="37">
        <f t="shared" si="444"/>
        <v>-33.73871157820308</v>
      </c>
      <c r="AD531" s="60">
        <f t="shared" si="445"/>
        <v>100.83204134348185</v>
      </c>
      <c r="AE531" t="str">
        <f t="shared" si="446"/>
        <v>118.329284003155</v>
      </c>
      <c r="AF531" t="str">
        <f t="shared" ref="AF531:AF560" si="482">IMSUM(COMPLEX(1,0),IMDIV(COMPLEX(0,2*PI()*N531),COMPLEX(wp_lf_DCM,0)))</f>
        <v>1+196926.720640488i</v>
      </c>
      <c r="AG531">
        <f t="shared" si="447"/>
        <v>196926.72064302702</v>
      </c>
      <c r="AH531">
        <f t="shared" si="448"/>
        <v>1.5707912487638567</v>
      </c>
      <c r="AI531" t="str">
        <f t="shared" ref="AI531:AI560" si="483">IMSUM(COMPLEX(1,0),IMDIV(COMPLEX(0,2*PI()*N531),COMPLEX(wz1_dcm,0)))</f>
        <v>1+462.777793505146i</v>
      </c>
      <c r="AJ531">
        <f t="shared" si="449"/>
        <v>462.778873936021</v>
      </c>
      <c r="AK531">
        <f t="shared" si="450"/>
        <v>1.5686354658858512</v>
      </c>
      <c r="AL531" t="str">
        <f t="shared" ref="AL531:AL560" si="484">IMSUB(COMPLEX(1,0),IMDIV(COMPLEX(0,2*PI()*N531),COMPLEX(wz2_dcm,0)))</f>
        <v>1-32.2319897919252i</v>
      </c>
      <c r="AM531">
        <f t="shared" si="451"/>
        <v>32.247498599841364</v>
      </c>
      <c r="AN531">
        <f t="shared" si="452"/>
        <v>-1.5397811974217039</v>
      </c>
      <c r="AO531" s="58" t="str">
        <f t="shared" si="453"/>
        <v>0.258751783354899-8.96347200990496i</v>
      </c>
      <c r="AP531">
        <f t="shared" si="454"/>
        <v>19.053142908509461</v>
      </c>
      <c r="AQ531" s="60">
        <f t="shared" si="455"/>
        <v>-88.34648124632011</v>
      </c>
      <c r="AR531" t="str">
        <f t="shared" ref="AR531:AR560" si="485">COMPLEX(adc_ea,0)</f>
        <v>-1.94444444444444</v>
      </c>
      <c r="AS531" t="str">
        <f t="shared" ref="AS531:AS560" si="486">IMSUM(COMPLEX(1,0), IMDIV(COMPLEX(0,2*PI()*N531), COMPLEX(wp0_ea,0)))</f>
        <v>1+474.643890774507i</v>
      </c>
      <c r="AT531">
        <f t="shared" si="456"/>
        <v>474.64494419467081</v>
      </c>
      <c r="AU531">
        <f t="shared" si="457"/>
        <v>1.5686894872466686</v>
      </c>
      <c r="AV531" t="str">
        <f t="shared" ref="AV531:AV560" si="487">IMSUM(COMPLEX(1,0),IMDIV(COMPLEX(0,2*PI()*N531),COMPLEX(wp1_ea,0)))</f>
        <v>1+474.643890774507i</v>
      </c>
      <c r="AW531">
        <f t="shared" si="458"/>
        <v>474.64494419467081</v>
      </c>
      <c r="AX531">
        <f t="shared" si="459"/>
        <v>1.5686894872466686</v>
      </c>
      <c r="AY531" t="str">
        <f t="shared" ref="AY531:AY560" si="488">IMSUM(COMPLEX(1,0),IMDIV(COMPLEX(wz_ea,0),COMPLEX(0,2*PI()*N531)))</f>
        <v>1-4.48264396913703E-06i</v>
      </c>
      <c r="AZ531">
        <f t="shared" si="460"/>
        <v>1.0000000000100471</v>
      </c>
      <c r="BA531">
        <f t="shared" si="461"/>
        <v>-4.4826439691070055E-6</v>
      </c>
      <c r="BB531" s="58" t="str">
        <f t="shared" si="462"/>
        <v>-8.61257080982286E-06+0.00409662037090748i</v>
      </c>
      <c r="BC531">
        <f t="shared" si="463"/>
        <v>-47.751466399619602</v>
      </c>
      <c r="BD531" s="60">
        <f t="shared" si="464"/>
        <v>90.120456177644215</v>
      </c>
      <c r="BE531" s="58" t="str">
        <f t="shared" si="465"/>
        <v>-0.0000827003812698045-0.0000160041817037908i</v>
      </c>
      <c r="BF531" s="37">
        <f t="shared" si="466"/>
        <v>-81.490177977822697</v>
      </c>
      <c r="BG531" s="60">
        <f t="shared" si="467"/>
        <v>-169.04750247887392</v>
      </c>
      <c r="BH531" s="58" t="str">
        <f t="shared" si="468"/>
        <v>0.0367177135117794+0.00113720636408749i</v>
      </c>
      <c r="BI531" s="37">
        <f t="shared" si="469"/>
        <v>-28.698323491110131</v>
      </c>
      <c r="BJ531" s="60">
        <f t="shared" si="470"/>
        <v>1.7739749313241189</v>
      </c>
      <c r="BK531">
        <f t="shared" si="471"/>
        <v>-81.490177977822697</v>
      </c>
      <c r="BL531" s="60">
        <f t="shared" si="472"/>
        <v>-169.04750247887392</v>
      </c>
      <c r="BN531">
        <f t="shared" si="473"/>
        <v>0</v>
      </c>
      <c r="BO531">
        <f t="shared" si="474"/>
        <v>0</v>
      </c>
    </row>
    <row r="532" spans="13:67" ht="14.25" x14ac:dyDescent="0.2">
      <c r="M532" s="66">
        <v>14</v>
      </c>
      <c r="N532" s="36">
        <f t="shared" si="476"/>
        <v>1380384.2646028849</v>
      </c>
      <c r="O532" s="91" t="str">
        <f t="shared" si="477"/>
        <v>99.7340425531915</v>
      </c>
      <c r="P532" s="67" t="str">
        <f t="shared" si="478"/>
        <v>1+251892.166530301i</v>
      </c>
      <c r="Q532" s="67">
        <f t="shared" ref="Q532:Q560" si="489">IMABS(P532)</f>
        <v>251892.16653228601</v>
      </c>
      <c r="R532" s="67">
        <f t="shared" ref="R532:R560" si="490">IMARGUMENT(P532)</f>
        <v>1.5707923568421436</v>
      </c>
      <c r="S532" s="67" t="str">
        <f t="shared" si="479"/>
        <v>1+473.557273076965i</v>
      </c>
      <c r="T532" s="67">
        <f t="shared" ref="T532:T560" si="491">IMABS(S532)</f>
        <v>473.55832891428611</v>
      </c>
      <c r="U532" s="67">
        <f t="shared" ref="U532:U560" si="492">IMARGUMENT(S532)</f>
        <v>1.5686846529373435</v>
      </c>
      <c r="V532" t="str">
        <f t="shared" si="480"/>
        <v>1-48.9169051310272i</v>
      </c>
      <c r="W532" s="67">
        <f t="shared" ref="W532:W560" si="493">IMABS(V532)</f>
        <v>48.927125478592295</v>
      </c>
      <c r="X532" s="67">
        <f t="shared" ref="X532:X560" si="494">IMARGUMENT(V532)</f>
        <v>-1.5503563433344796</v>
      </c>
      <c r="Y532" t="str">
        <f t="shared" si="481"/>
        <v>-449.996619636272+75.6126011299749i</v>
      </c>
      <c r="Z532" s="67">
        <f t="shared" ref="Z532:Z560" si="495">IMABS(Y532)</f>
        <v>456.30496724637169</v>
      </c>
      <c r="AA532" s="67">
        <f t="shared" ref="AA532:AA560" si="496">IMARGUMENT(Y532)</f>
        <v>2.975118498739616</v>
      </c>
      <c r="AB532" s="92" t="str">
        <f t="shared" ref="AB532:AB560" si="497">(IMDIV(IMPRODUCT(O532,S532,V532),IMPRODUCT(P532,Y532)))</f>
        <v>-0.0036943573838183+0.019762315147563i</v>
      </c>
      <c r="AC532" s="37">
        <f t="shared" ref="AC532:AC560" si="498">20*LOG(IMABS(AB532))</f>
        <v>-33.934065096922595</v>
      </c>
      <c r="AD532" s="60">
        <f t="shared" ref="AD532:AD560" si="499">(180/PI())*IMARGUMENT(AB532)</f>
        <v>100.58862871831332</v>
      </c>
      <c r="AE532" t="str">
        <f t="shared" ref="AE532:AE560" si="500">COMPLEX($B$67,0)</f>
        <v>118.329284003155</v>
      </c>
      <c r="AF532" t="str">
        <f t="shared" si="482"/>
        <v>1+201513.733224241i</v>
      </c>
      <c r="AG532">
        <f t="shared" ref="AG532:AG560" si="501">IMABS(AF532)</f>
        <v>201513.73322672219</v>
      </c>
      <c r="AH532">
        <f t="shared" ref="AH532:AH560" si="502">IMARGUMENT(AF532)</f>
        <v>1.5707913643539553</v>
      </c>
      <c r="AI532" t="str">
        <f t="shared" si="483"/>
        <v>1+473.557273076965i</v>
      </c>
      <c r="AJ532">
        <f t="shared" ref="AJ532:AJ560" si="503">IMABS(AI532)</f>
        <v>473.55832891428611</v>
      </c>
      <c r="AK532">
        <f t="shared" ref="AK532:AK560" si="504">IMARGUMENT(AI532)</f>
        <v>1.5686846529373435</v>
      </c>
      <c r="AL532" t="str">
        <f t="shared" si="484"/>
        <v>1-32.9827692813418i</v>
      </c>
      <c r="AM532">
        <f t="shared" ref="AM532:AM560" si="505">IMABS(AL532)</f>
        <v>32.997925229720494</v>
      </c>
      <c r="AN532">
        <f t="shared" ref="AN532:AN560" si="506">IMARGUMENT(AL532)</f>
        <v>-1.5404867506265865</v>
      </c>
      <c r="AO532" s="58" t="str">
        <f t="shared" ref="AO532:AO560" si="507">(IMDIV(IMPRODUCT(AE532,AI532,AL532),IMPRODUCT(AF532)))</f>
        <v>0.258751783217868-9.17223048077372i</v>
      </c>
      <c r="AP532">
        <f t="shared" ref="AP532:AP560" si="508">20*LOG(IMABS(AO532))</f>
        <v>19.252954027056276</v>
      </c>
      <c r="AQ532" s="60">
        <f t="shared" ref="AQ532:AQ560" si="509">(180/PI())*IMARGUMENT(AO532)</f>
        <v>-88.384094879549409</v>
      </c>
      <c r="AR532" t="str">
        <f t="shared" si="485"/>
        <v>-1.94444444444444</v>
      </c>
      <c r="AS532" t="str">
        <f t="shared" si="486"/>
        <v>1+485.699767258424i</v>
      </c>
      <c r="AT532">
        <f t="shared" ref="AT532:AT560" si="510">IMABS(AS532)</f>
        <v>485.7007966998687</v>
      </c>
      <c r="AU532">
        <f t="shared" ref="AU532:AU560" si="511">IMARGUMENT(AS532)</f>
        <v>1.5687374446326803</v>
      </c>
      <c r="AV532" t="str">
        <f t="shared" si="487"/>
        <v>1+485.699767258424i</v>
      </c>
      <c r="AW532">
        <f t="shared" ref="AW532:AW560" si="512">IMABS(AV532)</f>
        <v>485.7007966998687</v>
      </c>
      <c r="AX532">
        <f t="shared" ref="AX532:AX560" si="513">IMARGUMENT(AV532)</f>
        <v>1.5687374446326803</v>
      </c>
      <c r="AY532" t="str">
        <f t="shared" si="488"/>
        <v>1-0.0000043806065349338i</v>
      </c>
      <c r="AZ532">
        <f t="shared" ref="AZ532:AZ560" si="514">IMABS(AY532)</f>
        <v>1.000000000009595</v>
      </c>
      <c r="BA532">
        <f t="shared" ref="BA532:BA560" si="515">IMARGUMENT(AY532)</f>
        <v>-4.3806065349057792E-6</v>
      </c>
      <c r="BB532" s="58" t="str">
        <f t="shared" ref="BB532:BB560" si="516">IMDIV(IMPRODUCT(AR532,AY532), AS532)</f>
        <v>-8.22494291312314E-06+0.00400337070465788i</v>
      </c>
      <c r="BC532">
        <f t="shared" ref="BC532:BC560" si="517">20*LOG(IMABS(BB532))</f>
        <v>-47.951465532001251</v>
      </c>
      <c r="BD532" s="60">
        <f t="shared" ref="BD532:BD560" si="518">(180/PI())*IMARGUMENT(BB532)</f>
        <v>90.117714268143601</v>
      </c>
      <c r="BE532" s="58" t="str">
        <f t="shared" ref="BE532:BE560" si="519">IMPRODUCT(AB532,BB532)</f>
        <v>-0.0000790854876393878-0.0000149524260368346i</v>
      </c>
      <c r="BF532" s="37">
        <f t="shared" ref="BF532:BF560" si="520">20*LOG(IMABS(BE532))</f>
        <v>-81.885530628923831</v>
      </c>
      <c r="BG532" s="60">
        <f t="shared" ref="BG532:BG560" si="521">(180/PI())*IMARGUMENT(BE532)</f>
        <v>-169.29365701354305</v>
      </c>
      <c r="BH532" s="58" t="str">
        <f t="shared" ref="BH532:BH560" si="522">IMPRODUCT(AO532,BB532)</f>
        <v>0.0367177105844539+0.00111132038080277i</v>
      </c>
      <c r="BI532" s="37">
        <f t="shared" ref="BI532:BI560" si="523">20*LOG(IMABS(BH532))</f>
        <v>-28.698511504944975</v>
      </c>
      <c r="BJ532" s="60">
        <f t="shared" ref="BJ532:BJ560" si="524">(180/PI())*IMARGUMENT(BH532)</f>
        <v>1.7336193885942057</v>
      </c>
      <c r="BK532">
        <f t="shared" ref="BK532:BK560" si="525">IF($B$19=0,BF532,BI532)</f>
        <v>-81.885530628923831</v>
      </c>
      <c r="BL532" s="60">
        <f t="shared" ref="BL532:BL560" si="526">IF($B$19=0,BG532,BJ532)</f>
        <v>-169.29365701354305</v>
      </c>
      <c r="BN532">
        <f t="shared" si="473"/>
        <v>0</v>
      </c>
      <c r="BO532">
        <f t="shared" si="474"/>
        <v>0</v>
      </c>
    </row>
    <row r="533" spans="13:67" ht="14.25" x14ac:dyDescent="0.2">
      <c r="M533" s="66">
        <v>15</v>
      </c>
      <c r="N533" s="36">
        <f t="shared" si="476"/>
        <v>1412537.5446227565</v>
      </c>
      <c r="O533" s="91" t="str">
        <f t="shared" si="477"/>
        <v>99.7340425531915</v>
      </c>
      <c r="P533" s="67" t="str">
        <f t="shared" si="478"/>
        <v>1+257759.488820874i</v>
      </c>
      <c r="Q533" s="67">
        <f t="shared" si="489"/>
        <v>257759.48882281376</v>
      </c>
      <c r="R533" s="67">
        <f t="shared" si="490"/>
        <v>1.5707924472093009</v>
      </c>
      <c r="S533" s="67" t="str">
        <f t="shared" si="479"/>
        <v>1+484.587838983243i</v>
      </c>
      <c r="T533" s="67">
        <f t="shared" si="491"/>
        <v>484.5888707868242</v>
      </c>
      <c r="U533" s="67">
        <f t="shared" si="492"/>
        <v>1.5687327203647243</v>
      </c>
      <c r="V533" t="str">
        <f t="shared" si="480"/>
        <v>1-50.0563262246426i</v>
      </c>
      <c r="W533" s="67">
        <f t="shared" si="493"/>
        <v>50.066313975644775</v>
      </c>
      <c r="X533" s="67">
        <f t="shared" si="494"/>
        <v>-1.5508214889706771</v>
      </c>
      <c r="Y533" t="str">
        <f t="shared" si="481"/>
        <v>-471.251435495594+77.3738448644232i</v>
      </c>
      <c r="Z533" s="67">
        <f t="shared" si="495"/>
        <v>477.56112417758817</v>
      </c>
      <c r="AA533" s="67">
        <f t="shared" si="496"/>
        <v>2.9788565876363591</v>
      </c>
      <c r="AB533" s="92" t="str">
        <f t="shared" si="497"/>
        <v>-0.00353179006692093+0.0193371915252355i</v>
      </c>
      <c r="AC533" s="37">
        <f t="shared" si="498"/>
        <v>-34.129623009941852</v>
      </c>
      <c r="AD533" s="60">
        <f t="shared" si="499"/>
        <v>100.35055000233638</v>
      </c>
      <c r="AE533" t="str">
        <f t="shared" si="500"/>
        <v>118.329284003155</v>
      </c>
      <c r="AF533" t="str">
        <f t="shared" si="482"/>
        <v>1+206207.591056699i</v>
      </c>
      <c r="AG533">
        <f t="shared" si="501"/>
        <v>206207.59105912369</v>
      </c>
      <c r="AH533">
        <f t="shared" si="502"/>
        <v>1.5707914773129019</v>
      </c>
      <c r="AI533" t="str">
        <f t="shared" si="483"/>
        <v>1+484.587838983243i</v>
      </c>
      <c r="AJ533">
        <f t="shared" si="503"/>
        <v>484.5888707868242</v>
      </c>
      <c r="AK533">
        <f t="shared" si="504"/>
        <v>1.5687327203647243</v>
      </c>
      <c r="AL533" t="str">
        <f t="shared" si="484"/>
        <v>1-33.75103667161i</v>
      </c>
      <c r="AM533">
        <f t="shared" si="505"/>
        <v>33.765847781573072</v>
      </c>
      <c r="AN533">
        <f t="shared" si="506"/>
        <v>-1.5411762726490741</v>
      </c>
      <c r="AO533" s="58" t="str">
        <f t="shared" si="507"/>
        <v>0.258751783087007-9.38585218965231i</v>
      </c>
      <c r="AP533">
        <f t="shared" si="508"/>
        <v>19.452773639073889</v>
      </c>
      <c r="AQ533" s="60">
        <f t="shared" si="509"/>
        <v>-88.420853992669208</v>
      </c>
      <c r="AR533" t="str">
        <f t="shared" si="485"/>
        <v>-1.94444444444444</v>
      </c>
      <c r="AS533" t="str">
        <f t="shared" si="486"/>
        <v>1+497.01316818794i</v>
      </c>
      <c r="AT533">
        <f t="shared" si="510"/>
        <v>497.01417419648453</v>
      </c>
      <c r="AU533">
        <f t="shared" si="511"/>
        <v>1.5687843103844619</v>
      </c>
      <c r="AV533" t="str">
        <f t="shared" si="487"/>
        <v>1+497.01316818794i</v>
      </c>
      <c r="AW533">
        <f t="shared" si="512"/>
        <v>497.01417419648453</v>
      </c>
      <c r="AX533">
        <f t="shared" si="513"/>
        <v>1.5687843103844619</v>
      </c>
      <c r="AY533" t="str">
        <f t="shared" si="488"/>
        <v>1-4.28089175629957E-06i</v>
      </c>
      <c r="AZ533">
        <f t="shared" si="514"/>
        <v>1.0000000000091629</v>
      </c>
      <c r="BA533">
        <f t="shared" si="515"/>
        <v>-4.2808917562734198E-6</v>
      </c>
      <c r="BB533" s="58" t="str">
        <f t="shared" si="516"/>
        <v>-7.85476100106028E-06+0.00391224360668885i</v>
      </c>
      <c r="BC533">
        <f t="shared" si="517"/>
        <v>-48.151464703432012</v>
      </c>
      <c r="BD533" s="60">
        <f t="shared" si="518"/>
        <v>90.115034771598786</v>
      </c>
      <c r="BE533" s="58" t="str">
        <f t="shared" si="519"/>
        <v>-0.0000756240625490388-0.000013969112127341i</v>
      </c>
      <c r="BF533" s="37">
        <f t="shared" si="520"/>
        <v>-82.281087713373864</v>
      </c>
      <c r="BG533" s="60">
        <f t="shared" si="521"/>
        <v>-169.53441522606485</v>
      </c>
      <c r="BH533" s="58" t="str">
        <f t="shared" si="522"/>
        <v>0.036717707788879+0.00108602363484248i</v>
      </c>
      <c r="BI533" s="37">
        <f t="shared" si="523"/>
        <v>-28.69869106435813</v>
      </c>
      <c r="BJ533" s="60">
        <f t="shared" si="524"/>
        <v>1.6941807789295906</v>
      </c>
      <c r="BK533">
        <f t="shared" si="525"/>
        <v>-82.281087713373864</v>
      </c>
      <c r="BL533" s="60">
        <f t="shared" si="526"/>
        <v>-169.53441522606485</v>
      </c>
      <c r="BN533">
        <f t="shared" ref="BN533:BN559" si="527">SUM((BK534&lt;0)*(BK533&gt;0))*N533</f>
        <v>0</v>
      </c>
      <c r="BO533">
        <f t="shared" ref="BO533:BO559" si="528">IF(BN533&gt;0,BL533,0)</f>
        <v>0</v>
      </c>
    </row>
    <row r="534" spans="13:67" ht="14.25" x14ac:dyDescent="0.2">
      <c r="M534" s="66">
        <v>16</v>
      </c>
      <c r="N534" s="36">
        <f t="shared" si="476"/>
        <v>1445439.7707459298</v>
      </c>
      <c r="O534" s="91" t="str">
        <f t="shared" si="477"/>
        <v>99.7340425531915</v>
      </c>
      <c r="P534" s="67" t="str">
        <f t="shared" si="478"/>
        <v>1+263763.47860427i</v>
      </c>
      <c r="Q534" s="67">
        <f t="shared" si="489"/>
        <v>263763.47860616568</v>
      </c>
      <c r="R534" s="67">
        <f t="shared" si="490"/>
        <v>1.5707925355194505</v>
      </c>
      <c r="S534" s="67" t="str">
        <f t="shared" si="479"/>
        <v>1+495.875339776027i</v>
      </c>
      <c r="T534" s="67">
        <f t="shared" si="491"/>
        <v>495.87634809293962</v>
      </c>
      <c r="U534" s="67">
        <f t="shared" si="492"/>
        <v>1.5687796936530909</v>
      </c>
      <c r="V534" t="str">
        <f t="shared" si="480"/>
        <v>1-51.2222878449962i</v>
      </c>
      <c r="W534" s="67">
        <f t="shared" si="493"/>
        <v>51.23204829084667</v>
      </c>
      <c r="X534" s="67">
        <f t="shared" si="494"/>
        <v>-1.551276054952917</v>
      </c>
      <c r="Y534" t="str">
        <f t="shared" si="481"/>
        <v>-493.507959965455+79.1761132355826i</v>
      </c>
      <c r="Z534" s="67">
        <f t="shared" si="495"/>
        <v>499.81893067025675</v>
      </c>
      <c r="AA534" s="67">
        <f t="shared" si="496"/>
        <v>2.9825129549038314</v>
      </c>
      <c r="AB534" s="92" t="str">
        <f t="shared" si="497"/>
        <v>-0.00337622021645961+0.0189201415496482i</v>
      </c>
      <c r="AC534" s="37">
        <f t="shared" si="498"/>
        <v>-34.325376525421724</v>
      </c>
      <c r="AD534" s="60">
        <f t="shared" si="499"/>
        <v>100.11769718864224</v>
      </c>
      <c r="AE534" t="str">
        <f t="shared" si="500"/>
        <v>118.329284003155</v>
      </c>
      <c r="AF534" t="str">
        <f t="shared" si="482"/>
        <v>1+211010.782883416i</v>
      </c>
      <c r="AG534">
        <f t="shared" si="501"/>
        <v>211010.78288578553</v>
      </c>
      <c r="AH534">
        <f t="shared" si="502"/>
        <v>1.5707915877005891</v>
      </c>
      <c r="AI534" t="str">
        <f t="shared" si="483"/>
        <v>1+495.875339776027i</v>
      </c>
      <c r="AJ534">
        <f t="shared" si="503"/>
        <v>495.87634809293962</v>
      </c>
      <c r="AK534">
        <f t="shared" si="504"/>
        <v>1.5687796936530909</v>
      </c>
      <c r="AL534" t="str">
        <f t="shared" si="484"/>
        <v>1-34.5371993082693i</v>
      </c>
      <c r="AM534">
        <f t="shared" si="505"/>
        <v>34.551673419085176</v>
      </c>
      <c r="AN534">
        <f t="shared" si="506"/>
        <v>-1.5418501264587552</v>
      </c>
      <c r="AO534" s="58" t="str">
        <f t="shared" si="507"/>
        <v>0.258751782962033-9.60445040159826i</v>
      </c>
      <c r="AP534">
        <f t="shared" si="508"/>
        <v>19.652601362960731</v>
      </c>
      <c r="AQ534" s="60">
        <f t="shared" si="509"/>
        <v>-88.456777925548081</v>
      </c>
      <c r="AR534" t="str">
        <f t="shared" si="485"/>
        <v>-1.94444444444444</v>
      </c>
      <c r="AS534" t="str">
        <f t="shared" si="486"/>
        <v>1+508.590092077975i</v>
      </c>
      <c r="AT534">
        <f t="shared" si="510"/>
        <v>508.59107518701416</v>
      </c>
      <c r="AU534">
        <f t="shared" si="511"/>
        <v>1.5688301093500314</v>
      </c>
      <c r="AV534" t="str">
        <f t="shared" si="487"/>
        <v>1+508.590092077975i</v>
      </c>
      <c r="AW534">
        <f t="shared" si="512"/>
        <v>508.59107518701416</v>
      </c>
      <c r="AX534">
        <f t="shared" si="513"/>
        <v>1.5688301093500314</v>
      </c>
      <c r="AY534" t="str">
        <f t="shared" si="488"/>
        <v>1-4.18344676313883E-06i</v>
      </c>
      <c r="AZ534">
        <f t="shared" si="514"/>
        <v>1.0000000000087508</v>
      </c>
      <c r="BA534">
        <f t="shared" si="515"/>
        <v>-4.1834467631144248E-6</v>
      </c>
      <c r="BB534" s="58" t="str">
        <f t="shared" si="516"/>
        <v>-7.50123988770293E-06+0.00382319076500303i</v>
      </c>
      <c r="BC534">
        <f t="shared" si="517"/>
        <v>-48.351463912154358</v>
      </c>
      <c r="BD534" s="60">
        <f t="shared" si="518"/>
        <v>90.11241626735243</v>
      </c>
      <c r="BE534" s="58" t="str">
        <f t="shared" si="519"/>
        <v>-0.0000723099846074077-0.0000130498584726581i</v>
      </c>
      <c r="BF534" s="37">
        <f t="shared" si="520"/>
        <v>-82.676840437576089</v>
      </c>
      <c r="BG534" s="60">
        <f t="shared" si="521"/>
        <v>-169.76988654400535</v>
      </c>
      <c r="BH534" s="58" t="str">
        <f t="shared" si="522"/>
        <v>0.0367177051191247+0.00106130271350045i</v>
      </c>
      <c r="BI534" s="37">
        <f t="shared" si="523"/>
        <v>-28.698862549193631</v>
      </c>
      <c r="BJ534" s="60">
        <f t="shared" si="524"/>
        <v>1.6556383418043645</v>
      </c>
      <c r="BK534">
        <f t="shared" si="525"/>
        <v>-82.676840437576089</v>
      </c>
      <c r="BL534" s="60">
        <f t="shared" si="526"/>
        <v>-169.76988654400535</v>
      </c>
      <c r="BN534">
        <f t="shared" si="527"/>
        <v>0</v>
      </c>
      <c r="BO534">
        <f t="shared" si="528"/>
        <v>0</v>
      </c>
    </row>
    <row r="535" spans="13:67" ht="14.25" x14ac:dyDescent="0.2">
      <c r="M535" s="66">
        <v>17</v>
      </c>
      <c r="N535" s="36">
        <f t="shared" si="476"/>
        <v>1479108.3881682095</v>
      </c>
      <c r="O535" s="91" t="str">
        <f t="shared" si="477"/>
        <v>99.7340425531915</v>
      </c>
      <c r="P535" s="67" t="str">
        <f t="shared" si="478"/>
        <v>1+269907.319275344i</v>
      </c>
      <c r="Q535" s="67">
        <f t="shared" si="489"/>
        <v>269907.31927719648</v>
      </c>
      <c r="R535" s="67">
        <f t="shared" si="490"/>
        <v>1.5707926218194159</v>
      </c>
      <c r="S535" s="67" t="str">
        <f t="shared" si="479"/>
        <v>1+507.425760237646i</v>
      </c>
      <c r="T535" s="67">
        <f t="shared" si="491"/>
        <v>507.42674560250867</v>
      </c>
      <c r="U535" s="67">
        <f t="shared" si="492"/>
        <v>1.5688255977074725</v>
      </c>
      <c r="V535" t="str">
        <f t="shared" si="480"/>
        <v>1-52.4154082003722i</v>
      </c>
      <c r="W535" s="67">
        <f t="shared" si="493"/>
        <v>52.424946512244013</v>
      </c>
      <c r="X535" s="67">
        <f t="shared" si="494"/>
        <v>-1.5517202815462525</v>
      </c>
      <c r="Y535" t="str">
        <f t="shared" si="481"/>
        <v>-516.813402118239+81.020361829999i</v>
      </c>
      <c r="Z535" s="67">
        <f t="shared" si="495"/>
        <v>523.12559834144281</v>
      </c>
      <c r="AA535" s="67">
        <f t="shared" si="496"/>
        <v>2.9860892421844047</v>
      </c>
      <c r="AB535" s="92" t="str">
        <f t="shared" si="497"/>
        <v>-0.00322736012259989+0.0185110835024654i</v>
      </c>
      <c r="AC535" s="37">
        <f t="shared" si="498"/>
        <v>-34.521317212501074</v>
      </c>
      <c r="AD535" s="60">
        <f t="shared" si="499"/>
        <v>99.889963876148386</v>
      </c>
      <c r="AE535" t="str">
        <f t="shared" si="500"/>
        <v>118.329284003155</v>
      </c>
      <c r="AF535" t="str">
        <f t="shared" si="482"/>
        <v>1+215925.855420275i</v>
      </c>
      <c r="AG535">
        <f t="shared" si="501"/>
        <v>215925.85542259063</v>
      </c>
      <c r="AH535">
        <f t="shared" si="502"/>
        <v>1.5707916955755457</v>
      </c>
      <c r="AI535" t="str">
        <f t="shared" si="483"/>
        <v>1+507.425760237646i</v>
      </c>
      <c r="AJ535">
        <f t="shared" si="503"/>
        <v>507.42674560250867</v>
      </c>
      <c r="AK535">
        <f t="shared" si="504"/>
        <v>1.5688255977074725</v>
      </c>
      <c r="AL535" t="str">
        <f t="shared" si="484"/>
        <v>1-35.3416740251557i</v>
      </c>
      <c r="AM535">
        <f t="shared" si="505"/>
        <v>35.355818798330283</v>
      </c>
      <c r="AN535">
        <f t="shared" si="506"/>
        <v>-1.5425086668925758</v>
      </c>
      <c r="AO535" s="58" t="str">
        <f t="shared" si="507"/>
        <v>0.258751782842685-9.8281410202771i</v>
      </c>
      <c r="AP535">
        <f t="shared" si="508"/>
        <v>19.852436834231632</v>
      </c>
      <c r="AQ535" s="60">
        <f t="shared" si="509"/>
        <v>-88.491885585245825</v>
      </c>
      <c r="AR535" t="str">
        <f t="shared" si="485"/>
        <v>-1.94444444444444</v>
      </c>
      <c r="AS535" t="str">
        <f t="shared" si="486"/>
        <v>1+520.436677166815i</v>
      </c>
      <c r="AT535">
        <f t="shared" si="510"/>
        <v>520.43763789760214</v>
      </c>
      <c r="AU535">
        <f t="shared" si="511"/>
        <v>1.5688748658118377</v>
      </c>
      <c r="AV535" t="str">
        <f t="shared" si="487"/>
        <v>1+520.436677166815i</v>
      </c>
      <c r="AW535">
        <f t="shared" si="512"/>
        <v>520.43763789760214</v>
      </c>
      <c r="AX535">
        <f t="shared" si="513"/>
        <v>1.5688748658118377</v>
      </c>
      <c r="AY535" t="str">
        <f t="shared" si="488"/>
        <v>1-4.08821988882637E-06i</v>
      </c>
      <c r="AZ535">
        <f t="shared" si="514"/>
        <v>1.0000000000083569</v>
      </c>
      <c r="BA535">
        <f t="shared" si="515"/>
        <v>-4.0882198888035939E-6</v>
      </c>
      <c r="BB535" s="58" t="str">
        <f t="shared" si="516"/>
        <v>-7.16362972518852E-06+0.00373616496708103i</v>
      </c>
      <c r="BC535">
        <f t="shared" si="517"/>
        <v>-48.551463156489945</v>
      </c>
      <c r="BD535" s="60">
        <f t="shared" si="518"/>
        <v>90.109857367082995</v>
      </c>
      <c r="BE535" s="58" t="str">
        <f t="shared" si="519"/>
        <v>-0.0000691373420717147-0.0000121905563742358i</v>
      </c>
      <c r="BF535" s="37">
        <f t="shared" si="520"/>
        <v>-83.072780368991033</v>
      </c>
      <c r="BG535" s="60">
        <f t="shared" si="521"/>
        <v>-170.00017875676855</v>
      </c>
      <c r="BH535" s="58" t="str">
        <f t="shared" si="522"/>
        <v>0.0367177025695283+0.0010371445093828i</v>
      </c>
      <c r="BI535" s="37">
        <f t="shared" si="523"/>
        <v>-28.699026322258309</v>
      </c>
      <c r="BJ535" s="60">
        <f t="shared" si="524"/>
        <v>1.6179717818371702</v>
      </c>
      <c r="BK535">
        <f t="shared" si="525"/>
        <v>-83.072780368991033</v>
      </c>
      <c r="BL535" s="60">
        <f t="shared" si="526"/>
        <v>-170.00017875676855</v>
      </c>
      <c r="BN535">
        <f t="shared" si="527"/>
        <v>0</v>
      </c>
      <c r="BO535">
        <f t="shared" si="528"/>
        <v>0</v>
      </c>
    </row>
    <row r="536" spans="13:67" ht="14.25" x14ac:dyDescent="0.2">
      <c r="M536" s="66">
        <v>18</v>
      </c>
      <c r="N536" s="36">
        <f t="shared" si="476"/>
        <v>1513561.2484362102</v>
      </c>
      <c r="O536" s="91" t="str">
        <f t="shared" si="477"/>
        <v>99.7340425531915</v>
      </c>
      <c r="P536" s="67" t="str">
        <f t="shared" si="478"/>
        <v>1+276194.268379743i</v>
      </c>
      <c r="Q536" s="67">
        <f t="shared" si="489"/>
        <v>276194.26838155329</v>
      </c>
      <c r="R536" s="67">
        <f t="shared" si="490"/>
        <v>1.570792706154954</v>
      </c>
      <c r="S536" s="67" t="str">
        <f t="shared" si="479"/>
        <v>1+519.245224553918i</v>
      </c>
      <c r="T536" s="67">
        <f t="shared" si="491"/>
        <v>519.2461874891801</v>
      </c>
      <c r="U536" s="67">
        <f t="shared" si="492"/>
        <v>1.5688704568660325</v>
      </c>
      <c r="V536" t="str">
        <f t="shared" si="480"/>
        <v>1-53.6363198989761i</v>
      </c>
      <c r="W536" s="67">
        <f t="shared" si="493"/>
        <v>53.645641130527082</v>
      </c>
      <c r="X536" s="67">
        <f t="shared" si="494"/>
        <v>-1.5521544035838015</v>
      </c>
      <c r="Y536" t="str">
        <f t="shared" si="481"/>
        <v>-541.217195921368+82.9075684926892i</v>
      </c>
      <c r="Z536" s="67">
        <f t="shared" si="495"/>
        <v>547.53056359837888</v>
      </c>
      <c r="AA536" s="67">
        <f t="shared" si="496"/>
        <v>2.9895870676815965</v>
      </c>
      <c r="AB536" s="92" t="str">
        <f t="shared" si="497"/>
        <v>-0.00308493273739702+0.0181099312344138i</v>
      </c>
      <c r="AC536" s="37">
        <f t="shared" si="498"/>
        <v>-34.717436987963055</v>
      </c>
      <c r="AD536" s="60">
        <f t="shared" si="499"/>
        <v>99.667245285528395</v>
      </c>
      <c r="AE536" t="str">
        <f t="shared" si="500"/>
        <v>118.329284003155</v>
      </c>
      <c r="AF536" t="str">
        <f t="shared" si="482"/>
        <v>1+220955.414703795i</v>
      </c>
      <c r="AG536">
        <f t="shared" si="501"/>
        <v>220955.41470605793</v>
      </c>
      <c r="AH536">
        <f t="shared" si="502"/>
        <v>1.5707918009949684</v>
      </c>
      <c r="AI536" t="str">
        <f t="shared" si="483"/>
        <v>1+519.245224553918i</v>
      </c>
      <c r="AJ536">
        <f t="shared" si="503"/>
        <v>519.2461874891801</v>
      </c>
      <c r="AK536">
        <f t="shared" si="504"/>
        <v>1.5688704568660325</v>
      </c>
      <c r="AL536" t="str">
        <f t="shared" si="484"/>
        <v>1-36.1648873654126i</v>
      </c>
      <c r="AM536">
        <f t="shared" si="505"/>
        <v>36.178710288690233</v>
      </c>
      <c r="AN536">
        <f t="shared" si="506"/>
        <v>-1.5431522408313401</v>
      </c>
      <c r="AO536" s="58" t="str">
        <f t="shared" si="507"/>
        <v>0.258751782728708-10.0570426494157i</v>
      </c>
      <c r="AP536">
        <f t="shared" si="508"/>
        <v>20.052279704752344</v>
      </c>
      <c r="AQ536" s="60">
        <f t="shared" si="509"/>
        <v>-88.526195455371649</v>
      </c>
      <c r="AR536" t="str">
        <f t="shared" si="485"/>
        <v>-1.94444444444444</v>
      </c>
      <c r="AS536" t="str">
        <f t="shared" si="486"/>
        <v>1+532.559204670683i</v>
      </c>
      <c r="AT536">
        <f t="shared" si="510"/>
        <v>532.5601435326065</v>
      </c>
      <c r="AU536">
        <f t="shared" si="511"/>
        <v>1.5689186034996312</v>
      </c>
      <c r="AV536" t="str">
        <f t="shared" si="487"/>
        <v>1+532.559204670683i</v>
      </c>
      <c r="AW536">
        <f t="shared" si="512"/>
        <v>532.5601435326065</v>
      </c>
      <c r="AX536">
        <f t="shared" si="513"/>
        <v>1.5689186034996312</v>
      </c>
      <c r="AY536" t="str">
        <f t="shared" si="488"/>
        <v>1-3.99516064281295E-06i</v>
      </c>
      <c r="AZ536">
        <f t="shared" si="514"/>
        <v>1.0000000000079807</v>
      </c>
      <c r="BA536">
        <f t="shared" si="515"/>
        <v>-3.9951606427916934E-6</v>
      </c>
      <c r="BB536" s="58" t="str">
        <f t="shared" si="516"/>
        <v>-6.84121441334682E-06+0.00365112007487018i</v>
      </c>
      <c r="BC536">
        <f t="shared" si="517"/>
        <v>-48.751462434835901</v>
      </c>
      <c r="BD536" s="60">
        <f t="shared" si="518"/>
        <v>90.1073567140688</v>
      </c>
      <c r="BE536" s="58" t="str">
        <f t="shared" si="519"/>
        <v>-0.0000661004287981794-0.0000113873537697201i</v>
      </c>
      <c r="BF536" s="37">
        <f t="shared" si="520"/>
        <v>-83.468899422798955</v>
      </c>
      <c r="BG536" s="60">
        <f t="shared" si="521"/>
        <v>-170.22539800040278</v>
      </c>
      <c r="BH536" s="58" t="str">
        <f t="shared" si="522"/>
        <v>0.0367177001346818+0.00101353621345806i</v>
      </c>
      <c r="BI536" s="37">
        <f t="shared" si="523"/>
        <v>-28.69918273008355</v>
      </c>
      <c r="BJ536" s="60">
        <f t="shared" si="524"/>
        <v>1.5811612586971515</v>
      </c>
      <c r="BK536">
        <f t="shared" si="525"/>
        <v>-83.468899422798955</v>
      </c>
      <c r="BL536" s="60">
        <f t="shared" si="526"/>
        <v>-170.22539800040278</v>
      </c>
      <c r="BN536">
        <f t="shared" si="527"/>
        <v>0</v>
      </c>
      <c r="BO536">
        <f t="shared" si="528"/>
        <v>0</v>
      </c>
    </row>
    <row r="537" spans="13:67" ht="14.25" x14ac:dyDescent="0.2">
      <c r="M537" s="66">
        <v>19</v>
      </c>
      <c r="N537" s="36">
        <f t="shared" si="476"/>
        <v>1548816.6189124861</v>
      </c>
      <c r="O537" s="91" t="str">
        <f t="shared" si="477"/>
        <v>99.7340425531915</v>
      </c>
      <c r="P537" s="67" t="str">
        <f t="shared" si="478"/>
        <v>1+282627.659341102i</v>
      </c>
      <c r="Q537" s="67">
        <f t="shared" si="489"/>
        <v>282627.65934287111</v>
      </c>
      <c r="R537" s="67">
        <f t="shared" si="490"/>
        <v>1.5707927885707811</v>
      </c>
      <c r="S537" s="67" t="str">
        <f t="shared" si="479"/>
        <v>1+531.339999561271i</v>
      </c>
      <c r="T537" s="67">
        <f t="shared" si="491"/>
        <v>531.34094057748973</v>
      </c>
      <c r="U537" s="67">
        <f t="shared" si="492"/>
        <v>1.5689142949129677</v>
      </c>
      <c r="V537" t="str">
        <f t="shared" si="480"/>
        <v>1-54.8856702843511i</v>
      </c>
      <c r="W537" s="67">
        <f t="shared" si="493"/>
        <v>54.894779374385884</v>
      </c>
      <c r="X537" s="67">
        <f t="shared" si="494"/>
        <v>-1.5525786505879158</v>
      </c>
      <c r="Y537" t="str">
        <f t="shared" si="481"/>
        <v>-566.771105093375+84.8387338456056i</v>
      </c>
      <c r="Z537" s="67">
        <f t="shared" si="495"/>
        <v>573.08559249844257</v>
      </c>
      <c r="AA537" s="67">
        <f t="shared" si="496"/>
        <v>2.9930080258332081</v>
      </c>
      <c r="AB537" s="92" t="str">
        <f t="shared" si="497"/>
        <v>-0.00294867138264673+0.0177165946319872i</v>
      </c>
      <c r="AC537" s="37">
        <f t="shared" si="498"/>
        <v>-34.91372810326331</v>
      </c>
      <c r="AD537" s="60">
        <f t="shared" si="499"/>
        <v>99.449438271735829</v>
      </c>
      <c r="AE537" t="str">
        <f t="shared" si="500"/>
        <v>118.329284003155</v>
      </c>
      <c r="AF537" t="str">
        <f t="shared" si="482"/>
        <v>1+226102.127472881i</v>
      </c>
      <c r="AG537">
        <f t="shared" si="501"/>
        <v>226102.12747509242</v>
      </c>
      <c r="AH537">
        <f t="shared" si="502"/>
        <v>1.5707919040147522</v>
      </c>
      <c r="AI537" t="str">
        <f t="shared" si="483"/>
        <v>1+531.339999561271i</v>
      </c>
      <c r="AJ537">
        <f t="shared" si="503"/>
        <v>531.34094057748973</v>
      </c>
      <c r="AK537">
        <f t="shared" si="504"/>
        <v>1.5689142949129677</v>
      </c>
      <c r="AL537" t="str">
        <f t="shared" si="484"/>
        <v>1-37.0072758076495i</v>
      </c>
      <c r="AM537">
        <f t="shared" si="505"/>
        <v>37.020784198925881</v>
      </c>
      <c r="AN537">
        <f t="shared" si="506"/>
        <v>-1.5437811873727667</v>
      </c>
      <c r="AO537" s="58" t="str">
        <f t="shared" si="507"/>
        <v>0.258751782619862-10.2912766556877i</v>
      </c>
      <c r="AP537">
        <f t="shared" si="508"/>
        <v>20.252129642008441</v>
      </c>
      <c r="AQ537" s="60">
        <f t="shared" si="509"/>
        <v>-88.559725605262074</v>
      </c>
      <c r="AR537" t="str">
        <f t="shared" si="485"/>
        <v>-1.94444444444444</v>
      </c>
      <c r="AS537" t="str">
        <f t="shared" si="486"/>
        <v>1+544.964102114123i</v>
      </c>
      <c r="AT537">
        <f t="shared" si="510"/>
        <v>544.96501960497631</v>
      </c>
      <c r="AU537">
        <f t="shared" si="511"/>
        <v>1.5689613456030438</v>
      </c>
      <c r="AV537" t="str">
        <f t="shared" si="487"/>
        <v>1+544.964102114123i</v>
      </c>
      <c r="AW537">
        <f t="shared" si="512"/>
        <v>544.96501960497631</v>
      </c>
      <c r="AX537">
        <f t="shared" si="513"/>
        <v>1.5689613456030438</v>
      </c>
      <c r="AY537" t="str">
        <f t="shared" si="488"/>
        <v>1-3.90421968385455E-06i</v>
      </c>
      <c r="AZ537">
        <f t="shared" si="514"/>
        <v>1.0000000000076215</v>
      </c>
      <c r="BA537">
        <f t="shared" si="515"/>
        <v>-3.9042196838347122E-6</v>
      </c>
      <c r="BB537" s="58" t="str">
        <f t="shared" si="516"/>
        <v>-6.53331008089341E-06+0.00356801100034139i</v>
      </c>
      <c r="BC537">
        <f t="shared" si="517"/>
        <v>-48.951461745661547</v>
      </c>
      <c r="BD537" s="60">
        <f t="shared" si="518"/>
        <v>90.104912982468875</v>
      </c>
      <c r="BE537" s="58" t="str">
        <f t="shared" si="519"/>
        <v>-0.0000631937399510501-0.0000106366399359837i</v>
      </c>
      <c r="BF537" s="37">
        <f t="shared" si="520"/>
        <v>-83.865189848924871</v>
      </c>
      <c r="BG537" s="60">
        <f t="shared" si="521"/>
        <v>-170.44564874579524</v>
      </c>
      <c r="BH537" s="58" t="str">
        <f t="shared" si="522"/>
        <v>0.0367176978094204+0.000990465308265479i</v>
      </c>
      <c r="BI537" s="37">
        <f t="shared" si="523"/>
        <v>-28.699332103653113</v>
      </c>
      <c r="BJ537" s="60">
        <f t="shared" si="524"/>
        <v>1.5451873772068214</v>
      </c>
      <c r="BK537">
        <f t="shared" si="525"/>
        <v>-83.865189848924871</v>
      </c>
      <c r="BL537" s="60">
        <f t="shared" si="526"/>
        <v>-170.44564874579524</v>
      </c>
      <c r="BN537">
        <f t="shared" si="527"/>
        <v>0</v>
      </c>
      <c r="BO537">
        <f t="shared" si="528"/>
        <v>0</v>
      </c>
    </row>
    <row r="538" spans="13:67" ht="14.25" x14ac:dyDescent="0.2">
      <c r="M538" s="66">
        <v>20</v>
      </c>
      <c r="N538" s="36">
        <f t="shared" si="476"/>
        <v>1584893.1924611153</v>
      </c>
      <c r="O538" s="91" t="str">
        <f t="shared" si="477"/>
        <v>99.7340425531915</v>
      </c>
      <c r="P538" s="67" t="str">
        <f t="shared" si="478"/>
        <v>1+289210.903228461i</v>
      </c>
      <c r="Q538" s="67">
        <f t="shared" si="489"/>
        <v>289210.90323018987</v>
      </c>
      <c r="R538" s="67">
        <f t="shared" si="490"/>
        <v>1.5707928691105948</v>
      </c>
      <c r="S538" s="67" t="str">
        <f t="shared" si="479"/>
        <v>1+543.716498069507i</v>
      </c>
      <c r="T538" s="67">
        <f t="shared" si="491"/>
        <v>543.71741766561809</v>
      </c>
      <c r="U538" s="67">
        <f t="shared" si="492"/>
        <v>1.5689571350911167</v>
      </c>
      <c r="V538" t="str">
        <f t="shared" si="480"/>
        <v>1-56.1641217786084i</v>
      </c>
      <c r="W538" s="67">
        <f t="shared" si="493"/>
        <v>56.173023553680586</v>
      </c>
      <c r="X538" s="67">
        <f t="shared" si="494"/>
        <v>-1.5529932468887548</v>
      </c>
      <c r="Y538" t="str">
        <f t="shared" si="481"/>
        <v>-593.529332901678+86.8148818181801i</v>
      </c>
      <c r="Z538" s="67">
        <f t="shared" si="495"/>
        <v>599.84489055072845</v>
      </c>
      <c r="AA538" s="67">
        <f t="shared" si="496"/>
        <v>2.996353687042117</v>
      </c>
      <c r="AB538" s="92" t="str">
        <f t="shared" si="497"/>
        <v>-0.00281831945603587+0.017330980054615i</v>
      </c>
      <c r="AC538" s="37">
        <f t="shared" si="498"/>
        <v>-35.110183131921822</v>
      </c>
      <c r="AD538" s="60">
        <f t="shared" si="499"/>
        <v>99.236441333355017</v>
      </c>
      <c r="AE538" t="str">
        <f t="shared" si="500"/>
        <v>118.329284003155</v>
      </c>
      <c r="AF538" t="str">
        <f t="shared" si="482"/>
        <v>1+231368.722582769i</v>
      </c>
      <c r="AG538">
        <f t="shared" si="501"/>
        <v>231368.72258493004</v>
      </c>
      <c r="AH538">
        <f t="shared" si="502"/>
        <v>1.5707920046895194</v>
      </c>
      <c r="AI538" t="str">
        <f t="shared" si="483"/>
        <v>1+543.716498069507i</v>
      </c>
      <c r="AJ538">
        <f t="shared" si="503"/>
        <v>543.71741766561809</v>
      </c>
      <c r="AK538">
        <f t="shared" si="504"/>
        <v>1.5689571350911167</v>
      </c>
      <c r="AL538" t="str">
        <f t="shared" si="484"/>
        <v>1-37.8692859973688i</v>
      </c>
      <c r="AM538">
        <f t="shared" si="505"/>
        <v>37.8824870085177</v>
      </c>
      <c r="AN538">
        <f t="shared" si="506"/>
        <v>-1.5443958380011396</v>
      </c>
      <c r="AO538" s="58" t="str">
        <f t="shared" si="507"/>
        <v>0.258751782515913-10.5309672330637i</v>
      </c>
      <c r="AP538">
        <f t="shared" si="508"/>
        <v>20.451986328406619</v>
      </c>
      <c r="AQ538" s="60">
        <f t="shared" si="509"/>
        <v>-88.592493698980633</v>
      </c>
      <c r="AR538" t="str">
        <f t="shared" si="485"/>
        <v>-1.94444444444444</v>
      </c>
      <c r="AS538" t="str">
        <f t="shared" si="486"/>
        <v>1+557.657946737954i</v>
      </c>
      <c r="AT538">
        <f t="shared" si="510"/>
        <v>557.65884334419991</v>
      </c>
      <c r="AU538">
        <f t="shared" si="511"/>
        <v>1.5690031147838788</v>
      </c>
      <c r="AV538" t="str">
        <f t="shared" si="487"/>
        <v>1+557.657946737954i</v>
      </c>
      <c r="AW538">
        <f t="shared" si="512"/>
        <v>557.65884334419991</v>
      </c>
      <c r="AX538">
        <f t="shared" si="513"/>
        <v>1.5690031147838788</v>
      </c>
      <c r="AY538" t="str">
        <f t="shared" si="488"/>
        <v>1-3.81534879385101E-06i</v>
      </c>
      <c r="AZ538">
        <f t="shared" si="514"/>
        <v>1.0000000000072784</v>
      </c>
      <c r="BA538">
        <f t="shared" si="515"/>
        <v>-3.8153487938324962E-6</v>
      </c>
      <c r="BB538" s="58" t="str">
        <f t="shared" si="516"/>
        <v>-6.23926363497287E-06+0.00348679368160157i</v>
      </c>
      <c r="BC538">
        <f t="shared" si="517"/>
        <v>-49.151461087505027</v>
      </c>
      <c r="BD538" s="60">
        <f t="shared" si="518"/>
        <v>90.102524876620222</v>
      </c>
      <c r="BE538" s="58" t="str">
        <f t="shared" si="519"/>
        <v>-0.0000604119675123006-9.93503102565385E-06i</v>
      </c>
      <c r="BF538" s="37">
        <f t="shared" si="520"/>
        <v>-84.261644219426856</v>
      </c>
      <c r="BG538" s="60">
        <f t="shared" si="521"/>
        <v>-170.66103379002476</v>
      </c>
      <c r="BH538" s="58" t="str">
        <f t="shared" si="522"/>
        <v>0.0367176955888125+0.000967919561277974i</v>
      </c>
      <c r="BI538" s="37">
        <f t="shared" si="523"/>
        <v>-28.699474759098422</v>
      </c>
      <c r="BJ538" s="60">
        <f t="shared" si="524"/>
        <v>1.510031177639594</v>
      </c>
      <c r="BK538">
        <f t="shared" si="525"/>
        <v>-84.261644219426856</v>
      </c>
      <c r="BL538" s="60">
        <f t="shared" si="526"/>
        <v>-170.66103379002476</v>
      </c>
      <c r="BN538">
        <f t="shared" si="527"/>
        <v>0</v>
      </c>
      <c r="BO538">
        <f t="shared" si="528"/>
        <v>0</v>
      </c>
    </row>
    <row r="539" spans="13:67" ht="14.25" x14ac:dyDescent="0.2">
      <c r="M539" s="66">
        <v>21</v>
      </c>
      <c r="N539" s="36">
        <f t="shared" si="476"/>
        <v>1621810.0973589318</v>
      </c>
      <c r="O539" s="91" t="str">
        <f t="shared" si="477"/>
        <v>99.7340425531915</v>
      </c>
      <c r="P539" s="67" t="str">
        <f t="shared" si="478"/>
        <v>1+295947.490564871i</v>
      </c>
      <c r="Q539" s="67">
        <f t="shared" si="489"/>
        <v>295947.49056656047</v>
      </c>
      <c r="R539" s="67">
        <f t="shared" si="490"/>
        <v>1.5707929478170986</v>
      </c>
      <c r="S539" s="67" t="str">
        <f t="shared" si="479"/>
        <v>1+556.381282261957i</v>
      </c>
      <c r="T539" s="67">
        <f t="shared" si="491"/>
        <v>556.38218092553927</v>
      </c>
      <c r="U539" s="67">
        <f t="shared" si="492"/>
        <v>1.5689990001142795</v>
      </c>
      <c r="V539" t="str">
        <f t="shared" si="480"/>
        <v>1-57.4723522336526i</v>
      </c>
      <c r="W539" s="67">
        <f t="shared" si="493"/>
        <v>57.481051410608636</v>
      </c>
      <c r="X539" s="67">
        <f t="shared" si="494"/>
        <v>-1.5533984117403188</v>
      </c>
      <c r="Y539" t="str">
        <f t="shared" si="481"/>
        <v>-621.548637134999+88.8370601902252i</v>
      </c>
      <c r="Z539" s="67">
        <f t="shared" si="495"/>
        <v>627.86521769215437</v>
      </c>
      <c r="AA539" s="67">
        <f t="shared" si="496"/>
        <v>2.9996255974608204</v>
      </c>
      <c r="AB539" s="92" t="str">
        <f t="shared" si="497"/>
        <v>-0.00269363013677357+0.0169529907436819i</v>
      </c>
      <c r="AC539" s="37">
        <f t="shared" si="498"/>
        <v>-35.306794957280175</v>
      </c>
      <c r="AD539" s="60">
        <f t="shared" si="499"/>
        <v>99.02815461900272</v>
      </c>
      <c r="AE539" t="str">
        <f t="shared" si="500"/>
        <v>118.329284003155</v>
      </c>
      <c r="AF539" t="str">
        <f t="shared" si="482"/>
        <v>1+236757.992451896i</v>
      </c>
      <c r="AG539">
        <f t="shared" si="501"/>
        <v>236757.99245400785</v>
      </c>
      <c r="AH539">
        <f t="shared" si="502"/>
        <v>1.570792103072649</v>
      </c>
      <c r="AI539" t="str">
        <f t="shared" si="483"/>
        <v>1+556.381282261957i</v>
      </c>
      <c r="AJ539">
        <f t="shared" si="503"/>
        <v>556.38218092553927</v>
      </c>
      <c r="AK539">
        <f t="shared" si="504"/>
        <v>1.5689990001142795</v>
      </c>
      <c r="AL539" t="str">
        <f t="shared" si="484"/>
        <v>1-38.751374983783i</v>
      </c>
      <c r="AM539">
        <f t="shared" si="505"/>
        <v>38.764275604398478</v>
      </c>
      <c r="AN539">
        <f t="shared" si="506"/>
        <v>-1.5449965167535964</v>
      </c>
      <c r="AO539" s="58" t="str">
        <f t="shared" si="507"/>
        <v>0.258751782416644-10.7762414686604i</v>
      </c>
      <c r="AP539">
        <f t="shared" si="508"/>
        <v>20.651849460606879</v>
      </c>
      <c r="AQ539" s="60">
        <f t="shared" si="509"/>
        <v>-88.624517004141254</v>
      </c>
      <c r="AR539" t="str">
        <f t="shared" si="485"/>
        <v>-1.94444444444444</v>
      </c>
      <c r="AS539" t="str">
        <f t="shared" si="486"/>
        <v>1+570.64746898662i</v>
      </c>
      <c r="AT539">
        <f t="shared" si="510"/>
        <v>570.64834518364751</v>
      </c>
      <c r="AU539">
        <f t="shared" si="511"/>
        <v>1.5690439331881261</v>
      </c>
      <c r="AV539" t="str">
        <f t="shared" si="487"/>
        <v>1+570.64746898662i</v>
      </c>
      <c r="AW539">
        <f t="shared" si="512"/>
        <v>570.64834518364751</v>
      </c>
      <c r="AX539">
        <f t="shared" si="513"/>
        <v>1.5690439331881261</v>
      </c>
      <c r="AY539" t="str">
        <f t="shared" si="488"/>
        <v>1-3.72850085228008E-06i</v>
      </c>
      <c r="AZ539">
        <f t="shared" si="514"/>
        <v>1.0000000000069509</v>
      </c>
      <c r="BA539">
        <f t="shared" si="515"/>
        <v>-3.7285008522628026E-6</v>
      </c>
      <c r="BB539" s="58" t="str">
        <f t="shared" si="516"/>
        <v>-5.95845137597575E-06+0.00340742505954873i</v>
      </c>
      <c r="BC539">
        <f t="shared" si="517"/>
        <v>-49.351460458970287</v>
      </c>
      <c r="BD539" s="60">
        <f t="shared" si="518"/>
        <v>90.100191130350922</v>
      </c>
      <c r="BE539" s="58" t="str">
        <f t="shared" si="519"/>
        <v>-0.0000577499956301245-9.27935640022153E-06i</v>
      </c>
      <c r="BF539" s="37">
        <f t="shared" si="520"/>
        <v>-84.658255416250483</v>
      </c>
      <c r="BG539" s="60">
        <f t="shared" si="521"/>
        <v>-170.87165425064634</v>
      </c>
      <c r="BH539" s="58" t="str">
        <f t="shared" si="522"/>
        <v>0.0367176934681477+0.00094588701841616i</v>
      </c>
      <c r="BI539" s="37">
        <f t="shared" si="523"/>
        <v>-28.699610998363397</v>
      </c>
      <c r="BJ539" s="60">
        <f t="shared" si="524"/>
        <v>1.475674126209674</v>
      </c>
      <c r="BK539">
        <f t="shared" si="525"/>
        <v>-84.658255416250483</v>
      </c>
      <c r="BL539" s="60">
        <f t="shared" si="526"/>
        <v>-170.87165425064634</v>
      </c>
      <c r="BN539">
        <f t="shared" si="527"/>
        <v>0</v>
      </c>
      <c r="BO539">
        <f t="shared" si="528"/>
        <v>0</v>
      </c>
    </row>
    <row r="540" spans="13:67" ht="14.25" x14ac:dyDescent="0.2">
      <c r="M540" s="66">
        <v>22</v>
      </c>
      <c r="N540" s="36">
        <f t="shared" si="476"/>
        <v>1659586.9074375622</v>
      </c>
      <c r="O540" s="91" t="str">
        <f t="shared" si="477"/>
        <v>99.7340425531915</v>
      </c>
      <c r="P540" s="67" t="str">
        <f t="shared" si="478"/>
        <v>1+302840.993178108i</v>
      </c>
      <c r="Q540" s="67">
        <f t="shared" si="489"/>
        <v>302840.99317975907</v>
      </c>
      <c r="R540" s="67">
        <f t="shared" si="490"/>
        <v>1.5707930247320236</v>
      </c>
      <c r="S540" s="67" t="str">
        <f t="shared" si="479"/>
        <v>1+569.341067174842i</v>
      </c>
      <c r="T540" s="67">
        <f t="shared" si="491"/>
        <v>569.34194538237557</v>
      </c>
      <c r="U540" s="67">
        <f t="shared" si="492"/>
        <v>1.5690399121792582</v>
      </c>
      <c r="V540" t="str">
        <f t="shared" si="480"/>
        <v>1-58.8110552905881i</v>
      </c>
      <c r="W540" s="67">
        <f t="shared" si="493"/>
        <v>58.819556479053887</v>
      </c>
      <c r="X540" s="67">
        <f t="shared" si="494"/>
        <v>-1.5537943594339791</v>
      </c>
      <c r="Y540" t="str">
        <f t="shared" si="481"/>
        <v>-650.888450494241+90.9063411474813i</v>
      </c>
      <c r="Z540" s="67">
        <f t="shared" si="495"/>
        <v>657.2060086819173</v>
      </c>
      <c r="AA540" s="67">
        <f t="shared" si="496"/>
        <v>3.0028252788259646</v>
      </c>
      <c r="AB540" s="92" t="str">
        <f t="shared" si="497"/>
        <v>-0.00257436609175742+0.0165825272047622i</v>
      </c>
      <c r="AC540" s="37">
        <f t="shared" si="498"/>
        <v>-35.503556760623205</v>
      </c>
      <c r="AD540" s="60">
        <f t="shared" si="499"/>
        <v>98.82447993099241</v>
      </c>
      <c r="AE540" t="str">
        <f t="shared" si="500"/>
        <v>118.329284003155</v>
      </c>
      <c r="AF540" t="str">
        <f t="shared" si="482"/>
        <v>1+242272.794542486i</v>
      </c>
      <c r="AG540">
        <f t="shared" si="501"/>
        <v>242272.7945445498</v>
      </c>
      <c r="AH540">
        <f t="shared" si="502"/>
        <v>1.5707921992163054</v>
      </c>
      <c r="AI540" t="str">
        <f t="shared" si="483"/>
        <v>1+569.341067174842i</v>
      </c>
      <c r="AJ540">
        <f t="shared" si="503"/>
        <v>569.34194538237557</v>
      </c>
      <c r="AK540">
        <f t="shared" si="504"/>
        <v>1.5690399121792582</v>
      </c>
      <c r="AL540" t="str">
        <f t="shared" si="484"/>
        <v>1-39.654010462149i</v>
      </c>
      <c r="AM540">
        <f t="shared" si="505"/>
        <v>39.666617523204863</v>
      </c>
      <c r="AN540">
        <f t="shared" si="506"/>
        <v>-1.5455835403830989</v>
      </c>
      <c r="AO540" s="58" t="str">
        <f t="shared" si="507"/>
        <v>0.258751782321842-11.0272294101244i</v>
      </c>
      <c r="AP540">
        <f t="shared" si="508"/>
        <v>20.851718748885069</v>
      </c>
      <c r="AQ540" s="60">
        <f t="shared" si="509"/>
        <v>-88.655812400557494</v>
      </c>
      <c r="AR540" t="str">
        <f t="shared" si="485"/>
        <v>-1.94444444444444</v>
      </c>
      <c r="AS540" t="str">
        <f t="shared" si="486"/>
        <v>1+583.939556076759i</v>
      </c>
      <c r="AT540">
        <f t="shared" si="510"/>
        <v>583.94041232913685</v>
      </c>
      <c r="AU540">
        <f t="shared" si="511"/>
        <v>1.5690838224576988</v>
      </c>
      <c r="AV540" t="str">
        <f t="shared" si="487"/>
        <v>1+583.939556076759i</v>
      </c>
      <c r="AW540">
        <f t="shared" si="512"/>
        <v>583.94041232913685</v>
      </c>
      <c r="AX540">
        <f t="shared" si="513"/>
        <v>1.5690838224576988</v>
      </c>
      <c r="AY540" t="str">
        <f t="shared" si="488"/>
        <v>1-3.64362981121354E-06i</v>
      </c>
      <c r="AZ540">
        <f t="shared" si="514"/>
        <v>1.000000000006638</v>
      </c>
      <c r="BA540">
        <f t="shared" si="515"/>
        <v>-3.6436298111974158E-6</v>
      </c>
      <c r="BB540" s="58" t="str">
        <f t="shared" si="516"/>
        <v>-5.69027767469283E-06+0.00332986305505765i</v>
      </c>
      <c r="BC540">
        <f t="shared" si="517"/>
        <v>-49.551459858724272</v>
      </c>
      <c r="BD540" s="60">
        <f t="shared" si="518"/>
        <v>90.097910506308992</v>
      </c>
      <c r="BE540" s="58" t="str">
        <f t="shared" si="519"/>
        <v>-0.0000552028958407276-8.66664572347943E-06i</v>
      </c>
      <c r="BF540" s="37">
        <f t="shared" si="520"/>
        <v>-85.055016619347469</v>
      </c>
      <c r="BG540" s="60">
        <f t="shared" si="521"/>
        <v>-171.07760956269857</v>
      </c>
      <c r="BH540" s="58" t="str">
        <f t="shared" si="522"/>
        <v>0.0367176914429282+0.000924355997709968i</v>
      </c>
      <c r="BI540" s="37">
        <f t="shared" si="523"/>
        <v>-28.699741109839199</v>
      </c>
      <c r="BJ540" s="60">
        <f t="shared" si="524"/>
        <v>1.4420981057515014</v>
      </c>
      <c r="BK540">
        <f t="shared" si="525"/>
        <v>-85.055016619347469</v>
      </c>
      <c r="BL540" s="60">
        <f t="shared" si="526"/>
        <v>-171.07760956269857</v>
      </c>
      <c r="BN540">
        <f t="shared" si="527"/>
        <v>0</v>
      </c>
      <c r="BO540">
        <f t="shared" si="528"/>
        <v>0</v>
      </c>
    </row>
    <row r="541" spans="13:67" ht="14.25" x14ac:dyDescent="0.2">
      <c r="M541" s="66">
        <v>23</v>
      </c>
      <c r="N541" s="36">
        <f t="shared" si="476"/>
        <v>1698243.6524617488</v>
      </c>
      <c r="O541" s="91" t="str">
        <f t="shared" si="477"/>
        <v>99.7340425531915</v>
      </c>
      <c r="P541" s="67" t="str">
        <f t="shared" si="478"/>
        <v>1+309895.066094503i</v>
      </c>
      <c r="Q541" s="67">
        <f t="shared" si="489"/>
        <v>309895.06609611644</v>
      </c>
      <c r="R541" s="67">
        <f t="shared" si="490"/>
        <v>1.5707930998961512</v>
      </c>
      <c r="S541" s="67" t="str">
        <f t="shared" si="479"/>
        <v>1+582.602724257665i</v>
      </c>
      <c r="T541" s="67">
        <f t="shared" si="491"/>
        <v>582.60358247478428</v>
      </c>
      <c r="U541" s="67">
        <f t="shared" si="492"/>
        <v>1.5690798929776233</v>
      </c>
      <c r="V541" t="str">
        <f t="shared" si="480"/>
        <v>1-60.1809407474951i</v>
      </c>
      <c r="W541" s="67">
        <f t="shared" si="493"/>
        <v>60.189248452306799</v>
      </c>
      <c r="X541" s="67">
        <f t="shared" si="494"/>
        <v>-1.5541812994095632</v>
      </c>
      <c r="Y541" t="str">
        <f t="shared" si="481"/>
        <v>-681.611006657192+93.0238218501017i</v>
      </c>
      <c r="Z541" s="67">
        <f t="shared" si="495"/>
        <v>687.92949916966779</v>
      </c>
      <c r="AA541" s="67">
        <f t="shared" si="496"/>
        <v>3.0059542283393248</v>
      </c>
      <c r="AB541" s="92" t="str">
        <f t="shared" si="497"/>
        <v>-0.00246029918321206+0.0162194875643979i</v>
      </c>
      <c r="AC541" s="37">
        <f t="shared" si="498"/>
        <v>-35.700462009663632</v>
      </c>
      <c r="AD541" s="60">
        <f t="shared" si="499"/>
        <v>98.625320726462164</v>
      </c>
      <c r="AE541" t="str">
        <f t="shared" si="500"/>
        <v>118.329284003155</v>
      </c>
      <c r="AF541" t="str">
        <f t="shared" si="482"/>
        <v>1+247916.052875602i</v>
      </c>
      <c r="AG541">
        <f t="shared" si="501"/>
        <v>247916.05287761881</v>
      </c>
      <c r="AH541">
        <f t="shared" si="502"/>
        <v>1.5707922931714648</v>
      </c>
      <c r="AI541" t="str">
        <f t="shared" si="483"/>
        <v>1+582.602724257665i</v>
      </c>
      <c r="AJ541">
        <f t="shared" si="503"/>
        <v>582.60358247478428</v>
      </c>
      <c r="AK541">
        <f t="shared" si="504"/>
        <v>1.5690798929776233</v>
      </c>
      <c r="AL541" t="str">
        <f t="shared" si="484"/>
        <v>1-40.577671021745i</v>
      </c>
      <c r="AM541">
        <f t="shared" si="505"/>
        <v>40.589991199173269</v>
      </c>
      <c r="AN541">
        <f t="shared" si="506"/>
        <v>-1.5461572185181272</v>
      </c>
      <c r="AO541" s="58" t="str">
        <f t="shared" si="507"/>
        <v>0.258751782231307-11.2840641345842i</v>
      </c>
      <c r="AP541">
        <f t="shared" si="508"/>
        <v>21.051593916522485</v>
      </c>
      <c r="AQ541" s="60">
        <f t="shared" si="509"/>
        <v>-88.686396388719757</v>
      </c>
      <c r="AR541" t="str">
        <f t="shared" si="485"/>
        <v>-1.94444444444444</v>
      </c>
      <c r="AS541" t="str">
        <f t="shared" si="486"/>
        <v>1+597.541255648886i</v>
      </c>
      <c r="AT541">
        <f t="shared" si="510"/>
        <v>597.54209241060789</v>
      </c>
      <c r="AU541">
        <f t="shared" si="511"/>
        <v>1.5691228037419083</v>
      </c>
      <c r="AV541" t="str">
        <f t="shared" si="487"/>
        <v>1+597.541255648886i</v>
      </c>
      <c r="AW541">
        <f t="shared" si="512"/>
        <v>597.54209241060789</v>
      </c>
      <c r="AX541">
        <f t="shared" si="513"/>
        <v>1.5691228037419083</v>
      </c>
      <c r="AY541" t="str">
        <f t="shared" si="488"/>
        <v>1-3.56069067090205E-06i</v>
      </c>
      <c r="AZ541">
        <f t="shared" si="514"/>
        <v>1.0000000000063394</v>
      </c>
      <c r="BA541">
        <f t="shared" si="515"/>
        <v>-3.5606906708870022E-6</v>
      </c>
      <c r="BB541" s="58" t="str">
        <f t="shared" si="516"/>
        <v>-5.43417370900132E-06+0.00325406654668423i</v>
      </c>
      <c r="BC541">
        <f t="shared" si="517"/>
        <v>-49.751459285493731</v>
      </c>
      <c r="BD541" s="60">
        <f t="shared" si="518"/>
        <v>90.095681795306476</v>
      </c>
      <c r="BE541" s="58" t="str">
        <f t="shared" si="519"/>
        <v>-0.0000527659221945304-8.09411677982083E-06i</v>
      </c>
      <c r="BF541" s="37">
        <f t="shared" si="520"/>
        <v>-85.451921295157376</v>
      </c>
      <c r="BG541" s="60">
        <f t="shared" si="521"/>
        <v>-171.27899747823133</v>
      </c>
      <c r="BH541" s="58" t="str">
        <f t="shared" si="522"/>
        <v>0.0367176895088576+0.000903315083104661i</v>
      </c>
      <c r="BI541" s="37">
        <f t="shared" si="523"/>
        <v>-28.699865368971253</v>
      </c>
      <c r="BJ541" s="60">
        <f t="shared" si="524"/>
        <v>1.4092854065867226</v>
      </c>
      <c r="BK541">
        <f t="shared" si="525"/>
        <v>-85.451921295157376</v>
      </c>
      <c r="BL541" s="60">
        <f t="shared" si="526"/>
        <v>-171.27899747823133</v>
      </c>
      <c r="BN541">
        <f t="shared" si="527"/>
        <v>0</v>
      </c>
      <c r="BO541">
        <f t="shared" si="528"/>
        <v>0</v>
      </c>
    </row>
    <row r="542" spans="13:67" ht="14.25" x14ac:dyDescent="0.2">
      <c r="M542" s="66">
        <v>24</v>
      </c>
      <c r="N542" s="36">
        <f t="shared" si="476"/>
        <v>1737800.8287493798</v>
      </c>
      <c r="O542" s="91" t="str">
        <f t="shared" si="477"/>
        <v>99.7340425531915</v>
      </c>
      <c r="P542" s="67" t="str">
        <f t="shared" si="478"/>
        <v>1+317113.449476884i</v>
      </c>
      <c r="Q542" s="67">
        <f t="shared" si="489"/>
        <v>317113.44947846065</v>
      </c>
      <c r="R542" s="67">
        <f t="shared" si="490"/>
        <v>1.5707931733493343</v>
      </c>
      <c r="S542" s="67" t="str">
        <f t="shared" si="479"/>
        <v>1+596.173285016542i</v>
      </c>
      <c r="T542" s="67">
        <f t="shared" si="491"/>
        <v>596.17412369828241</v>
      </c>
      <c r="U542" s="67">
        <f t="shared" si="492"/>
        <v>1.5691189637072114</v>
      </c>
      <c r="V542" t="str">
        <f t="shared" si="480"/>
        <v>1-61.5827349357747i</v>
      </c>
      <c r="W542" s="67">
        <f t="shared" si="493"/>
        <v>61.590853559354784</v>
      </c>
      <c r="X542" s="67">
        <f t="shared" si="494"/>
        <v>-1.5545594363640323</v>
      </c>
      <c r="Y542" t="str">
        <f t="shared" si="481"/>
        <v>-713.781472284505+95.1906250143819i</v>
      </c>
      <c r="Z542" s="67">
        <f t="shared" si="495"/>
        <v>720.1008577048525</v>
      </c>
      <c r="AA542" s="67">
        <f t="shared" si="496"/>
        <v>3.009013918591855</v>
      </c>
      <c r="AB542" s="92" t="str">
        <f t="shared" si="497"/>
        <v>-0.00235121017862917+0.0158637679027132i</v>
      </c>
      <c r="AC542" s="37">
        <f t="shared" si="498"/>
        <v>-35.897504447388322</v>
      </c>
      <c r="AD542" s="60">
        <f t="shared" si="499"/>
        <v>98.43058211615633</v>
      </c>
      <c r="AE542" t="str">
        <f t="shared" si="500"/>
        <v>118.329284003155</v>
      </c>
      <c r="AF542" t="str">
        <f t="shared" si="482"/>
        <v>1+253690.759581507i</v>
      </c>
      <c r="AG542">
        <f t="shared" si="501"/>
        <v>253690.75958347792</v>
      </c>
      <c r="AH542">
        <f t="shared" si="502"/>
        <v>1.5707923849879437</v>
      </c>
      <c r="AI542" t="str">
        <f t="shared" si="483"/>
        <v>1+596.173285016542i</v>
      </c>
      <c r="AJ542">
        <f t="shared" si="503"/>
        <v>596.17412369828241</v>
      </c>
      <c r="AK542">
        <f t="shared" si="504"/>
        <v>1.5691189637072114</v>
      </c>
      <c r="AL542" t="str">
        <f t="shared" si="484"/>
        <v>1-41.5228463996253i</v>
      </c>
      <c r="AM542">
        <f t="shared" si="505"/>
        <v>41.534886217815448</v>
      </c>
      <c r="AN542">
        <f t="shared" si="506"/>
        <v>-1.5467178538191464</v>
      </c>
      <c r="AO542" s="58" t="str">
        <f t="shared" si="507"/>
        <v>0.258751782144847-11.5468818192104i</v>
      </c>
      <c r="AP542">
        <f t="shared" si="508"/>
        <v>21.251474699224286</v>
      </c>
      <c r="AQ542" s="60">
        <f t="shared" si="509"/>
        <v>-88.716285098103057</v>
      </c>
      <c r="AR542" t="str">
        <f t="shared" si="485"/>
        <v>-1.94444444444444</v>
      </c>
      <c r="AS542" t="str">
        <f t="shared" si="486"/>
        <v>1+611.459779504144i</v>
      </c>
      <c r="AT542">
        <f t="shared" si="510"/>
        <v>611.46059721886934</v>
      </c>
      <c r="AU542">
        <f t="shared" si="511"/>
        <v>1.5691608977086728</v>
      </c>
      <c r="AV542" t="str">
        <f t="shared" si="487"/>
        <v>1+611.459779504144i</v>
      </c>
      <c r="AW542">
        <f t="shared" si="512"/>
        <v>611.46059721886934</v>
      </c>
      <c r="AX542">
        <f t="shared" si="513"/>
        <v>1.5691608977086728</v>
      </c>
      <c r="AY542" t="str">
        <f t="shared" si="488"/>
        <v>1-3.47963945591561E-06i</v>
      </c>
      <c r="AZ542">
        <f t="shared" si="514"/>
        <v>1.0000000000060538</v>
      </c>
      <c r="BA542">
        <f t="shared" si="515"/>
        <v>-3.4796394559015664E-6</v>
      </c>
      <c r="BB542" s="58" t="str">
        <f t="shared" si="516"/>
        <v>-5.18959625740387E-06+0.00317999534887643i</v>
      </c>
      <c r="BC542">
        <f t="shared" si="517"/>
        <v>-49.951458738062612</v>
      </c>
      <c r="BD542" s="60">
        <f t="shared" si="518"/>
        <v>90.093503815678503</v>
      </c>
      <c r="BE542" s="58" t="str">
        <f t="shared" si="519"/>
        <v>-0.0000504345063147398-7.55916398280792E-06i</v>
      </c>
      <c r="BF542" s="37">
        <f t="shared" si="520"/>
        <v>-85.848963185450927</v>
      </c>
      <c r="BG542" s="60">
        <f t="shared" si="521"/>
        <v>-171.47591406816517</v>
      </c>
      <c r="BH542" s="58" t="str">
        <f t="shared" si="522"/>
        <v>0.0367176876618347+0.00088275311840776i</v>
      </c>
      <c r="BI542" s="37">
        <f t="shared" si="523"/>
        <v>-28.699984038838316</v>
      </c>
      <c r="BJ542" s="60">
        <f t="shared" si="524"/>
        <v>1.3772187175754547</v>
      </c>
      <c r="BK542">
        <f t="shared" si="525"/>
        <v>-85.848963185450927</v>
      </c>
      <c r="BL542" s="60">
        <f t="shared" si="526"/>
        <v>-171.47591406816517</v>
      </c>
      <c r="BN542">
        <f t="shared" si="527"/>
        <v>0</v>
      </c>
      <c r="BO542">
        <f t="shared" si="528"/>
        <v>0</v>
      </c>
    </row>
    <row r="543" spans="13:67" ht="14.25" x14ac:dyDescent="0.2">
      <c r="M543" s="66">
        <v>25</v>
      </c>
      <c r="N543" s="36">
        <f t="shared" si="476"/>
        <v>1778279.4100389241</v>
      </c>
      <c r="O543" s="91" t="str">
        <f t="shared" si="477"/>
        <v>99.7340425531915</v>
      </c>
      <c r="P543" s="67" t="str">
        <f t="shared" si="478"/>
        <v>1+324499.970607671i</v>
      </c>
      <c r="Q543" s="67">
        <f t="shared" si="489"/>
        <v>324499.97060921183</v>
      </c>
      <c r="R543" s="67">
        <f t="shared" si="490"/>
        <v>1.5707932451305189</v>
      </c>
      <c r="S543" s="67" t="str">
        <f t="shared" si="479"/>
        <v>1+610.059944742421i</v>
      </c>
      <c r="T543" s="67">
        <f t="shared" si="491"/>
        <v>610.06076433346027</v>
      </c>
      <c r="U543" s="67">
        <f t="shared" si="492"/>
        <v>1.569157145083363</v>
      </c>
      <c r="V543" t="str">
        <f t="shared" si="480"/>
        <v>1-63.0171811052611i</v>
      </c>
      <c r="W543" s="67">
        <f t="shared" si="493"/>
        <v>63.025114949941006</v>
      </c>
      <c r="X543" s="67">
        <f t="shared" si="494"/>
        <v>-1.554928970357806</v>
      </c>
      <c r="Y543" t="str">
        <f t="shared" si="481"/>
        <v>-747.468085246951+97.4078995080415i</v>
      </c>
      <c r="Z543" s="67">
        <f t="shared" si="495"/>
        <v>753.78832396722078</v>
      </c>
      <c r="AA543" s="67">
        <f t="shared" si="496"/>
        <v>3.01200579752763</v>
      </c>
      <c r="AB543" s="92" t="str">
        <f t="shared" si="497"/>
        <v>-0.00224688846373983+0.0155152625631249i</v>
      </c>
      <c r="AC543" s="37">
        <f t="shared" si="498"/>
        <v>-36.094678081260781</v>
      </c>
      <c r="AD543" s="60">
        <f t="shared" si="499"/>
        <v>98.240170861043083</v>
      </c>
      <c r="AE543" t="str">
        <f t="shared" si="500"/>
        <v>118.329284003155</v>
      </c>
      <c r="AF543" t="str">
        <f t="shared" si="482"/>
        <v>1+259599.976486137i</v>
      </c>
      <c r="AG543">
        <f t="shared" si="501"/>
        <v>259599.97648806305</v>
      </c>
      <c r="AH543">
        <f t="shared" si="502"/>
        <v>1.5707924747144244</v>
      </c>
      <c r="AI543" t="str">
        <f t="shared" si="483"/>
        <v>1+610.059944742421i</v>
      </c>
      <c r="AJ543">
        <f t="shared" si="503"/>
        <v>610.06076433346027</v>
      </c>
      <c r="AK543">
        <f t="shared" si="504"/>
        <v>1.569157145083363</v>
      </c>
      <c r="AL543" t="str">
        <f t="shared" si="484"/>
        <v>1-42.4900377402865i</v>
      </c>
      <c r="AM543">
        <f t="shared" si="505"/>
        <v>42.501803575506905</v>
      </c>
      <c r="AN543">
        <f t="shared" si="506"/>
        <v>-1.5472657421318916</v>
      </c>
      <c r="AO543" s="58" t="str">
        <f t="shared" si="507"/>
        <v>0.258751782062277-11.815821813418i</v>
      </c>
      <c r="AP543">
        <f t="shared" si="508"/>
        <v>21.451360844562544</v>
      </c>
      <c r="AQ543" s="60">
        <f t="shared" si="509"/>
        <v>-88.74549429530704</v>
      </c>
      <c r="AR543" t="str">
        <f t="shared" si="485"/>
        <v>-1.94444444444444</v>
      </c>
      <c r="AS543" t="str">
        <f t="shared" si="486"/>
        <v>1+625.702507428123i</v>
      </c>
      <c r="AT543">
        <f t="shared" si="510"/>
        <v>625.70330652941277</v>
      </c>
      <c r="AU543">
        <f t="shared" si="511"/>
        <v>1.5691981245554754</v>
      </c>
      <c r="AV543" t="str">
        <f t="shared" si="487"/>
        <v>1+625.702507428123i</v>
      </c>
      <c r="AW543">
        <f t="shared" si="512"/>
        <v>625.70330652941277</v>
      </c>
      <c r="AX543">
        <f t="shared" si="513"/>
        <v>1.5691981245554754</v>
      </c>
      <c r="AY543" t="str">
        <f t="shared" si="488"/>
        <v>1-3.40043319182718E-06i</v>
      </c>
      <c r="AZ543">
        <f t="shared" si="514"/>
        <v>1.0000000000057816</v>
      </c>
      <c r="BA543">
        <f t="shared" si="515"/>
        <v>-3.4004331918140739E-6</v>
      </c>
      <c r="BB543" s="58" t="str">
        <f t="shared" si="516"/>
        <v>-4.95602654686187E-06+0.00310761019068037i</v>
      </c>
      <c r="BC543">
        <f t="shared" si="517"/>
        <v>-50.151458215269919</v>
      </c>
      <c r="BD543" s="60">
        <f t="shared" si="518"/>
        <v>90.091375412656774</v>
      </c>
      <c r="BE543" s="58" t="str">
        <f t="shared" si="519"/>
        <v>-0.0000482042524133744-7.05934754038444E-06i</v>
      </c>
      <c r="BF543" s="37">
        <f t="shared" si="520"/>
        <v>-86.246136296530707</v>
      </c>
      <c r="BG543" s="60">
        <f t="shared" si="521"/>
        <v>-171.66845372630013</v>
      </c>
      <c r="BH543" s="58" t="str">
        <f t="shared" si="522"/>
        <v>0.0367176858979402+0.000862659201373727i</v>
      </c>
      <c r="BI543" s="37">
        <f t="shared" si="523"/>
        <v>-28.700097370707383</v>
      </c>
      <c r="BJ543" s="60">
        <f t="shared" si="524"/>
        <v>1.3458811173497403</v>
      </c>
      <c r="BK543">
        <f t="shared" si="525"/>
        <v>-86.246136296530707</v>
      </c>
      <c r="BL543" s="60">
        <f t="shared" si="526"/>
        <v>-171.66845372630013</v>
      </c>
      <c r="BN543">
        <f t="shared" si="527"/>
        <v>0</v>
      </c>
      <c r="BO543">
        <f t="shared" si="528"/>
        <v>0</v>
      </c>
    </row>
    <row r="544" spans="13:67" ht="14.25" x14ac:dyDescent="0.2">
      <c r="M544" s="66">
        <v>26</v>
      </c>
      <c r="N544" s="36">
        <f t="shared" si="476"/>
        <v>1819700.8586099846</v>
      </c>
      <c r="O544" s="91" t="str">
        <f t="shared" si="477"/>
        <v>99.7340425531915</v>
      </c>
      <c r="P544" s="67" t="str">
        <f t="shared" si="478"/>
        <v>1+332058.545918141i</v>
      </c>
      <c r="Q544" s="67">
        <f t="shared" si="489"/>
        <v>332058.5459196468</v>
      </c>
      <c r="R544" s="67">
        <f t="shared" si="490"/>
        <v>1.5707933152777642</v>
      </c>
      <c r="S544" s="67" t="str">
        <f t="shared" si="479"/>
        <v>1+624.270066326105i</v>
      </c>
      <c r="T544" s="67">
        <f t="shared" si="491"/>
        <v>624.27086726099878</v>
      </c>
      <c r="U544" s="67">
        <f t="shared" si="492"/>
        <v>1.5691944573499039</v>
      </c>
      <c r="V544" t="str">
        <f t="shared" si="480"/>
        <v>1-64.4850398183009i</v>
      </c>
      <c r="W544" s="67">
        <f t="shared" si="493"/>
        <v>64.492793088591327</v>
      </c>
      <c r="X544" s="67">
        <f t="shared" si="494"/>
        <v>-1.5552900969187726</v>
      </c>
      <c r="Y544" t="str">
        <f t="shared" si="481"/>
        <v>-782.742299367078+99.676820959367i</v>
      </c>
      <c r="Z544" s="67">
        <f t="shared" si="495"/>
        <v>789.06335351163409</v>
      </c>
      <c r="AA544" s="67">
        <f t="shared" si="496"/>
        <v>3.0149312884446391</v>
      </c>
      <c r="AB544" s="92" t="str">
        <f t="shared" si="497"/>
        <v>-0.00214713175915687+0.0151738644403629i</v>
      </c>
      <c r="AC544" s="37">
        <f t="shared" si="498"/>
        <v>-36.291977172776761</v>
      </c>
      <c r="AD544" s="60">
        <f t="shared" si="499"/>
        <v>98.053995366936888</v>
      </c>
      <c r="AE544" t="str">
        <f t="shared" si="500"/>
        <v>118.329284003155</v>
      </c>
      <c r="AF544" t="str">
        <f t="shared" si="482"/>
        <v>1+265646.836734513i</v>
      </c>
      <c r="AG544">
        <f t="shared" si="501"/>
        <v>265646.8367363952</v>
      </c>
      <c r="AH544">
        <f t="shared" si="502"/>
        <v>1.5707925623984811</v>
      </c>
      <c r="AI544" t="str">
        <f t="shared" si="483"/>
        <v>1+624.270066326105i</v>
      </c>
      <c r="AJ544">
        <f t="shared" si="503"/>
        <v>624.27086726099878</v>
      </c>
      <c r="AK544">
        <f t="shared" si="504"/>
        <v>1.5691944573499039</v>
      </c>
      <c r="AL544" t="str">
        <f t="shared" si="484"/>
        <v>1-43.47975786138i</v>
      </c>
      <c r="AM544">
        <f t="shared" si="505"/>
        <v>43.491255945123456</v>
      </c>
      <c r="AN544">
        <f t="shared" si="506"/>
        <v>-1.5478011726375165</v>
      </c>
      <c r="AO544" s="58" t="str">
        <f t="shared" si="507"/>
        <v>0.258751781983425-12.0910267127522i</v>
      </c>
      <c r="AP544">
        <f t="shared" si="508"/>
        <v>21.651252111445256</v>
      </c>
      <c r="AQ544" s="60">
        <f t="shared" si="509"/>
        <v>-88.774039392031426</v>
      </c>
      <c r="AR544" t="str">
        <f t="shared" si="485"/>
        <v>-1.94444444444444</v>
      </c>
      <c r="AS544" t="str">
        <f t="shared" si="486"/>
        <v>1+640.276991103695i</v>
      </c>
      <c r="AT544">
        <f t="shared" si="510"/>
        <v>640.27777201524111</v>
      </c>
      <c r="AU544">
        <f t="shared" si="511"/>
        <v>1.5692345040200701</v>
      </c>
      <c r="AV544" t="str">
        <f t="shared" si="487"/>
        <v>1+640.276991103695i</v>
      </c>
      <c r="AW544">
        <f t="shared" si="512"/>
        <v>640.27777201524111</v>
      </c>
      <c r="AX544">
        <f t="shared" si="513"/>
        <v>1.5692345040200701</v>
      </c>
      <c r="AY544" t="str">
        <f t="shared" si="488"/>
        <v>1-3.32302988242709E-06i</v>
      </c>
      <c r="AZ544">
        <f t="shared" si="514"/>
        <v>1.0000000000055214</v>
      </c>
      <c r="BA544">
        <f t="shared" si="515"/>
        <v>-3.3230298824148585E-6</v>
      </c>
      <c r="BB544" s="58" t="str">
        <f t="shared" si="516"/>
        <v>-4.73296915248114E-06+0.00303687269493084i</v>
      </c>
      <c r="BC544">
        <f t="shared" si="517"/>
        <v>-50.351457716006756</v>
      </c>
      <c r="BD544" s="60">
        <f t="shared" si="518"/>
        <v>90.089295457757501</v>
      </c>
      <c r="BE544" s="58" t="str">
        <f t="shared" si="519"/>
        <v>-0.0000460709322871377-6.59238324412249E-06i</v>
      </c>
      <c r="BF544" s="37">
        <f t="shared" si="520"/>
        <v>-86.643434888783531</v>
      </c>
      <c r="BG544" s="60">
        <f t="shared" si="521"/>
        <v>-171.85670917530558</v>
      </c>
      <c r="BH544" s="58" t="str">
        <f t="shared" si="522"/>
        <v>0.0367176842134343+0.000843022677923443i</v>
      </c>
      <c r="BI544" s="37">
        <f t="shared" si="523"/>
        <v>-28.700205604561496</v>
      </c>
      <c r="BJ544" s="60">
        <f t="shared" si="524"/>
        <v>1.3152560657260872</v>
      </c>
      <c r="BK544">
        <f t="shared" si="525"/>
        <v>-86.643434888783531</v>
      </c>
      <c r="BL544" s="60">
        <f t="shared" si="526"/>
        <v>-171.85670917530558</v>
      </c>
      <c r="BN544">
        <f t="shared" si="527"/>
        <v>0</v>
      </c>
      <c r="BO544">
        <f t="shared" si="528"/>
        <v>0</v>
      </c>
    </row>
    <row r="545" spans="13:67" ht="14.25" x14ac:dyDescent="0.2">
      <c r="M545" s="66">
        <v>27</v>
      </c>
      <c r="N545" s="36">
        <f t="shared" si="476"/>
        <v>1862087.1366628683</v>
      </c>
      <c r="O545" s="91" t="str">
        <f t="shared" si="477"/>
        <v>99.7340425531915</v>
      </c>
      <c r="P545" s="67" t="str">
        <f t="shared" si="478"/>
        <v>1+339793.18306497i</v>
      </c>
      <c r="Q545" s="67">
        <f t="shared" si="489"/>
        <v>339793.1830664415</v>
      </c>
      <c r="R545" s="67">
        <f t="shared" si="490"/>
        <v>1.5707933838282633</v>
      </c>
      <c r="S545" s="67" t="str">
        <f t="shared" si="479"/>
        <v>1+638.811184162144i</v>
      </c>
      <c r="T545" s="67">
        <f t="shared" si="491"/>
        <v>638.81196686555631</v>
      </c>
      <c r="U545" s="67">
        <f t="shared" si="492"/>
        <v>1.569230920289876</v>
      </c>
      <c r="V545" t="str">
        <f t="shared" si="480"/>
        <v>1-65.9870893530127i</v>
      </c>
      <c r="W545" s="67">
        <f t="shared" si="493"/>
        <v>65.994666157822806</v>
      </c>
      <c r="X545" s="67">
        <f t="shared" si="494"/>
        <v>-1.5556430071440357</v>
      </c>
      <c r="Y545" t="str">
        <f t="shared" si="481"/>
        <v>-819.67893598232+101.998592380543i</v>
      </c>
      <c r="Z545" s="67">
        <f t="shared" si="495"/>
        <v>826.00076933421815</v>
      </c>
      <c r="AA545" s="67">
        <f t="shared" si="496"/>
        <v>3.0177917900295887</v>
      </c>
      <c r="AB545" s="92" t="str">
        <f t="shared" si="497"/>
        <v>-0.00205174584124214+0.0148394652479745i</v>
      </c>
      <c r="AC545" s="37">
        <f t="shared" si="498"/>
        <v>-36.489396227368132</v>
      </c>
      <c r="AD545" s="60">
        <f t="shared" si="499"/>
        <v>97.871965677288955</v>
      </c>
      <c r="AE545" t="str">
        <f t="shared" si="500"/>
        <v>118.329284003155</v>
      </c>
      <c r="AF545" t="str">
        <f t="shared" si="482"/>
        <v>1+271834.546451976i</v>
      </c>
      <c r="AG545">
        <f t="shared" si="501"/>
        <v>271834.54645381542</v>
      </c>
      <c r="AH545">
        <f t="shared" si="502"/>
        <v>1.570792648086605</v>
      </c>
      <c r="AI545" t="str">
        <f t="shared" si="483"/>
        <v>1+638.811184162144i</v>
      </c>
      <c r="AJ545">
        <f t="shared" si="503"/>
        <v>638.81196686555631</v>
      </c>
      <c r="AK545">
        <f t="shared" si="504"/>
        <v>1.569230920289876</v>
      </c>
      <c r="AL545" t="str">
        <f t="shared" si="484"/>
        <v>1-44.4925315256142i</v>
      </c>
      <c r="AM545">
        <f t="shared" si="505"/>
        <v>44.503767947869015</v>
      </c>
      <c r="AN545">
        <f t="shared" si="506"/>
        <v>-1.548324427999656</v>
      </c>
      <c r="AO545" s="58" t="str">
        <f t="shared" si="507"/>
        <v>0.258751781908122-12.3726424344932i</v>
      </c>
      <c r="AP545">
        <f t="shared" si="508"/>
        <v>21.851148269607496</v>
      </c>
      <c r="AQ545" s="60">
        <f t="shared" si="509"/>
        <v>-88.801935452888429</v>
      </c>
      <c r="AR545" t="str">
        <f t="shared" si="485"/>
        <v>-1.94444444444444</v>
      </c>
      <c r="AS545" t="str">
        <f t="shared" si="486"/>
        <v>1+655.190958115018i</v>
      </c>
      <c r="AT545">
        <f t="shared" si="510"/>
        <v>655.19172125086811</v>
      </c>
      <c r="AU545">
        <f t="shared" si="511"/>
        <v>1.5692700553909453</v>
      </c>
      <c r="AV545" t="str">
        <f t="shared" si="487"/>
        <v>1+655.190958115018i</v>
      </c>
      <c r="AW545">
        <f t="shared" si="512"/>
        <v>655.19172125086811</v>
      </c>
      <c r="AX545">
        <f t="shared" si="513"/>
        <v>1.5692700553909453</v>
      </c>
      <c r="AY545" t="str">
        <f t="shared" si="488"/>
        <v>1-3.24738848745616E-06i</v>
      </c>
      <c r="AZ545">
        <f t="shared" si="514"/>
        <v>1.0000000000052727</v>
      </c>
      <c r="BA545">
        <f t="shared" si="515"/>
        <v>-3.2473884874447451E-6</v>
      </c>
      <c r="BB545" s="58" t="str">
        <f t="shared" si="516"/>
        <v>-4.51995094671527E-06+0.00296774535791464i</v>
      </c>
      <c r="BC545">
        <f t="shared" si="517"/>
        <v>-50.551457239214095</v>
      </c>
      <c r="BD545" s="60">
        <f t="shared" si="518"/>
        <v>90.087262848183144</v>
      </c>
      <c r="BE545" s="58" t="str">
        <f t="shared" si="519"/>
        <v>-0.0000440304803130544-6.15613285096336E-06i</v>
      </c>
      <c r="BF545" s="37">
        <f t="shared" si="520"/>
        <v>-87.040853466582234</v>
      </c>
      <c r="BG545" s="60">
        <f t="shared" si="521"/>
        <v>-172.0407714745279</v>
      </c>
      <c r="BH545" s="58" t="str">
        <f t="shared" si="522"/>
        <v>0.0367176826047433+0.000823833136495127i</v>
      </c>
      <c r="BI545" s="37">
        <f t="shared" si="523"/>
        <v>-28.700308969606599</v>
      </c>
      <c r="BJ545" s="60">
        <f t="shared" si="524"/>
        <v>1.2853273952947217</v>
      </c>
      <c r="BK545">
        <f t="shared" si="525"/>
        <v>-87.040853466582234</v>
      </c>
      <c r="BL545" s="60">
        <f t="shared" si="526"/>
        <v>-172.0407714745279</v>
      </c>
      <c r="BN545">
        <f t="shared" si="527"/>
        <v>0</v>
      </c>
      <c r="BO545">
        <f t="shared" si="528"/>
        <v>0</v>
      </c>
    </row>
    <row r="546" spans="13:67" ht="14.25" x14ac:dyDescent="0.2">
      <c r="M546" s="66">
        <v>28</v>
      </c>
      <c r="N546" s="36">
        <f t="shared" si="476"/>
        <v>1905460.7179632513</v>
      </c>
      <c r="O546" s="91" t="str">
        <f t="shared" si="477"/>
        <v>99.7340425531915</v>
      </c>
      <c r="P546" s="67" t="str">
        <f t="shared" si="478"/>
        <v>1+347707.983055158i</v>
      </c>
      <c r="Q546" s="67">
        <f t="shared" si="489"/>
        <v>347707.98305659596</v>
      </c>
      <c r="R546" s="67">
        <f t="shared" si="490"/>
        <v>1.5707934508183625</v>
      </c>
      <c r="S546" s="67" t="str">
        <f t="shared" si="479"/>
        <v>1+653.691008143698i</v>
      </c>
      <c r="T546" s="67">
        <f t="shared" si="491"/>
        <v>653.69177303062656</v>
      </c>
      <c r="U546" s="67">
        <f t="shared" si="492"/>
        <v>1.5692665532360244</v>
      </c>
      <c r="V546" t="str">
        <f t="shared" si="480"/>
        <v>1-67.5241261159424i</v>
      </c>
      <c r="W546" s="67">
        <f t="shared" si="493"/>
        <v>67.531530470748962</v>
      </c>
      <c r="X546" s="67">
        <f t="shared" si="494"/>
        <v>-1.5559878877994389</v>
      </c>
      <c r="Y546" t="str">
        <f t="shared" si="481"/>
        <v>-858.356342651139+104.374444805512i</v>
      </c>
      <c r="Z546" s="67">
        <f t="shared" si="495"/>
        <v>864.6789205814481</v>
      </c>
      <c r="AA546" s="67">
        <f t="shared" si="496"/>
        <v>3.020588676424016</v>
      </c>
      <c r="AB546" s="92" t="str">
        <f t="shared" si="497"/>
        <v>-0.0019605442676763+0.0145119557664462i</v>
      </c>
      <c r="AC546" s="37">
        <f t="shared" si="498"/>
        <v>-36.686929984648145</v>
      </c>
      <c r="AD546" s="60">
        <f t="shared" si="499"/>
        <v>97.693993464296383</v>
      </c>
      <c r="AE546" t="str">
        <f t="shared" si="500"/>
        <v>118.329284003155</v>
      </c>
      <c r="AF546" t="str">
        <f t="shared" si="482"/>
        <v>1+278166.386444127i</v>
      </c>
      <c r="AG546">
        <f t="shared" si="501"/>
        <v>278166.38644592452</v>
      </c>
      <c r="AH546">
        <f t="shared" si="502"/>
        <v>1.570792731824229</v>
      </c>
      <c r="AI546" t="str">
        <f t="shared" si="483"/>
        <v>1+653.691008143698i</v>
      </c>
      <c r="AJ546">
        <f t="shared" si="503"/>
        <v>653.69177303062656</v>
      </c>
      <c r="AK546">
        <f t="shared" si="504"/>
        <v>1.5692665532360244</v>
      </c>
      <c r="AL546" t="str">
        <f t="shared" si="484"/>
        <v>1-45.5288957189919i</v>
      </c>
      <c r="AM546">
        <f t="shared" si="505"/>
        <v>45.539876431440156</v>
      </c>
      <c r="AN546">
        <f t="shared" si="506"/>
        <v>-1.5488357845084497</v>
      </c>
      <c r="AO546" s="58" t="str">
        <f t="shared" si="507"/>
        <v>0.258751781836207-12.6608182950242i</v>
      </c>
      <c r="AP546">
        <f t="shared" si="508"/>
        <v>22.051049099126708</v>
      </c>
      <c r="AQ546" s="60">
        <f t="shared" si="509"/>
        <v>-88.829197203055386</v>
      </c>
      <c r="AR546" t="str">
        <f t="shared" si="485"/>
        <v>-1.94444444444444</v>
      </c>
      <c r="AS546" t="str">
        <f t="shared" si="486"/>
        <v>1+670.452316044816i</v>
      </c>
      <c r="AT546">
        <f t="shared" si="510"/>
        <v>670.45306180959301</v>
      </c>
      <c r="AU546">
        <f t="shared" si="511"/>
        <v>1.5693047975175485</v>
      </c>
      <c r="AV546" t="str">
        <f t="shared" si="487"/>
        <v>1+670.452316044816i</v>
      </c>
      <c r="AW546">
        <f t="shared" si="512"/>
        <v>670.45306180959301</v>
      </c>
      <c r="AX546">
        <f t="shared" si="513"/>
        <v>1.5693047975175485</v>
      </c>
      <c r="AY546" t="str">
        <f t="shared" si="488"/>
        <v>1-3.17346890084553E-06i</v>
      </c>
      <c r="AZ546">
        <f t="shared" si="514"/>
        <v>1.0000000000050355</v>
      </c>
      <c r="BA546">
        <f t="shared" si="515"/>
        <v>-3.1734689008348768E-6</v>
      </c>
      <c r="BB546" s="58" t="str">
        <f t="shared" si="516"/>
        <v>-4.31652009585865E-06+0.00290019152949629i</v>
      </c>
      <c r="BC546">
        <f t="shared" si="517"/>
        <v>-50.75145678388062</v>
      </c>
      <c r="BD546" s="60">
        <f t="shared" si="518"/>
        <v>90.085276506237818</v>
      </c>
      <c r="BE546" s="58" t="str">
        <f t="shared" si="519"/>
        <v>-0.0000420789884615419-5.74859502701339E-06i</v>
      </c>
      <c r="BF546" s="37">
        <f t="shared" si="520"/>
        <v>-87.438386768528758</v>
      </c>
      <c r="BG546" s="60">
        <f t="shared" si="521"/>
        <v>-172.22073002946581</v>
      </c>
      <c r="BH546" s="58" t="str">
        <f t="shared" si="522"/>
        <v>0.0367176810684547+0.000805080402523926i</v>
      </c>
      <c r="BI546" s="37">
        <f t="shared" si="523"/>
        <v>-28.700407684753912</v>
      </c>
      <c r="BJ546" s="60">
        <f t="shared" si="524"/>
        <v>1.2560793031824253</v>
      </c>
      <c r="BK546">
        <f t="shared" si="525"/>
        <v>-87.438386768528758</v>
      </c>
      <c r="BL546" s="60">
        <f t="shared" si="526"/>
        <v>-172.22073002946581</v>
      </c>
      <c r="BN546">
        <f t="shared" si="527"/>
        <v>0</v>
      </c>
      <c r="BO546">
        <f t="shared" si="528"/>
        <v>0</v>
      </c>
    </row>
    <row r="547" spans="13:67" ht="14.25" x14ac:dyDescent="0.2">
      <c r="M547" s="66">
        <v>29</v>
      </c>
      <c r="N547" s="36">
        <f t="shared" si="476"/>
        <v>1949844.5997580495</v>
      </c>
      <c r="O547" s="91" t="str">
        <f t="shared" si="477"/>
        <v>99.7340425531915</v>
      </c>
      <c r="P547" s="67" t="str">
        <f t="shared" si="478"/>
        <v>1+355807.142420417i</v>
      </c>
      <c r="Q547" s="67">
        <f t="shared" si="489"/>
        <v>355807.14242182224</v>
      </c>
      <c r="R547" s="67">
        <f t="shared" si="490"/>
        <v>1.5707935162835809</v>
      </c>
      <c r="S547" s="67" t="str">
        <f t="shared" si="479"/>
        <v>1+668.917427750383i</v>
      </c>
      <c r="T547" s="67">
        <f t="shared" si="491"/>
        <v>668.91817522637916</v>
      </c>
      <c r="U547" s="67">
        <f t="shared" si="492"/>
        <v>1.5693013750810465</v>
      </c>
      <c r="V547" t="str">
        <f t="shared" si="480"/>
        <v>1-69.0969650643253i</v>
      </c>
      <c r="W547" s="67">
        <f t="shared" si="493"/>
        <v>69.104200893292955</v>
      </c>
      <c r="X547" s="67">
        <f t="shared" si="494"/>
        <v>-1.5563249214169139</v>
      </c>
      <c r="Y547" t="str">
        <f t="shared" si="481"/>
        <v>-898.856559338603+106.805637942674i</v>
      </c>
      <c r="Z547" s="67">
        <f t="shared" si="495"/>
        <v>905.17984873856585</v>
      </c>
      <c r="AA547" s="67">
        <f t="shared" si="496"/>
        <v>3.0233232973191715</v>
      </c>
      <c r="AB547" s="92" t="str">
        <f t="shared" si="497"/>
        <v>-0.00187334810813843+0.0141912260730287i</v>
      </c>
      <c r="AC547" s="37">
        <f t="shared" si="498"/>
        <v>-36.884573408992949</v>
      </c>
      <c r="AD547" s="60">
        <f t="shared" si="499"/>
        <v>97.519992018474255</v>
      </c>
      <c r="AE547" t="str">
        <f t="shared" si="500"/>
        <v>118.329284003155</v>
      </c>
      <c r="AF547" t="str">
        <f t="shared" si="482"/>
        <v>1+284645.713936333i</v>
      </c>
      <c r="AG547">
        <f t="shared" si="501"/>
        <v>284645.71393808961</v>
      </c>
      <c r="AH547">
        <f t="shared" si="502"/>
        <v>1.5707928136557519</v>
      </c>
      <c r="AI547" t="str">
        <f t="shared" si="483"/>
        <v>1+668.917427750383i</v>
      </c>
      <c r="AJ547">
        <f t="shared" si="503"/>
        <v>668.91817522637916</v>
      </c>
      <c r="AK547">
        <f t="shared" si="504"/>
        <v>1.5693013750810465</v>
      </c>
      <c r="AL547" t="str">
        <f t="shared" si="484"/>
        <v>1-46.5893999355253i</v>
      </c>
      <c r="AM547">
        <f t="shared" si="505"/>
        <v>46.600130754669827</v>
      </c>
      <c r="AN547">
        <f t="shared" si="506"/>
        <v>-1.5493355122215757</v>
      </c>
      <c r="AO547" s="58" t="str">
        <f t="shared" si="507"/>
        <v>0.258751781767529-12.9557070890009i</v>
      </c>
      <c r="AP547">
        <f t="shared" si="508"/>
        <v>22.250954389959091</v>
      </c>
      <c r="AQ547" s="60">
        <f t="shared" si="509"/>
        <v>-88.855839035769506</v>
      </c>
      <c r="AR547" t="str">
        <f t="shared" si="485"/>
        <v>-1.94444444444444</v>
      </c>
      <c r="AS547" t="str">
        <f t="shared" si="486"/>
        <v>1+686.069156667058i</v>
      </c>
      <c r="AT547">
        <f t="shared" si="510"/>
        <v>686.06988545617435</v>
      </c>
      <c r="AU547">
        <f t="shared" si="511"/>
        <v>1.5693387488202795</v>
      </c>
      <c r="AV547" t="str">
        <f t="shared" si="487"/>
        <v>1+686.069156667058i</v>
      </c>
      <c r="AW547">
        <f t="shared" si="512"/>
        <v>686.06988545617435</v>
      </c>
      <c r="AX547">
        <f t="shared" si="513"/>
        <v>1.5693387488202795</v>
      </c>
      <c r="AY547" t="str">
        <f t="shared" si="488"/>
        <v>1-3.10123192945199E-06i</v>
      </c>
      <c r="AZ547">
        <f t="shared" si="514"/>
        <v>1.0000000000048088</v>
      </c>
      <c r="BA547">
        <f t="shared" si="515"/>
        <v>-3.101231929442048E-6</v>
      </c>
      <c r="BB547" s="58" t="str">
        <f t="shared" si="516"/>
        <v>-4.12224510170192E-06+0.0028341753936957i</v>
      </c>
      <c r="BC547">
        <f t="shared" si="517"/>
        <v>-50.951456349040413</v>
      </c>
      <c r="BD547" s="60">
        <f t="shared" si="518"/>
        <v>90.083335378755933</v>
      </c>
      <c r="BE547" s="58" t="str">
        <f t="shared" si="519"/>
        <v>-0.0000402127013424882-5.36789682407902E-06i</v>
      </c>
      <c r="BF547" s="37">
        <f t="shared" si="520"/>
        <v>-87.836029758033348</v>
      </c>
      <c r="BG547" s="60">
        <f t="shared" si="521"/>
        <v>-172.3966726027698</v>
      </c>
      <c r="BH547" s="58" t="str">
        <f t="shared" si="522"/>
        <v>0.0367176796013104+0.000786754533047169i</v>
      </c>
      <c r="BI547" s="37">
        <f t="shared" si="523"/>
        <v>-28.700501959081308</v>
      </c>
      <c r="BJ547" s="60">
        <f t="shared" si="524"/>
        <v>1.2274963429864387</v>
      </c>
      <c r="BK547">
        <f t="shared" si="525"/>
        <v>-87.836029758033348</v>
      </c>
      <c r="BL547" s="60">
        <f t="shared" si="526"/>
        <v>-172.3966726027698</v>
      </c>
      <c r="BN547">
        <f t="shared" si="527"/>
        <v>0</v>
      </c>
      <c r="BO547">
        <f t="shared" si="528"/>
        <v>0</v>
      </c>
    </row>
    <row r="548" spans="13:67" ht="14.25" x14ac:dyDescent="0.2">
      <c r="M548" s="66">
        <v>30</v>
      </c>
      <c r="N548" s="36">
        <f t="shared" si="476"/>
        <v>1995262.31496888</v>
      </c>
      <c r="O548" s="91" t="str">
        <f t="shared" si="477"/>
        <v>99.7340425531915</v>
      </c>
      <c r="P548" s="67" t="str">
        <f t="shared" si="478"/>
        <v>1+364094.955442253i</v>
      </c>
      <c r="Q548" s="67">
        <f t="shared" si="489"/>
        <v>364094.95544362621</v>
      </c>
      <c r="R548" s="67">
        <f t="shared" si="490"/>
        <v>1.570793580258629</v>
      </c>
      <c r="S548" s="67" t="str">
        <f t="shared" si="479"/>
        <v>1+684.498516231436i</v>
      </c>
      <c r="T548" s="67">
        <f t="shared" si="491"/>
        <v>684.49924669281961</v>
      </c>
      <c r="U548" s="67">
        <f t="shared" si="492"/>
        <v>1.5693354042876078</v>
      </c>
      <c r="V548" t="str">
        <f t="shared" si="480"/>
        <v>1-70.7064401381923i</v>
      </c>
      <c r="W548" s="67">
        <f t="shared" si="493"/>
        <v>70.713511276246024</v>
      </c>
      <c r="X548" s="67">
        <f t="shared" si="494"/>
        <v>-1.5566542863896966</v>
      </c>
      <c r="Y548" t="str">
        <f t="shared" si="481"/>
        <v>-941.265492434313+109.293460842814i</v>
      </c>
      <c r="Z548" s="67">
        <f t="shared" si="495"/>
        <v>947.5894616502494</v>
      </c>
      <c r="AA548" s="67">
        <f t="shared" si="496"/>
        <v>3.0259969780772873</v>
      </c>
      <c r="AB548" s="92" t="str">
        <f t="shared" si="497"/>
        <v>-0.00178998568043878+0.0138771657543082i</v>
      </c>
      <c r="AC548" s="37">
        <f t="shared" si="498"/>
        <v>-37.082321680453219</v>
      </c>
      <c r="AD548" s="60">
        <f t="shared" si="499"/>
        <v>97.349876236824898</v>
      </c>
      <c r="AE548" t="str">
        <f t="shared" si="500"/>
        <v>118.329284003155</v>
      </c>
      <c r="AF548" t="str">
        <f t="shared" si="482"/>
        <v>1+291275.964353803i</v>
      </c>
      <c r="AG548">
        <f t="shared" si="501"/>
        <v>291275.96435551957</v>
      </c>
      <c r="AH548">
        <f t="shared" si="502"/>
        <v>1.5707928936245621</v>
      </c>
      <c r="AI548" t="str">
        <f t="shared" si="483"/>
        <v>1+684.498516231436i</v>
      </c>
      <c r="AJ548">
        <f t="shared" si="503"/>
        <v>684.49924669281961</v>
      </c>
      <c r="AK548">
        <f t="shared" si="504"/>
        <v>1.5693354042876078</v>
      </c>
      <c r="AL548" t="str">
        <f t="shared" si="484"/>
        <v>1-47.6746064685886i</v>
      </c>
      <c r="AM548">
        <f t="shared" si="505"/>
        <v>47.685093078810169</v>
      </c>
      <c r="AN548">
        <f t="shared" si="506"/>
        <v>-1.5498238751023428</v>
      </c>
      <c r="AO548" s="58" t="str">
        <f t="shared" si="507"/>
        <v>0.258751781701942-13.2574651703652i</v>
      </c>
      <c r="AP548">
        <f t="shared" si="508"/>
        <v>22.450863941496607</v>
      </c>
      <c r="AQ548" s="60">
        <f t="shared" si="509"/>
        <v>-88.881875019667476</v>
      </c>
      <c r="AR548" t="str">
        <f t="shared" si="485"/>
        <v>-1.94444444444444</v>
      </c>
      <c r="AS548" t="str">
        <f t="shared" si="486"/>
        <v>1+702.049760237368i</v>
      </c>
      <c r="AT548">
        <f t="shared" si="510"/>
        <v>702.05047243723573</v>
      </c>
      <c r="AU548">
        <f t="shared" si="511"/>
        <v>1.5693719273002551</v>
      </c>
      <c r="AV548" t="str">
        <f t="shared" si="487"/>
        <v>1+702.049760237368i</v>
      </c>
      <c r="AW548">
        <f t="shared" si="512"/>
        <v>702.05047243723573</v>
      </c>
      <c r="AX548">
        <f t="shared" si="513"/>
        <v>1.5693719273002551</v>
      </c>
      <c r="AY548" t="str">
        <f t="shared" si="488"/>
        <v>1-3.03063927227709E-06i</v>
      </c>
      <c r="AZ548">
        <f t="shared" si="514"/>
        <v>1.0000000000045923</v>
      </c>
      <c r="BA548">
        <f t="shared" si="515"/>
        <v>-3.0306392722678115E-6</v>
      </c>
      <c r="BB548" s="58" t="str">
        <f t="shared" si="516"/>
        <v>-3.93671388631588E-06+0.00276966194970728i</v>
      </c>
      <c r="BC548">
        <f t="shared" si="517"/>
        <v>-51.151455933771203</v>
      </c>
      <c r="BD548" s="60">
        <f t="shared" si="518"/>
        <v>90.081438436543991</v>
      </c>
      <c r="BE548" s="58" t="str">
        <f t="shared" si="519"/>
        <v>-0.0000384280112980039-5.01228566075988E-06i</v>
      </c>
      <c r="BF548" s="37">
        <f t="shared" si="520"/>
        <v>-88.233777614224408</v>
      </c>
      <c r="BG548" s="60">
        <f t="shared" si="521"/>
        <v>-172.56868532663111</v>
      </c>
      <c r="BH548" s="58" t="str">
        <f t="shared" si="522"/>
        <v>0.0367176782001979+0.000768845811432359i</v>
      </c>
      <c r="BI548" s="37">
        <f t="shared" si="523"/>
        <v>-28.700591992274589</v>
      </c>
      <c r="BJ548" s="60">
        <f t="shared" si="524"/>
        <v>1.1995634168765268</v>
      </c>
      <c r="BK548">
        <f t="shared" si="525"/>
        <v>-88.233777614224408</v>
      </c>
      <c r="BL548" s="60">
        <f t="shared" si="526"/>
        <v>-172.56868532663111</v>
      </c>
      <c r="BN548">
        <f t="shared" si="527"/>
        <v>0</v>
      </c>
      <c r="BO548">
        <f t="shared" si="528"/>
        <v>0</v>
      </c>
    </row>
    <row r="549" spans="13:67" ht="14.25" x14ac:dyDescent="0.2">
      <c r="M549" s="66">
        <v>31</v>
      </c>
      <c r="N549" s="36">
        <f t="shared" si="476"/>
        <v>2041737.9446695296</v>
      </c>
      <c r="O549" s="91" t="str">
        <f t="shared" si="477"/>
        <v>99.7340425531915</v>
      </c>
      <c r="P549" s="67" t="str">
        <f t="shared" si="478"/>
        <v>1+372575.81642883i</v>
      </c>
      <c r="Q549" s="67">
        <f t="shared" si="489"/>
        <v>372575.81643017201</v>
      </c>
      <c r="R549" s="67">
        <f t="shared" si="490"/>
        <v>1.5707936427774272</v>
      </c>
      <c r="S549" s="67" t="str">
        <f t="shared" si="479"/>
        <v>1+700.4425348862i</v>
      </c>
      <c r="T549" s="67">
        <f t="shared" si="491"/>
        <v>700.44324872026959</v>
      </c>
      <c r="U549" s="67">
        <f t="shared" si="492"/>
        <v>1.5693686588981284</v>
      </c>
      <c r="V549" t="str">
        <f t="shared" si="480"/>
        <v>1-72.3534047025305i</v>
      </c>
      <c r="W549" s="67">
        <f t="shared" si="493"/>
        <v>72.360314897381173</v>
      </c>
      <c r="X549" s="67">
        <f t="shared" si="494"/>
        <v>-1.5569761570654514</v>
      </c>
      <c r="Y549" t="str">
        <f t="shared" si="481"/>
        <v>-985.673096971202+111.839232582562i</v>
      </c>
      <c r="Z549" s="67">
        <f t="shared" si="495"/>
        <v>991.9977157420559</v>
      </c>
      <c r="AA549" s="67">
        <f t="shared" si="496"/>
        <v>3.0286110198769478</v>
      </c>
      <c r="AB549" s="92" t="str">
        <f t="shared" si="497"/>
        <v>-0.00171029229239088+0.0135696641025278i</v>
      </c>
      <c r="AC549" s="37">
        <f t="shared" si="498"/>
        <v>-37.280170185986442</v>
      </c>
      <c r="AD549" s="60">
        <f t="shared" si="499"/>
        <v>97.183562609732675</v>
      </c>
      <c r="AE549" t="str">
        <f t="shared" si="500"/>
        <v>118.329284003155</v>
      </c>
      <c r="AF549" t="str">
        <f t="shared" si="482"/>
        <v>1+298060.653143064i</v>
      </c>
      <c r="AG549">
        <f t="shared" si="501"/>
        <v>298060.65314474149</v>
      </c>
      <c r="AH549">
        <f t="shared" si="502"/>
        <v>1.5707929717730598</v>
      </c>
      <c r="AI549" t="str">
        <f t="shared" si="483"/>
        <v>1+700.4425348862i</v>
      </c>
      <c r="AJ549">
        <f t="shared" si="503"/>
        <v>700.44324872026959</v>
      </c>
      <c r="AK549">
        <f t="shared" si="504"/>
        <v>1.5693686588981284</v>
      </c>
      <c r="AL549" t="str">
        <f t="shared" si="484"/>
        <v>1-48.7850907090492i</v>
      </c>
      <c r="AM549">
        <f t="shared" si="505"/>
        <v>48.795338665595487</v>
      </c>
      <c r="AN549">
        <f t="shared" si="506"/>
        <v>-1.5503011311548904</v>
      </c>
      <c r="AO549" s="58" t="str">
        <f t="shared" si="507"/>
        <v>0.258751781639307-13.5662525352462i</v>
      </c>
      <c r="AP549">
        <f t="shared" si="508"/>
        <v>22.650777562143979</v>
      </c>
      <c r="AQ549" s="60">
        <f t="shared" si="509"/>
        <v>-88.907318905972446</v>
      </c>
      <c r="AR549" t="str">
        <f t="shared" si="485"/>
        <v>-1.94444444444444</v>
      </c>
      <c r="AS549" t="str">
        <f t="shared" si="486"/>
        <v>1+718.40259988328i</v>
      </c>
      <c r="AT549">
        <f t="shared" si="510"/>
        <v>718.40329587151541</v>
      </c>
      <c r="AU549">
        <f t="shared" si="511"/>
        <v>1.5694043505488524</v>
      </c>
      <c r="AV549" t="str">
        <f t="shared" si="487"/>
        <v>1+718.40259988328i</v>
      </c>
      <c r="AW549">
        <f t="shared" si="512"/>
        <v>718.40329587151541</v>
      </c>
      <c r="AX549">
        <f t="shared" si="513"/>
        <v>1.5694043505488524</v>
      </c>
      <c r="AY549" t="str">
        <f t="shared" si="488"/>
        <v>1-2.96165350015961E-06i</v>
      </c>
      <c r="AZ549">
        <f t="shared" si="514"/>
        <v>1.0000000000043858</v>
      </c>
      <c r="BA549">
        <f t="shared" si="515"/>
        <v>-2.9616535001509508E-6</v>
      </c>
      <c r="BB549" s="58" t="str">
        <f t="shared" si="516"/>
        <v>-3.75953291802523E-06+0.00270661699335086i</v>
      </c>
      <c r="BC549">
        <f t="shared" si="517"/>
        <v>-51.351455537192138</v>
      </c>
      <c r="BD549" s="60">
        <f t="shared" si="518"/>
        <v>90.079584673834859</v>
      </c>
      <c r="BE549" s="58" t="str">
        <f t="shared" si="519"/>
        <v>-0.0000367214535537922-4.68012178106215E-06i</v>
      </c>
      <c r="BF549" s="37">
        <f t="shared" si="520"/>
        <v>-88.631625723178587</v>
      </c>
      <c r="BG549" s="60">
        <f t="shared" si="521"/>
        <v>-172.73685271643248</v>
      </c>
      <c r="BH549" s="58" t="str">
        <f t="shared" si="522"/>
        <v>0.0367176768621459+0.000751344742225261i</v>
      </c>
      <c r="BI549" s="37">
        <f t="shared" si="523"/>
        <v>-28.700677975048151</v>
      </c>
      <c r="BJ549" s="60">
        <f t="shared" si="524"/>
        <v>1.1722657678624206</v>
      </c>
      <c r="BK549">
        <f t="shared" si="525"/>
        <v>-88.631625723178587</v>
      </c>
      <c r="BL549" s="60">
        <f t="shared" si="526"/>
        <v>-172.73685271643248</v>
      </c>
      <c r="BN549">
        <f t="shared" si="527"/>
        <v>0</v>
      </c>
      <c r="BO549">
        <f t="shared" si="528"/>
        <v>0</v>
      </c>
    </row>
    <row r="550" spans="13:67" ht="14.25" x14ac:dyDescent="0.2">
      <c r="M550" s="66">
        <v>32</v>
      </c>
      <c r="N550" s="36">
        <f t="shared" si="476"/>
        <v>2089296.1308540432</v>
      </c>
      <c r="O550" s="91" t="str">
        <f t="shared" si="477"/>
        <v>99.7340425531915</v>
      </c>
      <c r="P550" s="67" t="str">
        <f t="shared" si="478"/>
        <v>1+381254.222044904i</v>
      </c>
      <c r="Q550" s="67">
        <f t="shared" si="489"/>
        <v>381254.22204621549</v>
      </c>
      <c r="R550" s="67">
        <f t="shared" si="490"/>
        <v>1.5707937038731237</v>
      </c>
      <c r="S550" s="67" t="str">
        <f t="shared" si="479"/>
        <v>1+716.75793744442i</v>
      </c>
      <c r="T550" s="67">
        <f t="shared" si="491"/>
        <v>716.75863502965854</v>
      </c>
      <c r="U550" s="67">
        <f t="shared" si="492"/>
        <v>1.5694011565443486</v>
      </c>
      <c r="V550" t="str">
        <f t="shared" si="480"/>
        <v>1-74.0387319997533i</v>
      </c>
      <c r="W550" s="67">
        <f t="shared" si="493"/>
        <v>74.045484913877715</v>
      </c>
      <c r="X550" s="67">
        <f t="shared" si="494"/>
        <v>-1.5572907038373502</v>
      </c>
      <c r="Y550" t="str">
        <f t="shared" si="481"/>
        <v>-1032.17356743235+114.444302963794i</v>
      </c>
      <c r="Z550" s="67">
        <f t="shared" si="495"/>
        <v>1038.4988068297876</v>
      </c>
      <c r="AA550" s="67">
        <f t="shared" si="496"/>
        <v>3.0311666998804911</v>
      </c>
      <c r="AB550" s="92" t="str">
        <f t="shared" si="497"/>
        <v>-0.00163410998965443+0.0132686102966095i</v>
      </c>
      <c r="AC550" s="37">
        <f t="shared" si="498"/>
        <v>-37.478114511005899</v>
      </c>
      <c r="AD550" s="60">
        <f t="shared" si="499"/>
        <v>97.020969206701338</v>
      </c>
      <c r="AE550" t="str">
        <f t="shared" si="500"/>
        <v>118.329284003155</v>
      </c>
      <c r="AF550" t="str">
        <f t="shared" si="482"/>
        <v>1+305003.377635924i</v>
      </c>
      <c r="AG550">
        <f t="shared" si="501"/>
        <v>305003.37763756333</v>
      </c>
      <c r="AH550">
        <f t="shared" si="502"/>
        <v>1.5707930481426806</v>
      </c>
      <c r="AI550" t="str">
        <f t="shared" si="483"/>
        <v>1+716.75793744442i</v>
      </c>
      <c r="AJ550">
        <f t="shared" si="503"/>
        <v>716.75863502965854</v>
      </c>
      <c r="AK550">
        <f t="shared" si="504"/>
        <v>1.5694011565443486</v>
      </c>
      <c r="AL550" t="str">
        <f t="shared" si="484"/>
        <v>1-49.9214414503513i</v>
      </c>
      <c r="AM550">
        <f t="shared" si="505"/>
        <v>49.931456182259033</v>
      </c>
      <c r="AN550">
        <f t="shared" si="506"/>
        <v>-1.5507675325565469</v>
      </c>
      <c r="AO550" s="58" t="str">
        <f t="shared" si="507"/>
        <v>0.258751781579491-13.882232906792i</v>
      </c>
      <c r="AP550">
        <f t="shared" si="508"/>
        <v>22.850695068914234</v>
      </c>
      <c r="AQ550" s="60">
        <f t="shared" si="509"/>
        <v>-88.932184135530761</v>
      </c>
      <c r="AR550" t="str">
        <f t="shared" si="485"/>
        <v>-1.94444444444444</v>
      </c>
      <c r="AS550" t="str">
        <f t="shared" si="486"/>
        <v>1+735.136346096839i</v>
      </c>
      <c r="AT550">
        <f t="shared" si="510"/>
        <v>735.13702624246275</v>
      </c>
      <c r="AU550">
        <f t="shared" si="511"/>
        <v>1.5694360357570338</v>
      </c>
      <c r="AV550" t="str">
        <f t="shared" si="487"/>
        <v>1+735.136346096839i</v>
      </c>
      <c r="AW550">
        <f t="shared" si="512"/>
        <v>735.13702624246275</v>
      </c>
      <c r="AX550">
        <f t="shared" si="513"/>
        <v>1.5694360357570338</v>
      </c>
      <c r="AY550" t="str">
        <f t="shared" si="488"/>
        <v>1-2.89423803593001E-06i</v>
      </c>
      <c r="AZ550">
        <f t="shared" si="514"/>
        <v>1.0000000000041882</v>
      </c>
      <c r="BA550">
        <f t="shared" si="515"/>
        <v>-2.8942380359219291E-6</v>
      </c>
      <c r="BB550" s="58" t="str">
        <f t="shared" si="516"/>
        <v>-3.59032637671636E-06+0.00264500709894423i</v>
      </c>
      <c r="BC550">
        <f t="shared" si="517"/>
        <v>-51.551455158462133</v>
      </c>
      <c r="BD550" s="60">
        <f t="shared" si="518"/>
        <v>90.077773107754638</v>
      </c>
      <c r="BE550" s="58" t="str">
        <f t="shared" si="519"/>
        <v>-0.0000350897014394583-4.36987116462194E-06i</v>
      </c>
      <c r="BF550" s="37">
        <f t="shared" si="520"/>
        <v>-89.029569669468032</v>
      </c>
      <c r="BG550" s="60">
        <f t="shared" si="521"/>
        <v>-172.90125768554401</v>
      </c>
      <c r="BH550" s="58" t="str">
        <f t="shared" si="522"/>
        <v>0.0367176755843156+0.000734242046115196i</v>
      </c>
      <c r="BI550" s="37">
        <f t="shared" si="523"/>
        <v>-28.700760089547895</v>
      </c>
      <c r="BJ550" s="60">
        <f t="shared" si="524"/>
        <v>1.1455889722238821</v>
      </c>
      <c r="BK550">
        <f t="shared" si="525"/>
        <v>-89.029569669468032</v>
      </c>
      <c r="BL550" s="60">
        <f t="shared" si="526"/>
        <v>-172.90125768554401</v>
      </c>
      <c r="BN550">
        <f t="shared" si="527"/>
        <v>0</v>
      </c>
      <c r="BO550">
        <f t="shared" si="528"/>
        <v>0</v>
      </c>
    </row>
    <row r="551" spans="13:67" ht="14.25" x14ac:dyDescent="0.2">
      <c r="M551" s="66">
        <v>33</v>
      </c>
      <c r="N551" s="36">
        <f t="shared" si="476"/>
        <v>2137962.0895022359</v>
      </c>
      <c r="O551" s="91" t="str">
        <f t="shared" si="477"/>
        <v>99.7340425531915</v>
      </c>
      <c r="P551" s="67" t="str">
        <f t="shared" si="478"/>
        <v>1+390134.773696i</v>
      </c>
      <c r="Q551" s="67">
        <f t="shared" si="489"/>
        <v>390134.77369728155</v>
      </c>
      <c r="R551" s="67">
        <f t="shared" si="490"/>
        <v>1.5707937635781126</v>
      </c>
      <c r="S551" s="67" t="str">
        <f t="shared" si="479"/>
        <v>1+733.453374548481i</v>
      </c>
      <c r="T551" s="67">
        <f t="shared" si="491"/>
        <v>733.45405625475576</v>
      </c>
      <c r="U551" s="67">
        <f t="shared" si="492"/>
        <v>1.5694329144566761</v>
      </c>
      <c r="V551" t="str">
        <f t="shared" si="480"/>
        <v>1-75.7633156127002i</v>
      </c>
      <c r="W551" s="67">
        <f t="shared" si="493"/>
        <v>75.769914825276274</v>
      </c>
      <c r="X551" s="67">
        <f t="shared" si="494"/>
        <v>-1.5575980932331426</v>
      </c>
      <c r="Y551" t="str">
        <f t="shared" si="481"/>
        <v>-1080.86553755+117.110053229306i</v>
      </c>
      <c r="Z551" s="67">
        <f t="shared" si="495"/>
        <v>1087.1913699209636</v>
      </c>
      <c r="AA551" s="67">
        <f t="shared" si="496"/>
        <v>3.0336652714214174</v>
      </c>
      <c r="AB551" s="92" t="str">
        <f t="shared" si="497"/>
        <v>-0.00156128730973514+0.012973893568795i</v>
      </c>
      <c r="AC551" s="37">
        <f t="shared" si="498"/>
        <v>-37.676150431235584</v>
      </c>
      <c r="AD551" s="60">
        <f t="shared" si="499"/>
        <v>96.862015661047451</v>
      </c>
      <c r="AE551" t="str">
        <f t="shared" si="500"/>
        <v>118.329284003155</v>
      </c>
      <c r="AF551" t="str">
        <f t="shared" si="482"/>
        <v>1+312107.8189568i</v>
      </c>
      <c r="AG551">
        <f t="shared" si="501"/>
        <v>312107.81895840197</v>
      </c>
      <c r="AH551">
        <f t="shared" si="502"/>
        <v>1.5707931227739165</v>
      </c>
      <c r="AI551" t="str">
        <f t="shared" si="483"/>
        <v>1+733.453374548481i</v>
      </c>
      <c r="AJ551">
        <f t="shared" si="503"/>
        <v>733.45405625475576</v>
      </c>
      <c r="AK551">
        <f t="shared" si="504"/>
        <v>1.5694329144566761</v>
      </c>
      <c r="AL551" t="str">
        <f t="shared" si="484"/>
        <v>1-51.0842612006983i</v>
      </c>
      <c r="AM551">
        <f t="shared" si="505"/>
        <v>51.094048013649981</v>
      </c>
      <c r="AN551">
        <f t="shared" si="506"/>
        <v>-1.551223325787392</v>
      </c>
      <c r="AO551" s="58" t="str">
        <f t="shared" si="507"/>
        <v>0.258751781522368-14.205573821978i</v>
      </c>
      <c r="AP551">
        <f t="shared" si="508"/>
        <v>23.050616287042693</v>
      </c>
      <c r="AQ551" s="60">
        <f t="shared" si="509"/>
        <v>-88.956483845701143</v>
      </c>
      <c r="AR551" t="str">
        <f t="shared" si="485"/>
        <v>-1.94444444444444</v>
      </c>
      <c r="AS551" t="str">
        <f t="shared" si="486"/>
        <v>1+752.259871331773i</v>
      </c>
      <c r="AT551">
        <f t="shared" si="510"/>
        <v>752.26053599540603</v>
      </c>
      <c r="AU551">
        <f t="shared" si="511"/>
        <v>1.5694669997244619</v>
      </c>
      <c r="AV551" t="str">
        <f t="shared" si="487"/>
        <v>1+752.259871331773i</v>
      </c>
      <c r="AW551">
        <f t="shared" si="512"/>
        <v>752.26053599540603</v>
      </c>
      <c r="AX551">
        <f t="shared" si="513"/>
        <v>1.5694669997244619</v>
      </c>
      <c r="AY551" t="str">
        <f t="shared" si="488"/>
        <v>1-2.82835713501686E-06i</v>
      </c>
      <c r="AZ551">
        <f t="shared" si="514"/>
        <v>1.0000000000039999</v>
      </c>
      <c r="BA551">
        <f t="shared" si="515"/>
        <v>-2.8283571350093181E-6</v>
      </c>
      <c r="BB551" s="58" t="str">
        <f t="shared" si="516"/>
        <v>-3.42873535671086E-06+0.0025847996015881i</v>
      </c>
      <c r="BC551">
        <f t="shared" si="517"/>
        <v>-51.751454796777665</v>
      </c>
      <c r="BD551" s="60">
        <f t="shared" si="518"/>
        <v>90.076002777801605</v>
      </c>
      <c r="BE551" s="58" t="str">
        <f t="shared" si="519"/>
        <v>-0.0000335295616866669-4.08009886376148E-06i</v>
      </c>
      <c r="BF551" s="37">
        <f t="shared" si="520"/>
        <v>-89.427605228013235</v>
      </c>
      <c r="BG551" s="60">
        <f t="shared" si="521"/>
        <v>-173.06198156115096</v>
      </c>
      <c r="BH551" s="58" t="str">
        <f t="shared" si="522"/>
        <v>0.0367176743639972+0.00071752865501501i</v>
      </c>
      <c r="BI551" s="37">
        <f t="shared" si="523"/>
        <v>-28.700838509734965</v>
      </c>
      <c r="BJ551" s="60">
        <f t="shared" si="524"/>
        <v>1.1195189321004744</v>
      </c>
      <c r="BK551">
        <f t="shared" si="525"/>
        <v>-89.427605228013235</v>
      </c>
      <c r="BL551" s="60">
        <f t="shared" si="526"/>
        <v>-173.06198156115096</v>
      </c>
      <c r="BN551">
        <f t="shared" si="527"/>
        <v>0</v>
      </c>
      <c r="BO551">
        <f t="shared" si="528"/>
        <v>0</v>
      </c>
    </row>
    <row r="552" spans="13:67" ht="14.25" x14ac:dyDescent="0.2">
      <c r="M552" s="66">
        <v>34</v>
      </c>
      <c r="N552" s="36">
        <f t="shared" si="476"/>
        <v>2187761.6239495561</v>
      </c>
      <c r="O552" s="91" t="str">
        <f t="shared" si="477"/>
        <v>99.7340425531915</v>
      </c>
      <c r="P552" s="67" t="str">
        <f t="shared" si="478"/>
        <v>1+399222.179968155i</v>
      </c>
      <c r="Q552" s="67">
        <f t="shared" si="489"/>
        <v>399222.17996940739</v>
      </c>
      <c r="R552" s="67">
        <f t="shared" si="490"/>
        <v>1.5707938219240498</v>
      </c>
      <c r="S552" s="67" t="str">
        <f t="shared" si="479"/>
        <v>1+750.537698340132i</v>
      </c>
      <c r="T552" s="67">
        <f t="shared" si="491"/>
        <v>750.53836452889141</v>
      </c>
      <c r="U552" s="67">
        <f t="shared" si="492"/>
        <v>1.5694639494733198</v>
      </c>
      <c r="V552" t="str">
        <f t="shared" si="480"/>
        <v>1-77.5280699384312i</v>
      </c>
      <c r="W552" s="67">
        <f t="shared" si="493"/>
        <v>77.534518947229429</v>
      </c>
      <c r="X552" s="67">
        <f t="shared" si="494"/>
        <v>-1.5578984880022639</v>
      </c>
      <c r="Y552" t="str">
        <f t="shared" si="481"/>
        <v>-1131.85228952104+119.837896795175i</v>
      </c>
      <c r="Z552" s="67">
        <f t="shared" si="495"/>
        <v>1138.1786884326691</v>
      </c>
      <c r="AA552" s="67">
        <f t="shared" si="496"/>
        <v>3.0361079642099611</v>
      </c>
      <c r="AB552" s="92" t="str">
        <f t="shared" si="497"/>
        <v>-0.00149167904228271+0.0126854033577711i</v>
      </c>
      <c r="AC552" s="37">
        <f t="shared" si="498"/>
        <v>-37.874273904866207</v>
      </c>
      <c r="AD552" s="60">
        <f t="shared" si="499"/>
        <v>96.706623153653268</v>
      </c>
      <c r="AE552" t="str">
        <f t="shared" si="500"/>
        <v>118.329284003155</v>
      </c>
      <c r="AF552" t="str">
        <f t="shared" si="482"/>
        <v>1+319377.743974524i</v>
      </c>
      <c r="AG552">
        <f t="shared" si="501"/>
        <v>319377.74397608958</v>
      </c>
      <c r="AH552">
        <f t="shared" si="502"/>
        <v>1.5707931957063381</v>
      </c>
      <c r="AI552" t="str">
        <f t="shared" si="483"/>
        <v>1+750.537698340132i</v>
      </c>
      <c r="AJ552">
        <f t="shared" si="503"/>
        <v>750.53836452889141</v>
      </c>
      <c r="AK552">
        <f t="shared" si="504"/>
        <v>1.5694639494733198</v>
      </c>
      <c r="AL552" t="str">
        <f t="shared" si="484"/>
        <v>1-52.2741665025142i</v>
      </c>
      <c r="AM552">
        <f t="shared" si="505"/>
        <v>52.283730581631005</v>
      </c>
      <c r="AN552">
        <f t="shared" si="506"/>
        <v>-1.5516687517570762</v>
      </c>
      <c r="AO552" s="58" t="str">
        <f t="shared" si="507"/>
        <v>0.258751781467815-14.5364467204374i</v>
      </c>
      <c r="AP552">
        <f t="shared" si="508"/>
        <v>23.250541049618167</v>
      </c>
      <c r="AQ552" s="60">
        <f t="shared" si="509"/>
        <v>-88.980230877098705</v>
      </c>
      <c r="AR552" t="str">
        <f t="shared" si="485"/>
        <v>-1.94444444444444</v>
      </c>
      <c r="AS552" t="str">
        <f t="shared" si="486"/>
        <v>1+769.782254707825i</v>
      </c>
      <c r="AT552">
        <f t="shared" si="510"/>
        <v>769.78290424187969</v>
      </c>
      <c r="AU552">
        <f t="shared" si="511"/>
        <v>1.569497258868404</v>
      </c>
      <c r="AV552" t="str">
        <f t="shared" si="487"/>
        <v>1+769.782254707825i</v>
      </c>
      <c r="AW552">
        <f t="shared" si="512"/>
        <v>769.78290424187969</v>
      </c>
      <c r="AX552">
        <f t="shared" si="513"/>
        <v>1.569497258868404</v>
      </c>
      <c r="AY552" t="str">
        <f t="shared" si="488"/>
        <v>1-2.76397586649441E-06i</v>
      </c>
      <c r="AZ552">
        <f t="shared" si="514"/>
        <v>1.0000000000038198</v>
      </c>
      <c r="BA552">
        <f t="shared" si="515"/>
        <v>-2.7639758664873718E-6</v>
      </c>
      <c r="BB552" s="58" t="str">
        <f t="shared" si="516"/>
        <v>-3.27441710551273E-06+0.00252596257985365i</v>
      </c>
      <c r="BC552">
        <f t="shared" si="517"/>
        <v>-51.95145445137166</v>
      </c>
      <c r="BD552" s="60">
        <f t="shared" si="518"/>
        <v>90.074272745336998</v>
      </c>
      <c r="BE552" s="58" t="str">
        <f t="shared" si="519"/>
        <v>-0.0000320379698127077-3.80946274370307E-06i</v>
      </c>
      <c r="BF552" s="37">
        <f t="shared" si="520"/>
        <v>-89.82572835623786</v>
      </c>
      <c r="BG552" s="60">
        <f t="shared" si="521"/>
        <v>-173.21910410100972</v>
      </c>
      <c r="BH552" s="58" t="str">
        <f t="shared" si="522"/>
        <v>0.0367176731986019+0.000701195707252945i</v>
      </c>
      <c r="BI552" s="37">
        <f t="shared" si="523"/>
        <v>-28.700913401753489</v>
      </c>
      <c r="BJ552" s="60">
        <f t="shared" si="524"/>
        <v>1.0940418682383042</v>
      </c>
      <c r="BK552">
        <f t="shared" si="525"/>
        <v>-89.82572835623786</v>
      </c>
      <c r="BL552" s="60">
        <f t="shared" si="526"/>
        <v>-173.21910410100972</v>
      </c>
      <c r="BN552">
        <f t="shared" si="527"/>
        <v>0</v>
      </c>
      <c r="BO552">
        <f t="shared" si="528"/>
        <v>0</v>
      </c>
    </row>
    <row r="553" spans="13:67" ht="14.25" x14ac:dyDescent="0.2">
      <c r="M553" s="66">
        <v>35</v>
      </c>
      <c r="N553" s="36">
        <f t="shared" si="476"/>
        <v>2238721.1385683389</v>
      </c>
      <c r="O553" s="91" t="str">
        <f t="shared" si="477"/>
        <v>99.7340425531915</v>
      </c>
      <c r="P553" s="67" t="str">
        <f t="shared" si="478"/>
        <v>1+408521.259124458i</v>
      </c>
      <c r="Q553" s="67">
        <f t="shared" si="489"/>
        <v>408521.25912568189</v>
      </c>
      <c r="R553" s="67">
        <f t="shared" si="490"/>
        <v>1.5707938789418714</v>
      </c>
      <c r="S553" s="67" t="str">
        <f t="shared" si="479"/>
        <v>1+768.01996715398i</v>
      </c>
      <c r="T553" s="67">
        <f t="shared" si="491"/>
        <v>768.02061817844492</v>
      </c>
      <c r="U553" s="67">
        <f t="shared" si="492"/>
        <v>1.5694942780492172</v>
      </c>
      <c r="V553" t="str">
        <f t="shared" si="480"/>
        <v>1-79.3339306730485i</v>
      </c>
      <c r="W553" s="67">
        <f t="shared" si="493"/>
        <v>79.34023289628071</v>
      </c>
      <c r="X553" s="67">
        <f t="shared" si="494"/>
        <v>-1.5581920472010187</v>
      </c>
      <c r="Y553" t="str">
        <f t="shared" si="481"/>
        <v>-1185.2419730823+122.629280000166i</v>
      </c>
      <c r="Z553" s="67">
        <f t="shared" si="495"/>
        <v>1191.5689132691332</v>
      </c>
      <c r="AA553" s="67">
        <f t="shared" si="496"/>
        <v>3.0384959845550683</v>
      </c>
      <c r="AB553" s="92" t="str">
        <f t="shared" si="497"/>
        <v>-0.00142514599579121+0.0124030294491126i</v>
      </c>
      <c r="AC553" s="37">
        <f t="shared" si="498"/>
        <v>-38.072481065001611</v>
      </c>
      <c r="AD553" s="60">
        <f t="shared" si="499"/>
        <v>96.554714395878364</v>
      </c>
      <c r="AE553" t="str">
        <f t="shared" si="500"/>
        <v>118.329284003155</v>
      </c>
      <c r="AF553" t="str">
        <f t="shared" si="482"/>
        <v>1+326817.007299566i</v>
      </c>
      <c r="AG553">
        <f t="shared" si="501"/>
        <v>326817.00730109587</v>
      </c>
      <c r="AH553">
        <f t="shared" si="502"/>
        <v>1.5707932669786151</v>
      </c>
      <c r="AI553" t="str">
        <f t="shared" si="483"/>
        <v>1+768.01996715398i</v>
      </c>
      <c r="AJ553">
        <f t="shared" si="503"/>
        <v>768.02061817844492</v>
      </c>
      <c r="AK553">
        <f t="shared" si="504"/>
        <v>1.5694942780492172</v>
      </c>
      <c r="AL553" t="str">
        <f t="shared" si="484"/>
        <v>1-53.4917882593399i</v>
      </c>
      <c r="AM553">
        <f t="shared" si="505"/>
        <v>53.501134671911899</v>
      </c>
      <c r="AN553">
        <f t="shared" si="506"/>
        <v>-1.5521040459289437</v>
      </c>
      <c r="AO553" s="58" t="str">
        <f t="shared" si="507"/>
        <v>0.258751781415718-14.8750270353606i</v>
      </c>
      <c r="AP553">
        <f>20*LOG(IMABS(AO553))</f>
        <v>23.450469197230483</v>
      </c>
      <c r="AQ553" s="60">
        <f t="shared" si="509"/>
        <v>-89.003437780196478</v>
      </c>
      <c r="AR553" t="str">
        <f t="shared" si="485"/>
        <v>-1.94444444444444</v>
      </c>
      <c r="AS553" t="str">
        <f t="shared" si="486"/>
        <v>1+787.712786824593i</v>
      </c>
      <c r="AT553">
        <f t="shared" si="510"/>
        <v>787.71342157345941</v>
      </c>
      <c r="AU553">
        <f t="shared" si="511"/>
        <v>1.5695268292324371</v>
      </c>
      <c r="AV553" t="str">
        <f t="shared" si="487"/>
        <v>1+787.712786824593i</v>
      </c>
      <c r="AW553">
        <f t="shared" si="512"/>
        <v>787.71342157345941</v>
      </c>
      <c r="AX553">
        <f t="shared" si="513"/>
        <v>1.5695268292324371</v>
      </c>
      <c r="AY553" t="str">
        <f t="shared" si="488"/>
        <v>1-2.70106009456194E-06i</v>
      </c>
      <c r="AZ553">
        <f t="shared" si="514"/>
        <v>1.0000000000036477</v>
      </c>
      <c r="BA553">
        <f t="shared" si="515"/>
        <v>-2.7010600945553713E-6</v>
      </c>
      <c r="BB553" s="58" t="str">
        <f t="shared" si="516"/>
        <v>-3.12704429681627E-06+0.00246846483886408i</v>
      </c>
      <c r="BC553">
        <f t="shared" si="517"/>
        <v>-52.151454121511449</v>
      </c>
      <c r="BD553" s="60">
        <f t="shared" si="518"/>
        <v>90.072582093087433</v>
      </c>
      <c r="BE553" s="58" t="str">
        <f t="shared" si="519"/>
        <v>-0.0000306119855958719-3.55670760336063E-06i</v>
      </c>
      <c r="BF553" s="37">
        <f t="shared" si="520"/>
        <v>-90.22393518651306</v>
      </c>
      <c r="BG553" s="60">
        <f t="shared" si="521"/>
        <v>-173.37270351103422</v>
      </c>
      <c r="BH553" s="58" t="str">
        <f t="shared" si="522"/>
        <v>0.0367176720856579+0.000685234542874056i</v>
      </c>
      <c r="BI553" s="37">
        <f t="shared" si="523"/>
        <v>-28.700984924280956</v>
      </c>
      <c r="BJ553" s="60">
        <f t="shared" si="524"/>
        <v>1.0691443128909668</v>
      </c>
      <c r="BK553">
        <f t="shared" si="525"/>
        <v>-90.22393518651306</v>
      </c>
      <c r="BL553" s="60">
        <f t="shared" si="526"/>
        <v>-173.37270351103422</v>
      </c>
      <c r="BN553">
        <f t="shared" si="527"/>
        <v>0</v>
      </c>
      <c r="BO553">
        <f t="shared" si="528"/>
        <v>0</v>
      </c>
    </row>
    <row r="554" spans="13:67" ht="14.25" x14ac:dyDescent="0.2">
      <c r="M554" s="66">
        <v>36</v>
      </c>
      <c r="N554" s="36">
        <f t="shared" si="476"/>
        <v>2290867.6527677765</v>
      </c>
      <c r="O554" s="91" t="str">
        <f t="shared" si="477"/>
        <v>99.7340425531915</v>
      </c>
      <c r="P554" s="67" t="str">
        <f t="shared" si="478"/>
        <v>1+418036.94165977i</v>
      </c>
      <c r="Q554" s="67">
        <f t="shared" si="489"/>
        <v>418036.94166096608</v>
      </c>
      <c r="R554" s="67">
        <f t="shared" si="490"/>
        <v>1.5707939346618089</v>
      </c>
      <c r="S554" s="67" t="str">
        <f t="shared" si="479"/>
        <v>1+785.909450320368i</v>
      </c>
      <c r="T554" s="67">
        <f t="shared" si="491"/>
        <v>785.91008652571895</v>
      </c>
      <c r="U554" s="67">
        <f t="shared" si="492"/>
        <v>1.5695239162647572</v>
      </c>
      <c r="V554" t="str">
        <f t="shared" si="480"/>
        <v>1-81.1818553078182i</v>
      </c>
      <c r="W554" s="67">
        <f t="shared" si="493"/>
        <v>81.188014085944545</v>
      </c>
      <c r="X554" s="67">
        <f t="shared" si="494"/>
        <v>-1.5584789262758796</v>
      </c>
      <c r="Y554" t="str">
        <f t="shared" si="481"/>
        <v>-1241.14783491072+125.485682872605i</v>
      </c>
      <c r="Z554" s="67">
        <f t="shared" si="495"/>
        <v>1247.4752922240871</v>
      </c>
      <c r="AA554" s="67">
        <f t="shared" si="496"/>
        <v>3.0408305156011561</v>
      </c>
      <c r="AB554" s="92" t="str">
        <f t="shared" si="497"/>
        <v>-0.00136155477077011+0.0121266621038277i</v>
      </c>
      <c r="AC554" s="37">
        <f t="shared" si="498"/>
        <v>-38.270768212389719</v>
      </c>
      <c r="AD554" s="60">
        <f t="shared" si="499"/>
        <v>96.406213611720588</v>
      </c>
      <c r="AE554" t="str">
        <f t="shared" si="500"/>
        <v>118.329284003155</v>
      </c>
      <c r="AF554" t="str">
        <f t="shared" si="482"/>
        <v>1+334429.553327816i</v>
      </c>
      <c r="AG554">
        <f t="shared" si="501"/>
        <v>334429.55332931114</v>
      </c>
      <c r="AH554">
        <f t="shared" si="502"/>
        <v>1.5707933366285372</v>
      </c>
      <c r="AI554" t="str">
        <f t="shared" si="483"/>
        <v>1+785.909450320368i</v>
      </c>
      <c r="AJ554">
        <f t="shared" si="503"/>
        <v>785.91008652571895</v>
      </c>
      <c r="AK554">
        <f t="shared" si="504"/>
        <v>1.5695239162647572</v>
      </c>
      <c r="AL554" t="str">
        <f t="shared" si="484"/>
        <v>1-54.7377720703488i</v>
      </c>
      <c r="AM554">
        <f t="shared" si="505"/>
        <v>54.746905768504</v>
      </c>
      <c r="AN554">
        <f t="shared" si="506"/>
        <v>-1.5525294384415083</v>
      </c>
      <c r="AO554" s="58" t="str">
        <f t="shared" si="507"/>
        <v>0.258751781365965-15.2214942865123i</v>
      </c>
      <c r="AP554">
        <f t="shared" si="508"/>
        <v>23.650400577633945</v>
      </c>
      <c r="AQ554" s="60">
        <f t="shared" si="509"/>
        <v>-89.026116821786715</v>
      </c>
      <c r="AR554" t="str">
        <f t="shared" si="485"/>
        <v>-1.94444444444444</v>
      </c>
      <c r="AS554" t="str">
        <f t="shared" si="486"/>
        <v>1+806.060974687554i</v>
      </c>
      <c r="AT554">
        <f t="shared" si="510"/>
        <v>806.06159498778345</v>
      </c>
      <c r="AU554">
        <f t="shared" si="511"/>
        <v>1.5695557264949529</v>
      </c>
      <c r="AV554" t="str">
        <f t="shared" si="487"/>
        <v>1+806.060974687554i</v>
      </c>
      <c r="AW554">
        <f t="shared" si="512"/>
        <v>806.06159498778345</v>
      </c>
      <c r="AX554">
        <f t="shared" si="513"/>
        <v>1.5695557264949529</v>
      </c>
      <c r="AY554" t="str">
        <f t="shared" si="488"/>
        <v>1-2.63957646044433E-06i</v>
      </c>
      <c r="AZ554">
        <f t="shared" si="514"/>
        <v>1.0000000000034837</v>
      </c>
      <c r="BA554">
        <f t="shared" si="515"/>
        <v>-2.6395764604381996E-6</v>
      </c>
      <c r="BB554" s="58" t="str">
        <f t="shared" si="516"/>
        <v>-2.98630433623169E-06+0.00241227589376078i</v>
      </c>
      <c r="BC554">
        <f t="shared" si="517"/>
        <v>-52.351453806497446</v>
      </c>
      <c r="BD554" s="60">
        <f t="shared" si="518"/>
        <v>90.070929924658543</v>
      </c>
      <c r="BE554" s="58" t="str">
        <f t="shared" si="519"/>
        <v>-0.00002924878864793-0.0000033206596551884i</v>
      </c>
      <c r="BF554" s="37">
        <f t="shared" si="520"/>
        <v>-90.622222018887157</v>
      </c>
      <c r="BG554" s="60">
        <f t="shared" si="521"/>
        <v>-173.52285646362085</v>
      </c>
      <c r="BH554" s="58" t="str">
        <f t="shared" si="522"/>
        <v>0.0367176710228044+0.000669636699048515i</v>
      </c>
      <c r="BI554" s="37">
        <f t="shared" si="523"/>
        <v>-28.70105322886349</v>
      </c>
      <c r="BJ554" s="60">
        <f t="shared" si="524"/>
        <v>1.0448131028718362</v>
      </c>
      <c r="BK554">
        <f t="shared" si="525"/>
        <v>-90.622222018887157</v>
      </c>
      <c r="BL554" s="60">
        <f t="shared" si="526"/>
        <v>-173.52285646362085</v>
      </c>
      <c r="BN554">
        <f t="shared" si="527"/>
        <v>0</v>
      </c>
      <c r="BO554">
        <f t="shared" si="528"/>
        <v>0</v>
      </c>
    </row>
    <row r="555" spans="13:67" ht="14.25" x14ac:dyDescent="0.2">
      <c r="M555" s="66">
        <v>37</v>
      </c>
      <c r="N555" s="36">
        <f t="shared" si="476"/>
        <v>2344228.8153199251</v>
      </c>
      <c r="O555" s="91" t="str">
        <f t="shared" si="477"/>
        <v>99.7340425531915</v>
      </c>
      <c r="P555" s="67" t="str">
        <f t="shared" si="478"/>
        <v>1+427774.272914922i</v>
      </c>
      <c r="Q555" s="67">
        <f t="shared" si="489"/>
        <v>427774.27291609085</v>
      </c>
      <c r="R555" s="67">
        <f t="shared" si="490"/>
        <v>1.570793989113406</v>
      </c>
      <c r="S555" s="67" t="str">
        <f t="shared" si="479"/>
        <v>1+804.215633080053i</v>
      </c>
      <c r="T555" s="67">
        <f t="shared" si="491"/>
        <v>804.21625480361331</v>
      </c>
      <c r="U555" s="67">
        <f t="shared" si="492"/>
        <v>1.5695528798343057</v>
      </c>
      <c r="V555" t="str">
        <f t="shared" si="480"/>
        <v>1-83.0728236368406i</v>
      </c>
      <c r="W555" s="67">
        <f t="shared" si="493"/>
        <v>83.078842234335582</v>
      </c>
      <c r="X555" s="67">
        <f t="shared" si="494"/>
        <v>-1.5587592771449403</v>
      </c>
      <c r="Y555" t="str">
        <f t="shared" si="481"/>
        <v>-1299.68845883463+128.408619915102i</v>
      </c>
      <c r="Z555" s="67">
        <f t="shared" si="495"/>
        <v>1306.0164101941584</v>
      </c>
      <c r="AA555" s="67">
        <f t="shared" si="496"/>
        <v>3.0431127175781136</v>
      </c>
      <c r="AB555" s="92" t="str">
        <f t="shared" si="497"/>
        <v>-0.00130077753942416+0.0118561921757556i</v>
      </c>
      <c r="AC555" s="37">
        <f t="shared" si="498"/>
        <v>-38.46913180842914</v>
      </c>
      <c r="AD555" s="60">
        <f t="shared" si="499"/>
        <v>96.261046519312572</v>
      </c>
      <c r="AE555" t="str">
        <f t="shared" si="500"/>
        <v>118.329284003155</v>
      </c>
      <c r="AF555" t="str">
        <f t="shared" si="482"/>
        <v>1+342219.418331937i</v>
      </c>
      <c r="AG555">
        <f t="shared" si="501"/>
        <v>342219.41833339806</v>
      </c>
      <c r="AH555">
        <f t="shared" si="502"/>
        <v>1.5707934046930332</v>
      </c>
      <c r="AI555" t="str">
        <f t="shared" si="483"/>
        <v>1+804.215633080053i</v>
      </c>
      <c r="AJ555">
        <f t="shared" si="503"/>
        <v>804.21625480361331</v>
      </c>
      <c r="AK555">
        <f t="shared" si="504"/>
        <v>1.5695528798343057</v>
      </c>
      <c r="AL555" t="str">
        <f t="shared" si="484"/>
        <v>1-56.0127785726491i</v>
      </c>
      <c r="AM555">
        <f t="shared" si="505"/>
        <v>56.021704395962622</v>
      </c>
      <c r="AN555">
        <f t="shared" si="506"/>
        <v>-1.5529451542273289</v>
      </c>
      <c r="AO555" s="58" t="str">
        <f t="shared" si="507"/>
        <v>0.258751781318452-15.576032175415i</v>
      </c>
      <c r="AP555">
        <f t="shared" si="508"/>
        <v>23.850335045425592</v>
      </c>
      <c r="AQ555" s="60">
        <f t="shared" si="509"/>
        <v>-89.04827999130481</v>
      </c>
      <c r="AR555" t="str">
        <f t="shared" si="485"/>
        <v>-1.94444444444444</v>
      </c>
      <c r="AS555" t="str">
        <f t="shared" si="486"/>
        <v>1+824.836546748769i</v>
      </c>
      <c r="AT555">
        <f t="shared" si="510"/>
        <v>824.83715292925194</v>
      </c>
      <c r="AU555">
        <f t="shared" si="511"/>
        <v>1.5695839659774691</v>
      </c>
      <c r="AV555" t="str">
        <f t="shared" si="487"/>
        <v>1+824.836546748769i</v>
      </c>
      <c r="AW555">
        <f t="shared" si="512"/>
        <v>824.83715292925194</v>
      </c>
      <c r="AX555">
        <f t="shared" si="513"/>
        <v>1.5695839659774691</v>
      </c>
      <c r="AY555" t="str">
        <f t="shared" si="488"/>
        <v>1-2.57949236470499E-06i</v>
      </c>
      <c r="AZ555">
        <f t="shared" si="514"/>
        <v>1.0000000000033269</v>
      </c>
      <c r="BA555">
        <f t="shared" si="515"/>
        <v>-2.5794923646992688E-6</v>
      </c>
      <c r="BB555" s="58" t="str">
        <f t="shared" si="516"/>
        <v>-2.85189869825704E-06+0.00235736595354568i</v>
      </c>
      <c r="BC555">
        <f t="shared" si="517"/>
        <v>-52.551453505661371</v>
      </c>
      <c r="BD555" s="60">
        <f t="shared" si="518"/>
        <v>90.069315364059833</v>
      </c>
      <c r="BE555" s="58" t="str">
        <f t="shared" si="519"/>
        <v>-0.0000279456740880495-3.10022134360776E-06i</v>
      </c>
      <c r="BF555" s="37">
        <f t="shared" si="520"/>
        <v>-91.020585314090511</v>
      </c>
      <c r="BG555" s="60">
        <f t="shared" si="521"/>
        <v>-173.66963811662757</v>
      </c>
      <c r="BH555" s="58" t="str">
        <f t="shared" si="522"/>
        <v>0.0367176700077871+0.000654393905584492i</v>
      </c>
      <c r="BI555" s="37">
        <f t="shared" si="523"/>
        <v>-28.701118460235762</v>
      </c>
      <c r="BJ555" s="60">
        <f t="shared" si="524"/>
        <v>1.0210353727550276</v>
      </c>
      <c r="BK555">
        <f t="shared" si="525"/>
        <v>-91.020585314090511</v>
      </c>
      <c r="BL555" s="60">
        <f t="shared" si="526"/>
        <v>-173.66963811662757</v>
      </c>
      <c r="BN555">
        <f t="shared" si="527"/>
        <v>0</v>
      </c>
      <c r="BO555">
        <f t="shared" si="528"/>
        <v>0</v>
      </c>
    </row>
    <row r="556" spans="13:67" ht="14.25" x14ac:dyDescent="0.2">
      <c r="M556" s="66">
        <v>38</v>
      </c>
      <c r="N556" s="36">
        <f t="shared" si="476"/>
        <v>2398832.9190194933</v>
      </c>
      <c r="O556" s="91" t="str">
        <f t="shared" si="477"/>
        <v>99.7340425531915</v>
      </c>
      <c r="P556" s="67" t="str">
        <f t="shared" si="478"/>
        <v>1+437738.415751833i</v>
      </c>
      <c r="Q556" s="67">
        <f t="shared" si="489"/>
        <v>437738.41575297527</v>
      </c>
      <c r="R556" s="67">
        <f t="shared" si="490"/>
        <v>1.5707940423255331</v>
      </c>
      <c r="S556" s="67" t="str">
        <f t="shared" si="479"/>
        <v>1+822.948221613446i</v>
      </c>
      <c r="T556" s="67">
        <f t="shared" si="491"/>
        <v>822.94882918486087</v>
      </c>
      <c r="U556" s="67">
        <f t="shared" si="492"/>
        <v>1.569581184114536</v>
      </c>
      <c r="V556" t="str">
        <f t="shared" si="480"/>
        <v>1-85.0078382765537i</v>
      </c>
      <c r="W556" s="67">
        <f t="shared" si="493"/>
        <v>85.013719883632362</v>
      </c>
      <c r="X556" s="67">
        <f t="shared" si="494"/>
        <v>-1.5590332482775644</v>
      </c>
      <c r="Y556" t="str">
        <f t="shared" si="481"/>
        <v>-1360.98801736606+131.399640907566i</v>
      </c>
      <c r="Z556" s="67">
        <f t="shared" si="495"/>
        <v>1367.3164407132083</v>
      </c>
      <c r="AA556" s="67">
        <f t="shared" si="496"/>
        <v>3.0453437280631315</v>
      </c>
      <c r="AB556" s="92" t="str">
        <f t="shared" si="497"/>
        <v>-0.00124269183185242+0.0115915112185267i</v>
      </c>
      <c r="AC556" s="37">
        <f t="shared" si="498"/>
        <v>-38.667568468443193</v>
      </c>
      <c r="AD556" s="60">
        <f t="shared" si="499"/>
        <v>96.119140311832879</v>
      </c>
      <c r="AE556" t="str">
        <f t="shared" si="500"/>
        <v>118.329284003155</v>
      </c>
      <c r="AF556" t="str">
        <f t="shared" si="482"/>
        <v>1+350190.732601466i</v>
      </c>
      <c r="AG556">
        <f t="shared" si="501"/>
        <v>350190.73260289378</v>
      </c>
      <c r="AH556">
        <f t="shared" si="502"/>
        <v>1.5707934712081923</v>
      </c>
      <c r="AI556" t="str">
        <f t="shared" si="483"/>
        <v>1+822.948221613446i</v>
      </c>
      <c r="AJ556">
        <f t="shared" si="503"/>
        <v>822.94882918486087</v>
      </c>
      <c r="AK556">
        <f t="shared" si="504"/>
        <v>1.569581184114536</v>
      </c>
      <c r="AL556" t="str">
        <f t="shared" si="484"/>
        <v>1-57.3174837915653i</v>
      </c>
      <c r="AM556">
        <f t="shared" si="505"/>
        <v>57.326206469609964</v>
      </c>
      <c r="AN556">
        <f t="shared" si="506"/>
        <v>-1.5533514131293378</v>
      </c>
      <c r="AO556" s="58" t="str">
        <f t="shared" si="507"/>
        <v>0.258751781273077-15.9388286827502i</v>
      </c>
      <c r="AP556">
        <f t="shared" si="508"/>
        <v>24.050272461738217</v>
      </c>
      <c r="AQ556" s="60">
        <f t="shared" si="509"/>
        <v>-89.069939007018078</v>
      </c>
      <c r="AR556" t="str">
        <f t="shared" si="485"/>
        <v>-1.94444444444444</v>
      </c>
      <c r="AS556" t="str">
        <f t="shared" si="486"/>
        <v>1+844.04945806507i</v>
      </c>
      <c r="AT556">
        <f t="shared" si="510"/>
        <v>844.05005044721031</v>
      </c>
      <c r="AU556">
        <f t="shared" si="511"/>
        <v>1.5696115626527529</v>
      </c>
      <c r="AV556" t="str">
        <f t="shared" si="487"/>
        <v>1+844.04945806507i</v>
      </c>
      <c r="AW556">
        <f t="shared" si="512"/>
        <v>844.05005044721031</v>
      </c>
      <c r="AX556">
        <f t="shared" si="513"/>
        <v>1.5696115626527529</v>
      </c>
      <c r="AY556" t="str">
        <f t="shared" si="488"/>
        <v>1-2.52077594996104E-06i</v>
      </c>
      <c r="AZ556">
        <f t="shared" si="514"/>
        <v>1.000000000003177</v>
      </c>
      <c r="BA556">
        <f t="shared" si="515"/>
        <v>-2.5207759499557009E-6</v>
      </c>
      <c r="BB556" s="58" t="str">
        <f t="shared" si="516"/>
        <v>-2.72354229308937E-06+0.00230370590529097i</v>
      </c>
      <c r="BC556">
        <f t="shared" si="517"/>
        <v>-52.751453218365072</v>
      </c>
      <c r="BD556" s="60">
        <f t="shared" si="518"/>
        <v>90.067737555240242</v>
      </c>
      <c r="BE556" s="58" t="str">
        <f t="shared" si="519"/>
        <v>-0.0000267000483216052-2.89436648253975E-06i</v>
      </c>
      <c r="BF556" s="37">
        <f t="shared" si="520"/>
        <v>-91.419021686808236</v>
      </c>
      <c r="BG556" s="60">
        <f t="shared" si="521"/>
        <v>-173.81312213292688</v>
      </c>
      <c r="BH556" s="58" t="str">
        <f t="shared" si="522"/>
        <v>0.036717669038453+0.000639498080543121i</v>
      </c>
      <c r="BI556" s="37">
        <f t="shared" si="523"/>
        <v>-28.701180756626851</v>
      </c>
      <c r="BJ556" s="60">
        <f t="shared" si="524"/>
        <v>0.99779854822216496</v>
      </c>
      <c r="BK556">
        <f t="shared" si="525"/>
        <v>-91.419021686808236</v>
      </c>
      <c r="BL556" s="60">
        <f t="shared" si="526"/>
        <v>-173.81312213292688</v>
      </c>
      <c r="BN556">
        <f t="shared" si="527"/>
        <v>0</v>
      </c>
      <c r="BO556">
        <f t="shared" si="528"/>
        <v>0</v>
      </c>
    </row>
    <row r="557" spans="13:67" ht="14.25" x14ac:dyDescent="0.2">
      <c r="M557" s="66">
        <v>39</v>
      </c>
      <c r="N557" s="36">
        <f t="shared" si="476"/>
        <v>2454708.915685033</v>
      </c>
      <c r="O557" s="91" t="str">
        <f t="shared" si="477"/>
        <v>99.7340425531915</v>
      </c>
      <c r="P557" s="67" t="str">
        <f t="shared" si="478"/>
        <v>1+447934.653290929i</v>
      </c>
      <c r="Q557" s="67">
        <f t="shared" si="489"/>
        <v>447934.65329204523</v>
      </c>
      <c r="R557" s="67">
        <f t="shared" si="490"/>
        <v>1.5707940943264045</v>
      </c>
      <c r="S557" s="67" t="str">
        <f t="shared" si="479"/>
        <v>1+842.117148186946i</v>
      </c>
      <c r="T557" s="67">
        <f t="shared" si="491"/>
        <v>842.11774192835696</v>
      </c>
      <c r="U557" s="67">
        <f t="shared" si="492"/>
        <v>1.5696088441125708</v>
      </c>
      <c r="V557" t="str">
        <f t="shared" si="480"/>
        <v>1-86.9879251973329i</v>
      </c>
      <c r="W557" s="67">
        <f t="shared" si="493"/>
        <v>86.993672931637875</v>
      </c>
      <c r="X557" s="67">
        <f t="shared" si="494"/>
        <v>-1.5593009847722636</v>
      </c>
      <c r="Y557" t="str">
        <f t="shared" si="481"/>
        <v>-1425.17653508724+134.46033172892i</v>
      </c>
      <c r="Z557" s="67">
        <f t="shared" si="495"/>
        <v>1431.5054093407825</v>
      </c>
      <c r="AA557" s="67">
        <f t="shared" si="496"/>
        <v>3.0475246622530108</v>
      </c>
      <c r="AB557" s="92" t="str">
        <f t="shared" si="497"/>
        <v>-0.00118718032875268+0.0113325115827579i</v>
      </c>
      <c r="AC557" s="37">
        <f t="shared" si="498"/>
        <v>-38.866074955213584</v>
      </c>
      <c r="AD557" s="60">
        <f t="shared" si="499"/>
        <v>95.98042363790745</v>
      </c>
      <c r="AE557" t="str">
        <f t="shared" si="500"/>
        <v>118.329284003155</v>
      </c>
      <c r="AF557" t="str">
        <f t="shared" si="482"/>
        <v>1+358347.722632743i</v>
      </c>
      <c r="AG557">
        <f t="shared" si="501"/>
        <v>358347.72263413836</v>
      </c>
      <c r="AH557">
        <f t="shared" si="502"/>
        <v>1.5707935362092815</v>
      </c>
      <c r="AI557" t="str">
        <f t="shared" si="483"/>
        <v>1+842.117148186946i</v>
      </c>
      <c r="AJ557">
        <f t="shared" si="503"/>
        <v>842.11774192835696</v>
      </c>
      <c r="AK557">
        <f t="shared" si="504"/>
        <v>1.5696088441125708</v>
      </c>
      <c r="AL557" t="str">
        <f t="shared" si="484"/>
        <v>1-58.6525794990743i</v>
      </c>
      <c r="AM557">
        <f t="shared" si="505"/>
        <v>58.661103653913898</v>
      </c>
      <c r="AN557">
        <f t="shared" si="506"/>
        <v>-1.5537484300146622</v>
      </c>
      <c r="AO557" s="58" t="str">
        <f t="shared" si="507"/>
        <v>0.258751781229744-16.3100761680282i</v>
      </c>
      <c r="AP557">
        <f t="shared" si="508"/>
        <v>24.250212693946889</v>
      </c>
      <c r="AQ557" s="60">
        <f t="shared" si="509"/>
        <v>-89.09110532208193</v>
      </c>
      <c r="AR557" t="str">
        <f t="shared" si="485"/>
        <v>-1.94444444444444</v>
      </c>
      <c r="AS557" t="str">
        <f t="shared" si="486"/>
        <v>1+863.709895576352i</v>
      </c>
      <c r="AT557">
        <f t="shared" si="510"/>
        <v>863.7104744742378</v>
      </c>
      <c r="AU557">
        <f t="shared" si="511"/>
        <v>1.5696385311527588</v>
      </c>
      <c r="AV557" t="str">
        <f t="shared" si="487"/>
        <v>1+863.709895576352i</v>
      </c>
      <c r="AW557">
        <f t="shared" si="512"/>
        <v>863.7104744742378</v>
      </c>
      <c r="AX557">
        <f t="shared" si="513"/>
        <v>1.5696385311527588</v>
      </c>
      <c r="AY557" t="str">
        <f t="shared" si="488"/>
        <v>1-2.46339608399218E-06i</v>
      </c>
      <c r="AZ557">
        <f t="shared" si="514"/>
        <v>1.000000000003034</v>
      </c>
      <c r="BA557">
        <f t="shared" si="515"/>
        <v>-2.4633960839871969E-6</v>
      </c>
      <c r="BB557" s="58" t="str">
        <f t="shared" si="516"/>
        <v>-2.60096286193292E-06+0.00225126729870804i</v>
      </c>
      <c r="BC557">
        <f t="shared" si="517"/>
        <v>-52.951452943999215</v>
      </c>
      <c r="BD557" s="60">
        <f t="shared" si="518"/>
        <v>90.066195661634254</v>
      </c>
      <c r="BE557" s="58" t="str">
        <f t="shared" si="519"/>
        <v>-0.0000255094249265474-2.70213569354955E-06i</v>
      </c>
      <c r="BF557" s="37">
        <f t="shared" si="520"/>
        <v>-91.817527899212791</v>
      </c>
      <c r="BG557" s="60">
        <f t="shared" si="521"/>
        <v>-173.95338070045827</v>
      </c>
      <c r="BH557" s="58" t="str">
        <f t="shared" si="522"/>
        <v>0.0367176681127458+0.000624941325953318i</v>
      </c>
      <c r="BI557" s="37">
        <f t="shared" si="523"/>
        <v>-28.701240250052315</v>
      </c>
      <c r="BJ557" s="60">
        <f t="shared" si="524"/>
        <v>0.9750903395523326</v>
      </c>
      <c r="BK557">
        <f t="shared" si="525"/>
        <v>-91.817527899212791</v>
      </c>
      <c r="BL557" s="60">
        <f t="shared" si="526"/>
        <v>-173.95338070045827</v>
      </c>
      <c r="BN557">
        <f t="shared" si="527"/>
        <v>0</v>
      </c>
      <c r="BO557">
        <f t="shared" si="528"/>
        <v>0</v>
      </c>
    </row>
    <row r="558" spans="13:67" ht="14.25" x14ac:dyDescent="0.2">
      <c r="M558" s="66">
        <v>40</v>
      </c>
      <c r="N558" s="36">
        <f t="shared" si="476"/>
        <v>2511886.431509587</v>
      </c>
      <c r="O558" s="91" t="str">
        <f t="shared" si="477"/>
        <v>99.7340425531915</v>
      </c>
      <c r="P558" s="67" t="str">
        <f t="shared" si="478"/>
        <v>1+458368.391712319i</v>
      </c>
      <c r="Q558" s="67">
        <f t="shared" si="489"/>
        <v>458368.39171340986</v>
      </c>
      <c r="R558" s="67">
        <f t="shared" si="490"/>
        <v>1.5707941451435916</v>
      </c>
      <c r="S558" s="67" t="str">
        <f t="shared" si="479"/>
        <v>1+861.732576419159i</v>
      </c>
      <c r="T558" s="67">
        <f t="shared" si="491"/>
        <v>861.73315664537461</v>
      </c>
      <c r="U558" s="67">
        <f t="shared" si="492"/>
        <v>1.5696358744939378</v>
      </c>
      <c r="V558" t="str">
        <f t="shared" si="480"/>
        <v>1-89.0141342674735i</v>
      </c>
      <c r="W558" s="67">
        <f t="shared" si="493"/>
        <v>89.019751175723911</v>
      </c>
      <c r="X558" s="67">
        <f t="shared" si="494"/>
        <v>-1.5595626284328468</v>
      </c>
      <c r="Y558" t="str">
        <f t="shared" si="481"/>
        <v>-1492.39016445017+137.59231519795i</v>
      </c>
      <c r="Z558" s="67">
        <f t="shared" si="495"/>
        <v>1498.7194694635609</v>
      </c>
      <c r="AA558" s="67">
        <f t="shared" si="496"/>
        <v>3.0496566132457219</v>
      </c>
      <c r="AB558" s="92" t="str">
        <f t="shared" si="497"/>
        <v>-0.00113413066059545+0.0110790865041208i</v>
      </c>
      <c r="AC558" s="37">
        <f t="shared" si="498"/>
        <v>-39.064648172765203</v>
      </c>
      <c r="AD558" s="60">
        <f t="shared" si="499"/>
        <v>95.844826581569208</v>
      </c>
      <c r="AE558" t="str">
        <f t="shared" si="500"/>
        <v>118.329284003155</v>
      </c>
      <c r="AF558" t="str">
        <f t="shared" si="482"/>
        <v>1+366694.713369855i</v>
      </c>
      <c r="AG558">
        <f t="shared" si="501"/>
        <v>366694.71337121853</v>
      </c>
      <c r="AH558">
        <f t="shared" si="502"/>
        <v>1.5707935997307652</v>
      </c>
      <c r="AI558" t="str">
        <f t="shared" si="483"/>
        <v>1+861.732576419159i</v>
      </c>
      <c r="AJ558">
        <f t="shared" si="503"/>
        <v>861.73315664537461</v>
      </c>
      <c r="AK558">
        <f t="shared" si="504"/>
        <v>1.5696358744939378</v>
      </c>
      <c r="AL558" t="str">
        <f t="shared" si="484"/>
        <v>1-60.0187735805928i</v>
      </c>
      <c r="AM558">
        <f t="shared" si="505"/>
        <v>60.027103729219384</v>
      </c>
      <c r="AN558">
        <f t="shared" si="506"/>
        <v>-1.5541364148859929</v>
      </c>
      <c r="AO558" s="58" t="str">
        <f t="shared" si="507"/>
        <v>0.258751781188362-16.6899714715801i</v>
      </c>
      <c r="AP558">
        <f t="shared" si="508"/>
        <v>24.450155615388947</v>
      </c>
      <c r="AQ558" s="60">
        <f t="shared" si="509"/>
        <v>-89.111790130466062</v>
      </c>
      <c r="AR558" t="str">
        <f t="shared" si="485"/>
        <v>-1.94444444444444</v>
      </c>
      <c r="AS558" t="str">
        <f t="shared" si="486"/>
        <v>1+883.828283506827i</v>
      </c>
      <c r="AT558">
        <f t="shared" si="510"/>
        <v>883.82884922739652</v>
      </c>
      <c r="AU558">
        <f t="shared" si="511"/>
        <v>1.5696648857763849</v>
      </c>
      <c r="AV558" t="str">
        <f t="shared" si="487"/>
        <v>1+883.828283506827i</v>
      </c>
      <c r="AW558">
        <f t="shared" si="512"/>
        <v>883.82884922739652</v>
      </c>
      <c r="AX558">
        <f t="shared" si="513"/>
        <v>1.5696648857763849</v>
      </c>
      <c r="AY558" t="str">
        <f t="shared" si="488"/>
        <v>1-2.40732234323394E-06i</v>
      </c>
      <c r="AZ558">
        <f t="shared" si="514"/>
        <v>1.0000000000028977</v>
      </c>
      <c r="BA558">
        <f t="shared" si="515"/>
        <v>-2.4073223432292898E-6</v>
      </c>
      <c r="BB558" s="58" t="str">
        <f t="shared" si="516"/>
        <v>-2.48390039952168E-06+0.00220002233106746i</v>
      </c>
      <c r="BC558">
        <f t="shared" si="517"/>
        <v>-53.151452681981894</v>
      </c>
      <c r="BD558" s="60">
        <f t="shared" si="518"/>
        <v>90.064688865718509</v>
      </c>
      <c r="BE558" s="58" t="str">
        <f t="shared" si="519"/>
        <v>-0.0000243714206492929-0.0000025226321270522i</v>
      </c>
      <c r="BF558" s="37">
        <f t="shared" si="520"/>
        <v>-92.216100854747097</v>
      </c>
      <c r="BG558" s="60">
        <f t="shared" si="521"/>
        <v>-174.09048455271227</v>
      </c>
      <c r="BH558" s="58" t="str">
        <f t="shared" si="522"/>
        <v>0.0367176672287024+0.000610715923624141i</v>
      </c>
      <c r="BI558" s="37">
        <f t="shared" si="523"/>
        <v>-28.701297066592943</v>
      </c>
      <c r="BJ558" s="60">
        <f t="shared" si="524"/>
        <v>0.95289873525243729</v>
      </c>
      <c r="BK558">
        <f t="shared" si="525"/>
        <v>-92.216100854747097</v>
      </c>
      <c r="BL558" s="60">
        <f t="shared" si="526"/>
        <v>-174.09048455271227</v>
      </c>
      <c r="BN558">
        <f t="shared" si="527"/>
        <v>0</v>
      </c>
      <c r="BO558">
        <f t="shared" si="528"/>
        <v>0</v>
      </c>
    </row>
    <row r="559" spans="13:67" ht="14.25" x14ac:dyDescent="0.2">
      <c r="M559" s="66">
        <v>41</v>
      </c>
      <c r="N559" s="36">
        <f t="shared" si="476"/>
        <v>2570395.782768866</v>
      </c>
      <c r="O559" s="91" t="str">
        <f t="shared" si="477"/>
        <v>99.7340425531915</v>
      </c>
      <c r="P559" s="67" t="str">
        <f t="shared" si="478"/>
        <v>1+469045.163122214i</v>
      </c>
      <c r="Q559" s="67">
        <f t="shared" si="489"/>
        <v>469045.1631232801</v>
      </c>
      <c r="R559" s="67">
        <f t="shared" si="490"/>
        <v>1.570794194804038</v>
      </c>
      <c r="S559" s="67" t="str">
        <f t="shared" si="479"/>
        <v>1+881.804906669762i</v>
      </c>
      <c r="T559" s="67">
        <f t="shared" si="491"/>
        <v>881.80547368842508</v>
      </c>
      <c r="U559" s="67">
        <f t="shared" si="492"/>
        <v>1.5696622895903449</v>
      </c>
      <c r="V559" t="str">
        <f t="shared" si="480"/>
        <v>1-91.0875398098436i</v>
      </c>
      <c r="W559" s="67">
        <f t="shared" si="493"/>
        <v>91.093028869446655</v>
      </c>
      <c r="X559" s="67">
        <f t="shared" si="494"/>
        <v>-1.5598183178428717</v>
      </c>
      <c r="Y559" t="str">
        <f t="shared" si="481"/>
        <v>-1562.77147457419+140.797251933746i</v>
      </c>
      <c r="Z559" s="67">
        <f t="shared" si="495"/>
        <v>1569.1011910947243</v>
      </c>
      <c r="AA559" s="67">
        <f t="shared" si="496"/>
        <v>3.0517406523300514</v>
      </c>
      <c r="AB559" s="92" t="str">
        <f t="shared" si="497"/>
        <v>-0.00108343521321338+0.0108311301828841i</v>
      </c>
      <c r="AC559" s="37">
        <f t="shared" si="498"/>
        <v>-39.263285160395178</v>
      </c>
      <c r="AD559" s="60">
        <f t="shared" si="499"/>
        <v>95.712280641841716</v>
      </c>
      <c r="AE559" t="str">
        <f t="shared" si="500"/>
        <v>118.329284003155</v>
      </c>
      <c r="AF559" t="str">
        <f t="shared" si="482"/>
        <v>1+375236.130497771i</v>
      </c>
      <c r="AG559">
        <f t="shared" si="501"/>
        <v>375236.13049910346</v>
      </c>
      <c r="AH559">
        <f t="shared" si="502"/>
        <v>1.5707936618063234</v>
      </c>
      <c r="AI559" t="str">
        <f t="shared" si="483"/>
        <v>1+881.804906669762i</v>
      </c>
      <c r="AJ559">
        <f t="shared" si="503"/>
        <v>881.80547368842508</v>
      </c>
      <c r="AK559">
        <f t="shared" si="504"/>
        <v>1.5696622895903449</v>
      </c>
      <c r="AL559" t="str">
        <f t="shared" si="484"/>
        <v>1-61.4167904103058i</v>
      </c>
      <c r="AM559">
        <f t="shared" si="505"/>
        <v>61.4249309670221</v>
      </c>
      <c r="AN559">
        <f t="shared" si="506"/>
        <v>-1.5545155729905418</v>
      </c>
      <c r="AO559" s="58" t="str">
        <f t="shared" si="507"/>
        <v>0.258751781148842-17.078716018924i</v>
      </c>
      <c r="AP559">
        <f t="shared" si="508"/>
        <v>24.650101105095665</v>
      </c>
      <c r="AQ559" s="60">
        <f t="shared" si="509"/>
        <v>-89.13200437275286</v>
      </c>
      <c r="AR559" t="str">
        <f t="shared" si="485"/>
        <v>-1.94444444444444</v>
      </c>
      <c r="AS559" t="str">
        <f t="shared" si="486"/>
        <v>1+904.415288892061i</v>
      </c>
      <c r="AT559">
        <f t="shared" si="510"/>
        <v>904.41584173526621</v>
      </c>
      <c r="AU559">
        <f t="shared" si="511"/>
        <v>1.5696906404970556</v>
      </c>
      <c r="AV559" t="str">
        <f t="shared" si="487"/>
        <v>1+904.415288892061i</v>
      </c>
      <c r="AW559">
        <f t="shared" si="512"/>
        <v>904.41584173526621</v>
      </c>
      <c r="AX559">
        <f t="shared" si="513"/>
        <v>1.5696906404970556</v>
      </c>
      <c r="AY559" t="str">
        <f t="shared" si="488"/>
        <v>1-2.35252499664677E-06i</v>
      </c>
      <c r="AZ559">
        <f t="shared" si="514"/>
        <v>1.0000000000027671</v>
      </c>
      <c r="BA559">
        <f t="shared" si="515"/>
        <v>-2.3525249966424304E-6</v>
      </c>
      <c r="BB559" s="58" t="str">
        <f t="shared" si="516"/>
        <v>-2.37210660263165E-06+0.00214994383246201i</v>
      </c>
      <c r="BC559">
        <f t="shared" si="517"/>
        <v>-53.351452431757245</v>
      </c>
      <c r="BD559" s="60">
        <f t="shared" si="518"/>
        <v>90.063216368578225</v>
      </c>
      <c r="BE559" s="58" t="str">
        <f t="shared" si="519"/>
        <v>-0.000023283751511462-2.35501744994105E-06i</v>
      </c>
      <c r="BF559" s="37">
        <f t="shared" si="520"/>
        <v>-92.614737592152437</v>
      </c>
      <c r="BG559" s="60">
        <f t="shared" si="521"/>
        <v>-174.22450298958003</v>
      </c>
      <c r="BH559" s="58" t="str">
        <f t="shared" si="522"/>
        <v>0.0367176663844473+0.000596814331052473i</v>
      </c>
      <c r="BI559" s="37">
        <f t="shared" si="523"/>
        <v>-28.70135132666158</v>
      </c>
      <c r="BJ559" s="60">
        <f t="shared" si="524"/>
        <v>0.93121199582538083</v>
      </c>
      <c r="BK559">
        <f t="shared" si="525"/>
        <v>-92.614737592152437</v>
      </c>
      <c r="BL559" s="60">
        <f t="shared" si="526"/>
        <v>-174.22450298958003</v>
      </c>
      <c r="BN559">
        <f t="shared" si="527"/>
        <v>0</v>
      </c>
      <c r="BO559">
        <f t="shared" si="528"/>
        <v>0</v>
      </c>
    </row>
    <row r="560" spans="13:67" ht="15" thickBot="1" x14ac:dyDescent="0.25">
      <c r="M560" s="66">
        <v>42</v>
      </c>
      <c r="N560" s="36">
        <f t="shared" si="476"/>
        <v>2630267.9918953842</v>
      </c>
      <c r="O560" s="91" t="str">
        <f t="shared" si="477"/>
        <v>99.7340425531915</v>
      </c>
      <c r="P560" s="67" t="str">
        <f t="shared" si="478"/>
        <v>1+479970.628486144i</v>
      </c>
      <c r="Q560" s="67">
        <f t="shared" si="489"/>
        <v>479970.62848718569</v>
      </c>
      <c r="R560" s="67">
        <f t="shared" si="490"/>
        <v>1.5707942433340749</v>
      </c>
      <c r="S560" s="67" t="str">
        <f t="shared" si="479"/>
        <v>1+902.344781553951i</v>
      </c>
      <c r="T560" s="67">
        <f t="shared" si="491"/>
        <v>902.34533566570155</v>
      </c>
      <c r="U560" s="67">
        <f t="shared" si="492"/>
        <v>1.569688103407278</v>
      </c>
      <c r="V560" t="str">
        <f t="shared" si="480"/>
        <v>1-93.209241171507i</v>
      </c>
      <c r="W560" s="67">
        <f t="shared" si="493"/>
        <v>93.214605292133029</v>
      </c>
      <c r="X560" s="67">
        <f t="shared" si="494"/>
        <v>-1.5600681884384417</v>
      </c>
      <c r="Y560" t="str">
        <f t="shared" si="481"/>
        <v>-1636.46975365429+144.07684123619i</v>
      </c>
      <c r="Z560" s="67">
        <f t="shared" si="495"/>
        <v>1642.7998632840004</v>
      </c>
      <c r="AA560" s="67">
        <f t="shared" si="496"/>
        <v>3.0537778292822613</v>
      </c>
      <c r="AB560" s="97" t="str">
        <f t="shared" si="497"/>
        <v>-0.00103499093973489+0.0105885378555009i</v>
      </c>
      <c r="AC560" s="64">
        <f t="shared" si="498"/>
        <v>-39.461983086937231</v>
      </c>
      <c r="AD560" s="63">
        <f t="shared" si="499"/>
        <v>95.582718712005345</v>
      </c>
      <c r="AE560" t="str">
        <f t="shared" si="500"/>
        <v>118.329284003155</v>
      </c>
      <c r="AF560" t="str">
        <f t="shared" si="482"/>
        <v>1+383976.502788915i</v>
      </c>
      <c r="AG560">
        <f t="shared" si="501"/>
        <v>383976.50279021717</v>
      </c>
      <c r="AH560">
        <f t="shared" si="502"/>
        <v>1.5707937224688695</v>
      </c>
      <c r="AI560" t="str">
        <f t="shared" si="483"/>
        <v>1+902.344781553951i</v>
      </c>
      <c r="AJ560">
        <f t="shared" si="503"/>
        <v>902.34533566570155</v>
      </c>
      <c r="AK560">
        <f t="shared" si="504"/>
        <v>1.569688103407278</v>
      </c>
      <c r="AL560" t="str">
        <f t="shared" si="484"/>
        <v>1-62.8473712352416i</v>
      </c>
      <c r="AM560">
        <f t="shared" si="505"/>
        <v>62.85532651398983</v>
      </c>
      <c r="AN560">
        <f t="shared" si="506"/>
        <v>-1.5548861049266398</v>
      </c>
      <c r="AO560" s="61" t="str">
        <f t="shared" si="507"/>
        <v>0.258751781111101-17.4765159275647i</v>
      </c>
      <c r="AP560" s="62">
        <f t="shared" si="508"/>
        <v>24.850049047537176</v>
      </c>
      <c r="AQ560" s="63">
        <f t="shared" si="509"/>
        <v>-89.151758741810539</v>
      </c>
      <c r="AR560" t="str">
        <f t="shared" si="485"/>
        <v>-1.94444444444444</v>
      </c>
      <c r="AS560" t="str">
        <f t="shared" si="486"/>
        <v>1+925.481827234819i</v>
      </c>
      <c r="AT560">
        <f t="shared" si="510"/>
        <v>925.48236749378395</v>
      </c>
      <c r="AU560">
        <f t="shared" si="511"/>
        <v>1.5697158089701275</v>
      </c>
      <c r="AV560" t="str">
        <f t="shared" si="487"/>
        <v>1+925.481827234819i</v>
      </c>
      <c r="AW560">
        <f t="shared" si="512"/>
        <v>925.48236749378395</v>
      </c>
      <c r="AX560">
        <f t="shared" si="513"/>
        <v>1.5697158089701275</v>
      </c>
      <c r="AY560" t="str">
        <f t="shared" si="488"/>
        <v>1-2.29897498995217E-06i</v>
      </c>
      <c r="AZ560">
        <f t="shared" si="514"/>
        <v>1.0000000000026428</v>
      </c>
      <c r="BA560">
        <f t="shared" si="515"/>
        <v>-2.2989749899481197E-6</v>
      </c>
      <c r="BB560" s="58" t="str">
        <f t="shared" si="516"/>
        <v>-2.26534434341276E-06+0.00210100525140483i</v>
      </c>
      <c r="BC560" s="62">
        <f t="shared" si="517"/>
        <v>-53.551452192794557</v>
      </c>
      <c r="BD560" s="63">
        <f t="shared" si="518"/>
        <v>90.061777389483794</v>
      </c>
      <c r="BE560" s="61" t="str">
        <f t="shared" si="519"/>
        <v>-0.0000222442290282354-2.19850808387539E-06i</v>
      </c>
      <c r="BF560" s="64">
        <f t="shared" si="520"/>
        <v>-93.013435279731794</v>
      </c>
      <c r="BG560" s="63">
        <f t="shared" si="521"/>
        <v>-174.35550389851088</v>
      </c>
      <c r="BH560" s="61" t="str">
        <f t="shared" si="522"/>
        <v>0.0367176655781899+0.000583229177423848i</v>
      </c>
      <c r="BI560" s="64">
        <f t="shared" si="523"/>
        <v>-28.701403145257377</v>
      </c>
      <c r="BJ560" s="63">
        <f t="shared" si="524"/>
        <v>0.91001864767324658</v>
      </c>
      <c r="BK560">
        <f t="shared" si="525"/>
        <v>-93.013435279731794</v>
      </c>
      <c r="BL560" s="60">
        <f t="shared" si="526"/>
        <v>-174.35550389851088</v>
      </c>
    </row>
  </sheetData>
  <mergeCells count="44">
    <mergeCell ref="BK16:BL16"/>
    <mergeCell ref="P17:R17"/>
    <mergeCell ref="S17:U17"/>
    <mergeCell ref="V17:X17"/>
    <mergeCell ref="Y17:AA17"/>
    <mergeCell ref="AB17:AD17"/>
    <mergeCell ref="AF17:AH17"/>
    <mergeCell ref="AI17:AK17"/>
    <mergeCell ref="AL17:AN17"/>
    <mergeCell ref="AO17:AQ17"/>
    <mergeCell ref="AS17:AU17"/>
    <mergeCell ref="AV17:AX17"/>
    <mergeCell ref="AY17:BA17"/>
    <mergeCell ref="BB17:BD17"/>
    <mergeCell ref="BE17:BG17"/>
    <mergeCell ref="BH17:BJ17"/>
    <mergeCell ref="O16:AD16"/>
    <mergeCell ref="AE16:AQ16"/>
    <mergeCell ref="AR16:BD16"/>
    <mergeCell ref="BE16:BG16"/>
    <mergeCell ref="BH16:BJ16"/>
    <mergeCell ref="AE4:AQ4"/>
    <mergeCell ref="AF5:AH5"/>
    <mergeCell ref="AI5:AK5"/>
    <mergeCell ref="AL5:AN5"/>
    <mergeCell ref="AO5:AQ5"/>
    <mergeCell ref="AR4:BD4"/>
    <mergeCell ref="BE4:BG4"/>
    <mergeCell ref="BK4:BL4"/>
    <mergeCell ref="AS5:AU5"/>
    <mergeCell ref="AV5:AX5"/>
    <mergeCell ref="AY5:BA5"/>
    <mergeCell ref="BB5:BD5"/>
    <mergeCell ref="BE5:BG5"/>
    <mergeCell ref="BK5:BL5"/>
    <mergeCell ref="BH4:BJ4"/>
    <mergeCell ref="BH5:BJ5"/>
    <mergeCell ref="E5:K5"/>
    <mergeCell ref="O4:AD4"/>
    <mergeCell ref="P5:R5"/>
    <mergeCell ref="S5:U5"/>
    <mergeCell ref="V5:X5"/>
    <mergeCell ref="Y5:AA5"/>
    <mergeCell ref="AB5:AD5"/>
  </mergeCells>
  <phoneticPr fontId="48"/>
  <pageMargins left="0.7" right="0.7" top="0.75" bottom="0.75"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N104"/>
  <sheetViews>
    <sheetView zoomScaleNormal="100" workbookViewId="0">
      <selection activeCell="H1" sqref="H1"/>
    </sheetView>
  </sheetViews>
  <sheetFormatPr defaultRowHeight="13.5" x14ac:dyDescent="0.15"/>
  <cols>
    <col min="11" max="11" width="8.875" customWidth="1"/>
  </cols>
  <sheetData>
    <row r="1" spans="1:14" x14ac:dyDescent="0.15">
      <c r="F1" s="34" t="s">
        <v>265</v>
      </c>
    </row>
    <row r="3" spans="1:14" s="35" customFormat="1" ht="40.5" x14ac:dyDescent="0.15">
      <c r="F3" s="35" t="s">
        <v>260</v>
      </c>
      <c r="G3" s="35" t="s">
        <v>268</v>
      </c>
      <c r="H3" s="35" t="s">
        <v>267</v>
      </c>
      <c r="I3" s="35" t="s">
        <v>264</v>
      </c>
      <c r="J3" s="35" t="s">
        <v>263</v>
      </c>
      <c r="K3" s="35" t="s">
        <v>266</v>
      </c>
      <c r="L3" s="35" t="s">
        <v>262</v>
      </c>
      <c r="M3" s="35" t="s">
        <v>269</v>
      </c>
      <c r="N3" s="35" t="s">
        <v>270</v>
      </c>
    </row>
    <row r="4" spans="1:14" x14ac:dyDescent="0.15">
      <c r="A4" t="s">
        <v>229</v>
      </c>
      <c r="B4" s="29">
        <f>VIN_MIN</f>
        <v>18</v>
      </c>
      <c r="F4">
        <v>0</v>
      </c>
      <c r="G4">
        <f t="shared" ref="G4:G35" si="0">$B$4+(F4*$B$8)</f>
        <v>18</v>
      </c>
      <c r="H4">
        <f t="shared" ref="H4:H35" si="1">(I4*J4)/(G4*eta)</f>
        <v>13.333333333333334</v>
      </c>
      <c r="I4">
        <f t="shared" ref="I4:I35" si="2">VOUT</f>
        <v>60</v>
      </c>
      <c r="J4">
        <f t="shared" ref="J4:J35" si="3">IOUT_np</f>
        <v>3.76</v>
      </c>
      <c r="K4">
        <f t="shared" ref="K4:K35" si="4">IF((G4*(1-(G4/I4)))/(2*Lm*fsw)&gt;H4,1,2)</f>
        <v>2</v>
      </c>
      <c r="L4">
        <f t="shared" ref="L4:L35" si="5">CHOOSE(K4,SQRT((2*Lm*fsw(I4-G4)*((I4*J4)/G4))/(I4*G4)),(1-(G4/I4)))</f>
        <v>0.7</v>
      </c>
      <c r="M4">
        <f t="shared" ref="M4:M35" si="6">G4*L4/(Lm*fsw)</f>
        <v>9.6923076923076916</v>
      </c>
      <c r="N4">
        <f>H4+(M4/2)</f>
        <v>18.179487179487179</v>
      </c>
    </row>
    <row r="5" spans="1:14" x14ac:dyDescent="0.15">
      <c r="A5" t="s">
        <v>243</v>
      </c>
      <c r="B5" s="29">
        <f>VIN_TYP</f>
        <v>20</v>
      </c>
      <c r="F5">
        <v>1</v>
      </c>
      <c r="G5">
        <f t="shared" si="0"/>
        <v>18.420000000000002</v>
      </c>
      <c r="H5">
        <f t="shared" si="1"/>
        <v>13.029315960912051</v>
      </c>
      <c r="I5">
        <f t="shared" si="2"/>
        <v>60</v>
      </c>
      <c r="J5">
        <f t="shared" si="3"/>
        <v>3.76</v>
      </c>
      <c r="K5">
        <f t="shared" si="4"/>
        <v>2</v>
      </c>
      <c r="L5">
        <f t="shared" si="5"/>
        <v>0.69299999999999995</v>
      </c>
      <c r="M5">
        <f t="shared" si="6"/>
        <v>9.8192769230769237</v>
      </c>
      <c r="N5">
        <f t="shared" ref="N5:N68" si="7">H5+(M5/2)</f>
        <v>17.938954422450514</v>
      </c>
    </row>
    <row r="6" spans="1:14" x14ac:dyDescent="0.15">
      <c r="A6" t="s">
        <v>230</v>
      </c>
      <c r="B6" s="29">
        <f>VIN_MAX</f>
        <v>60</v>
      </c>
      <c r="F6">
        <v>2</v>
      </c>
      <c r="G6">
        <f t="shared" si="0"/>
        <v>18.84</v>
      </c>
      <c r="H6">
        <f t="shared" si="1"/>
        <v>12.738853503184714</v>
      </c>
      <c r="I6">
        <f t="shared" si="2"/>
        <v>60</v>
      </c>
      <c r="J6">
        <f t="shared" si="3"/>
        <v>3.76</v>
      </c>
      <c r="K6">
        <f t="shared" si="4"/>
        <v>2</v>
      </c>
      <c r="L6">
        <f t="shared" si="5"/>
        <v>0.68599999999999994</v>
      </c>
      <c r="M6">
        <f t="shared" si="6"/>
        <v>9.9417230769230756</v>
      </c>
      <c r="N6">
        <f t="shared" si="7"/>
        <v>17.709715041646252</v>
      </c>
    </row>
    <row r="7" spans="1:14" x14ac:dyDescent="0.15">
      <c r="A7" t="s">
        <v>258</v>
      </c>
      <c r="B7" s="21">
        <v>100</v>
      </c>
      <c r="F7">
        <v>3</v>
      </c>
      <c r="G7">
        <f t="shared" si="0"/>
        <v>19.260000000000002</v>
      </c>
      <c r="H7">
        <f t="shared" si="1"/>
        <v>12.46105919003115</v>
      </c>
      <c r="I7">
        <f t="shared" si="2"/>
        <v>60</v>
      </c>
      <c r="J7">
        <f t="shared" si="3"/>
        <v>3.76</v>
      </c>
      <c r="K7">
        <f t="shared" si="4"/>
        <v>2</v>
      </c>
      <c r="L7">
        <f t="shared" si="5"/>
        <v>0.67900000000000005</v>
      </c>
      <c r="M7">
        <f t="shared" si="6"/>
        <v>10.059646153846156</v>
      </c>
      <c r="N7">
        <f t="shared" si="7"/>
        <v>17.49088226695423</v>
      </c>
    </row>
    <row r="8" spans="1:14" x14ac:dyDescent="0.15">
      <c r="A8" t="s">
        <v>259</v>
      </c>
      <c r="B8">
        <f>(VIN_MAX-VIN_MIN)/B7</f>
        <v>0.42</v>
      </c>
      <c r="F8">
        <v>4</v>
      </c>
      <c r="G8">
        <f t="shared" si="0"/>
        <v>19.68</v>
      </c>
      <c r="H8">
        <f t="shared" si="1"/>
        <v>12.195121951219512</v>
      </c>
      <c r="I8">
        <f t="shared" si="2"/>
        <v>60</v>
      </c>
      <c r="J8">
        <f t="shared" si="3"/>
        <v>3.76</v>
      </c>
      <c r="K8">
        <f t="shared" si="4"/>
        <v>2</v>
      </c>
      <c r="L8">
        <f t="shared" si="5"/>
        <v>0.67199999999999993</v>
      </c>
      <c r="M8">
        <f t="shared" si="6"/>
        <v>10.173046153846151</v>
      </c>
      <c r="N8">
        <f t="shared" si="7"/>
        <v>17.281645028142588</v>
      </c>
    </row>
    <row r="9" spans="1:14" x14ac:dyDescent="0.15">
      <c r="F9">
        <v>5</v>
      </c>
      <c r="G9">
        <f t="shared" si="0"/>
        <v>20.100000000000001</v>
      </c>
      <c r="H9">
        <f t="shared" si="1"/>
        <v>11.940298507462686</v>
      </c>
      <c r="I9">
        <f t="shared" si="2"/>
        <v>60</v>
      </c>
      <c r="J9">
        <f t="shared" si="3"/>
        <v>3.76</v>
      </c>
      <c r="K9">
        <f t="shared" si="4"/>
        <v>2</v>
      </c>
      <c r="L9">
        <f t="shared" si="5"/>
        <v>0.66500000000000004</v>
      </c>
      <c r="M9">
        <f t="shared" si="6"/>
        <v>10.281923076923078</v>
      </c>
      <c r="N9">
        <f t="shared" si="7"/>
        <v>17.081260045924225</v>
      </c>
    </row>
    <row r="10" spans="1:14" x14ac:dyDescent="0.15">
      <c r="F10">
        <v>6</v>
      </c>
      <c r="G10">
        <f t="shared" si="0"/>
        <v>20.52</v>
      </c>
      <c r="H10">
        <f t="shared" si="1"/>
        <v>11.695906432748538</v>
      </c>
      <c r="I10">
        <f t="shared" si="2"/>
        <v>60</v>
      </c>
      <c r="J10">
        <f t="shared" si="3"/>
        <v>3.76</v>
      </c>
      <c r="K10">
        <f t="shared" si="4"/>
        <v>2</v>
      </c>
      <c r="L10">
        <f t="shared" si="5"/>
        <v>0.65800000000000003</v>
      </c>
      <c r="M10">
        <f t="shared" si="6"/>
        <v>10.386276923076922</v>
      </c>
      <c r="N10">
        <f t="shared" si="7"/>
        <v>16.889044894287</v>
      </c>
    </row>
    <row r="11" spans="1:14" x14ac:dyDescent="0.15">
      <c r="F11">
        <v>7</v>
      </c>
      <c r="G11">
        <f t="shared" si="0"/>
        <v>20.94</v>
      </c>
      <c r="H11">
        <f t="shared" si="1"/>
        <v>11.461318051575931</v>
      </c>
      <c r="I11">
        <f t="shared" si="2"/>
        <v>60</v>
      </c>
      <c r="J11">
        <f t="shared" si="3"/>
        <v>3.76</v>
      </c>
      <c r="K11">
        <f t="shared" si="4"/>
        <v>2</v>
      </c>
      <c r="L11">
        <f t="shared" si="5"/>
        <v>0.65100000000000002</v>
      </c>
      <c r="M11">
        <f t="shared" si="6"/>
        <v>10.486107692307693</v>
      </c>
      <c r="N11">
        <f t="shared" si="7"/>
        <v>16.704371897729779</v>
      </c>
    </row>
    <row r="12" spans="1:14" x14ac:dyDescent="0.15">
      <c r="F12">
        <v>8</v>
      </c>
      <c r="G12">
        <f t="shared" si="0"/>
        <v>21.36</v>
      </c>
      <c r="H12">
        <f t="shared" si="1"/>
        <v>11.235955056179776</v>
      </c>
      <c r="I12">
        <f t="shared" si="2"/>
        <v>60</v>
      </c>
      <c r="J12">
        <f t="shared" si="3"/>
        <v>3.76</v>
      </c>
      <c r="K12">
        <f t="shared" si="4"/>
        <v>2</v>
      </c>
      <c r="L12">
        <f t="shared" si="5"/>
        <v>0.64400000000000002</v>
      </c>
      <c r="M12">
        <f t="shared" si="6"/>
        <v>10.581415384615383</v>
      </c>
      <c r="N12">
        <f t="shared" si="7"/>
        <v>16.526662748487468</v>
      </c>
    </row>
    <row r="13" spans="1:14" x14ac:dyDescent="0.15">
      <c r="F13">
        <v>9</v>
      </c>
      <c r="G13">
        <f t="shared" si="0"/>
        <v>21.78</v>
      </c>
      <c r="H13">
        <f t="shared" si="1"/>
        <v>11.019283746556475</v>
      </c>
      <c r="I13">
        <f t="shared" si="2"/>
        <v>60</v>
      </c>
      <c r="J13">
        <f t="shared" si="3"/>
        <v>3.76</v>
      </c>
      <c r="K13">
        <f t="shared" si="4"/>
        <v>2</v>
      </c>
      <c r="L13">
        <f t="shared" si="5"/>
        <v>0.63700000000000001</v>
      </c>
      <c r="M13">
        <f t="shared" si="6"/>
        <v>10.6722</v>
      </c>
      <c r="N13">
        <f t="shared" si="7"/>
        <v>16.355383746556477</v>
      </c>
    </row>
    <row r="14" spans="1:14" x14ac:dyDescent="0.15">
      <c r="F14">
        <v>10</v>
      </c>
      <c r="G14">
        <f t="shared" si="0"/>
        <v>22.2</v>
      </c>
      <c r="H14">
        <f t="shared" si="1"/>
        <v>10.810810810810811</v>
      </c>
      <c r="I14">
        <f t="shared" si="2"/>
        <v>60</v>
      </c>
      <c r="J14">
        <f t="shared" si="3"/>
        <v>3.76</v>
      </c>
      <c r="K14">
        <f t="shared" si="4"/>
        <v>2</v>
      </c>
      <c r="L14">
        <f t="shared" si="5"/>
        <v>0.63</v>
      </c>
      <c r="M14">
        <f t="shared" si="6"/>
        <v>10.758461538461537</v>
      </c>
      <c r="N14">
        <f t="shared" si="7"/>
        <v>16.19004158004158</v>
      </c>
    </row>
    <row r="15" spans="1:14" x14ac:dyDescent="0.15">
      <c r="F15">
        <v>11</v>
      </c>
      <c r="G15">
        <f t="shared" si="0"/>
        <v>22.62</v>
      </c>
      <c r="H15">
        <f t="shared" si="1"/>
        <v>10.610079575596817</v>
      </c>
      <c r="I15">
        <f t="shared" si="2"/>
        <v>60</v>
      </c>
      <c r="J15">
        <f t="shared" si="3"/>
        <v>3.76</v>
      </c>
      <c r="K15">
        <f t="shared" si="4"/>
        <v>2</v>
      </c>
      <c r="L15">
        <f t="shared" si="5"/>
        <v>0.623</v>
      </c>
      <c r="M15">
        <f t="shared" si="6"/>
        <v>10.840200000000001</v>
      </c>
      <c r="N15">
        <f t="shared" si="7"/>
        <v>16.030179575596819</v>
      </c>
    </row>
    <row r="16" spans="1:14" x14ac:dyDescent="0.15">
      <c r="F16">
        <v>12</v>
      </c>
      <c r="G16">
        <f t="shared" si="0"/>
        <v>23.04</v>
      </c>
      <c r="H16">
        <f t="shared" si="1"/>
        <v>10.416666666666668</v>
      </c>
      <c r="I16">
        <f t="shared" si="2"/>
        <v>60</v>
      </c>
      <c r="J16">
        <f t="shared" si="3"/>
        <v>3.76</v>
      </c>
      <c r="K16">
        <f t="shared" si="4"/>
        <v>2</v>
      </c>
      <c r="L16">
        <f t="shared" si="5"/>
        <v>0.61599999999999999</v>
      </c>
      <c r="M16">
        <f t="shared" si="6"/>
        <v>10.917415384615383</v>
      </c>
      <c r="N16">
        <f t="shared" si="7"/>
        <v>15.875374358974359</v>
      </c>
    </row>
    <row r="17" spans="6:14" x14ac:dyDescent="0.15">
      <c r="F17">
        <v>13</v>
      </c>
      <c r="G17">
        <f t="shared" si="0"/>
        <v>23.46</v>
      </c>
      <c r="H17">
        <f t="shared" si="1"/>
        <v>10.230179028132993</v>
      </c>
      <c r="I17">
        <f t="shared" si="2"/>
        <v>60</v>
      </c>
      <c r="J17">
        <f t="shared" si="3"/>
        <v>3.76</v>
      </c>
      <c r="K17">
        <f t="shared" si="4"/>
        <v>2</v>
      </c>
      <c r="L17">
        <f t="shared" si="5"/>
        <v>0.60899999999999999</v>
      </c>
      <c r="M17">
        <f t="shared" si="6"/>
        <v>10.990107692307692</v>
      </c>
      <c r="N17">
        <f t="shared" si="7"/>
        <v>15.725232874286839</v>
      </c>
    </row>
    <row r="18" spans="6:14" x14ac:dyDescent="0.15">
      <c r="F18">
        <v>14</v>
      </c>
      <c r="G18">
        <f t="shared" si="0"/>
        <v>23.88</v>
      </c>
      <c r="H18">
        <f t="shared" si="1"/>
        <v>10.050251256281408</v>
      </c>
      <c r="I18">
        <f t="shared" si="2"/>
        <v>60</v>
      </c>
      <c r="J18">
        <f t="shared" si="3"/>
        <v>3.76</v>
      </c>
      <c r="K18">
        <f t="shared" si="4"/>
        <v>2</v>
      </c>
      <c r="L18">
        <f t="shared" si="5"/>
        <v>0.60200000000000009</v>
      </c>
      <c r="M18">
        <f t="shared" si="6"/>
        <v>11.058276923076924</v>
      </c>
      <c r="N18">
        <f t="shared" si="7"/>
        <v>15.57938971781987</v>
      </c>
    </row>
    <row r="19" spans="6:14" x14ac:dyDescent="0.15">
      <c r="F19">
        <v>15</v>
      </c>
      <c r="G19">
        <f t="shared" si="0"/>
        <v>24.3</v>
      </c>
      <c r="H19">
        <f t="shared" si="1"/>
        <v>9.8765432098765427</v>
      </c>
      <c r="I19">
        <f t="shared" si="2"/>
        <v>60</v>
      </c>
      <c r="J19">
        <f t="shared" si="3"/>
        <v>3.76</v>
      </c>
      <c r="K19">
        <f t="shared" si="4"/>
        <v>2</v>
      </c>
      <c r="L19">
        <f t="shared" si="5"/>
        <v>0.59499999999999997</v>
      </c>
      <c r="M19">
        <f t="shared" si="6"/>
        <v>11.121923076923077</v>
      </c>
      <c r="N19">
        <f t="shared" si="7"/>
        <v>15.437504748338082</v>
      </c>
    </row>
    <row r="20" spans="6:14" x14ac:dyDescent="0.15">
      <c r="F20">
        <v>16</v>
      </c>
      <c r="G20">
        <f t="shared" si="0"/>
        <v>24.72</v>
      </c>
      <c r="H20">
        <f t="shared" si="1"/>
        <v>9.7087378640776709</v>
      </c>
      <c r="I20">
        <f t="shared" si="2"/>
        <v>60</v>
      </c>
      <c r="J20">
        <f t="shared" si="3"/>
        <v>3.76</v>
      </c>
      <c r="K20">
        <f t="shared" si="4"/>
        <v>2</v>
      </c>
      <c r="L20">
        <f t="shared" si="5"/>
        <v>0.58800000000000008</v>
      </c>
      <c r="M20">
        <f t="shared" si="6"/>
        <v>11.181046153846154</v>
      </c>
      <c r="N20">
        <f t="shared" si="7"/>
        <v>15.299260941000748</v>
      </c>
    </row>
    <row r="21" spans="6:14" x14ac:dyDescent="0.15">
      <c r="F21">
        <v>17</v>
      </c>
      <c r="G21">
        <f t="shared" si="0"/>
        <v>25.14</v>
      </c>
      <c r="H21">
        <f t="shared" si="1"/>
        <v>9.5465393794749414</v>
      </c>
      <c r="I21">
        <f t="shared" si="2"/>
        <v>60</v>
      </c>
      <c r="J21">
        <f t="shared" si="3"/>
        <v>3.76</v>
      </c>
      <c r="K21">
        <f t="shared" si="4"/>
        <v>2</v>
      </c>
      <c r="L21">
        <f t="shared" si="5"/>
        <v>0.58099999999999996</v>
      </c>
      <c r="M21">
        <f t="shared" si="6"/>
        <v>11.235646153846153</v>
      </c>
      <c r="N21">
        <f t="shared" si="7"/>
        <v>15.164362456398017</v>
      </c>
    </row>
    <row r="22" spans="6:14" x14ac:dyDescent="0.15">
      <c r="F22">
        <v>18</v>
      </c>
      <c r="G22">
        <f t="shared" si="0"/>
        <v>25.56</v>
      </c>
      <c r="H22">
        <f t="shared" si="1"/>
        <v>9.3896713615023479</v>
      </c>
      <c r="I22">
        <f t="shared" si="2"/>
        <v>60</v>
      </c>
      <c r="J22">
        <f t="shared" si="3"/>
        <v>3.76</v>
      </c>
      <c r="K22">
        <f t="shared" si="4"/>
        <v>2</v>
      </c>
      <c r="L22">
        <f t="shared" si="5"/>
        <v>0.57400000000000007</v>
      </c>
      <c r="M22">
        <f t="shared" si="6"/>
        <v>11.285723076923077</v>
      </c>
      <c r="N22">
        <f t="shared" si="7"/>
        <v>15.032532899963886</v>
      </c>
    </row>
    <row r="23" spans="6:14" x14ac:dyDescent="0.15">
      <c r="F23">
        <v>19</v>
      </c>
      <c r="G23">
        <f t="shared" si="0"/>
        <v>25.98</v>
      </c>
      <c r="H23">
        <f t="shared" si="1"/>
        <v>9.2378752886836022</v>
      </c>
      <c r="I23">
        <f t="shared" si="2"/>
        <v>60</v>
      </c>
      <c r="J23">
        <f t="shared" si="3"/>
        <v>3.76</v>
      </c>
      <c r="K23">
        <f t="shared" si="4"/>
        <v>2</v>
      </c>
      <c r="L23">
        <f t="shared" si="5"/>
        <v>0.56699999999999995</v>
      </c>
      <c r="M23">
        <f t="shared" si="6"/>
        <v>11.331276923076922</v>
      </c>
      <c r="N23">
        <f t="shared" si="7"/>
        <v>14.903513750222064</v>
      </c>
    </row>
    <row r="24" spans="6:14" x14ac:dyDescent="0.15">
      <c r="F24">
        <v>20</v>
      </c>
      <c r="G24">
        <f t="shared" si="0"/>
        <v>26.4</v>
      </c>
      <c r="H24">
        <f t="shared" si="1"/>
        <v>9.0909090909090917</v>
      </c>
      <c r="I24">
        <f t="shared" si="2"/>
        <v>60</v>
      </c>
      <c r="J24">
        <f t="shared" si="3"/>
        <v>3.76</v>
      </c>
      <c r="K24">
        <f t="shared" si="4"/>
        <v>2</v>
      </c>
      <c r="L24">
        <f t="shared" si="5"/>
        <v>0.56000000000000005</v>
      </c>
      <c r="M24">
        <f t="shared" si="6"/>
        <v>11.372307692307693</v>
      </c>
      <c r="N24">
        <f t="shared" si="7"/>
        <v>14.777062937062938</v>
      </c>
    </row>
    <row r="25" spans="6:14" x14ac:dyDescent="0.15">
      <c r="F25">
        <v>21</v>
      </c>
      <c r="G25">
        <f t="shared" si="0"/>
        <v>26.82</v>
      </c>
      <c r="H25">
        <f t="shared" si="1"/>
        <v>8.9485458612975393</v>
      </c>
      <c r="I25">
        <f t="shared" si="2"/>
        <v>60</v>
      </c>
      <c r="J25">
        <f t="shared" si="3"/>
        <v>3.76</v>
      </c>
      <c r="K25">
        <f t="shared" si="4"/>
        <v>2</v>
      </c>
      <c r="L25">
        <f t="shared" si="5"/>
        <v>0.55299999999999994</v>
      </c>
      <c r="M25">
        <f t="shared" si="6"/>
        <v>11.408815384615382</v>
      </c>
      <c r="N25">
        <f t="shared" si="7"/>
        <v>14.652953553605229</v>
      </c>
    </row>
    <row r="26" spans="6:14" x14ac:dyDescent="0.15">
      <c r="F26">
        <v>22</v>
      </c>
      <c r="G26">
        <f t="shared" si="0"/>
        <v>27.240000000000002</v>
      </c>
      <c r="H26">
        <f t="shared" si="1"/>
        <v>8.8105726872246706</v>
      </c>
      <c r="I26">
        <f t="shared" si="2"/>
        <v>60</v>
      </c>
      <c r="J26">
        <f t="shared" si="3"/>
        <v>3.76</v>
      </c>
      <c r="K26">
        <f t="shared" si="4"/>
        <v>2</v>
      </c>
      <c r="L26">
        <f t="shared" si="5"/>
        <v>0.54600000000000004</v>
      </c>
      <c r="M26">
        <f t="shared" si="6"/>
        <v>11.440800000000001</v>
      </c>
      <c r="N26">
        <f t="shared" si="7"/>
        <v>14.530972687224672</v>
      </c>
    </row>
    <row r="27" spans="6:14" x14ac:dyDescent="0.15">
      <c r="F27">
        <v>23</v>
      </c>
      <c r="G27">
        <f t="shared" si="0"/>
        <v>27.66</v>
      </c>
      <c r="H27">
        <f t="shared" si="1"/>
        <v>8.676789587852495</v>
      </c>
      <c r="I27">
        <f t="shared" si="2"/>
        <v>60</v>
      </c>
      <c r="J27">
        <f t="shared" si="3"/>
        <v>3.76</v>
      </c>
      <c r="K27">
        <f t="shared" si="4"/>
        <v>2</v>
      </c>
      <c r="L27">
        <f t="shared" si="5"/>
        <v>0.53899999999999992</v>
      </c>
      <c r="M27">
        <f t="shared" si="6"/>
        <v>11.468261538461537</v>
      </c>
      <c r="N27">
        <f t="shared" si="7"/>
        <v>14.410920357083263</v>
      </c>
    </row>
    <row r="28" spans="6:14" x14ac:dyDescent="0.15">
      <c r="F28">
        <v>24</v>
      </c>
      <c r="G28">
        <f t="shared" si="0"/>
        <v>28.08</v>
      </c>
      <c r="H28">
        <f t="shared" si="1"/>
        <v>8.5470085470085486</v>
      </c>
      <c r="I28">
        <f t="shared" si="2"/>
        <v>60</v>
      </c>
      <c r="J28">
        <f t="shared" si="3"/>
        <v>3.76</v>
      </c>
      <c r="K28">
        <f t="shared" si="4"/>
        <v>2</v>
      </c>
      <c r="L28">
        <f t="shared" si="5"/>
        <v>0.53200000000000003</v>
      </c>
      <c r="M28">
        <f t="shared" si="6"/>
        <v>11.491200000000001</v>
      </c>
      <c r="N28">
        <f t="shared" si="7"/>
        <v>14.292608547008548</v>
      </c>
    </row>
    <row r="29" spans="6:14" x14ac:dyDescent="0.15">
      <c r="F29">
        <v>25</v>
      </c>
      <c r="G29">
        <f t="shared" si="0"/>
        <v>28.5</v>
      </c>
      <c r="H29">
        <f t="shared" si="1"/>
        <v>8.4210526315789469</v>
      </c>
      <c r="I29">
        <f t="shared" si="2"/>
        <v>60</v>
      </c>
      <c r="J29">
        <f t="shared" si="3"/>
        <v>3.76</v>
      </c>
      <c r="K29">
        <f t="shared" si="4"/>
        <v>2</v>
      </c>
      <c r="L29">
        <f t="shared" si="5"/>
        <v>0.52500000000000002</v>
      </c>
      <c r="M29">
        <f t="shared" si="6"/>
        <v>11.509615384615385</v>
      </c>
      <c r="N29">
        <f t="shared" si="7"/>
        <v>14.175860323886639</v>
      </c>
    </row>
    <row r="30" spans="6:14" x14ac:dyDescent="0.15">
      <c r="F30">
        <v>26</v>
      </c>
      <c r="G30">
        <f t="shared" si="0"/>
        <v>28.92</v>
      </c>
      <c r="H30">
        <f t="shared" si="1"/>
        <v>8.2987551867219924</v>
      </c>
      <c r="I30">
        <f t="shared" si="2"/>
        <v>60</v>
      </c>
      <c r="J30">
        <f t="shared" si="3"/>
        <v>3.76</v>
      </c>
      <c r="K30">
        <f t="shared" si="4"/>
        <v>2</v>
      </c>
      <c r="L30">
        <f t="shared" si="5"/>
        <v>0.51800000000000002</v>
      </c>
      <c r="M30">
        <f t="shared" si="6"/>
        <v>11.523507692307692</v>
      </c>
      <c r="N30">
        <f t="shared" si="7"/>
        <v>14.060509032875839</v>
      </c>
    </row>
    <row r="31" spans="6:14" x14ac:dyDescent="0.15">
      <c r="F31">
        <v>27</v>
      </c>
      <c r="G31">
        <f t="shared" si="0"/>
        <v>29.34</v>
      </c>
      <c r="H31">
        <f t="shared" si="1"/>
        <v>8.1799591002044991</v>
      </c>
      <c r="I31">
        <f t="shared" si="2"/>
        <v>60</v>
      </c>
      <c r="J31">
        <f t="shared" si="3"/>
        <v>3.76</v>
      </c>
      <c r="K31">
        <f t="shared" si="4"/>
        <v>2</v>
      </c>
      <c r="L31">
        <f t="shared" si="5"/>
        <v>0.51100000000000001</v>
      </c>
      <c r="M31">
        <f t="shared" si="6"/>
        <v>11.532876923076921</v>
      </c>
      <c r="N31">
        <f t="shared" si="7"/>
        <v>13.946397561742959</v>
      </c>
    </row>
    <row r="32" spans="6:14" x14ac:dyDescent="0.15">
      <c r="F32">
        <v>28</v>
      </c>
      <c r="G32">
        <f t="shared" si="0"/>
        <v>29.759999999999998</v>
      </c>
      <c r="H32">
        <f t="shared" si="1"/>
        <v>8.0645161290322598</v>
      </c>
      <c r="I32">
        <f t="shared" si="2"/>
        <v>60</v>
      </c>
      <c r="J32">
        <f t="shared" si="3"/>
        <v>3.76</v>
      </c>
      <c r="K32">
        <f t="shared" si="4"/>
        <v>2</v>
      </c>
      <c r="L32">
        <f t="shared" si="5"/>
        <v>0.504</v>
      </c>
      <c r="M32">
        <f t="shared" si="6"/>
        <v>11.537723076923076</v>
      </c>
      <c r="N32">
        <f t="shared" si="7"/>
        <v>13.833377667493798</v>
      </c>
    </row>
    <row r="33" spans="6:14" x14ac:dyDescent="0.15">
      <c r="F33">
        <v>29</v>
      </c>
      <c r="G33">
        <f t="shared" si="0"/>
        <v>30.18</v>
      </c>
      <c r="H33">
        <f t="shared" si="1"/>
        <v>7.9522862823061633</v>
      </c>
      <c r="I33">
        <f t="shared" si="2"/>
        <v>60</v>
      </c>
      <c r="J33">
        <f t="shared" si="3"/>
        <v>3.76</v>
      </c>
      <c r="K33">
        <f t="shared" si="4"/>
        <v>2</v>
      </c>
      <c r="L33">
        <f t="shared" si="5"/>
        <v>0.497</v>
      </c>
      <c r="M33">
        <f t="shared" si="6"/>
        <v>11.538046153846153</v>
      </c>
      <c r="N33">
        <f t="shared" si="7"/>
        <v>13.72130935922924</v>
      </c>
    </row>
    <row r="34" spans="6:14" x14ac:dyDescent="0.15">
      <c r="F34">
        <v>30</v>
      </c>
      <c r="G34">
        <f t="shared" si="0"/>
        <v>30.6</v>
      </c>
      <c r="H34">
        <f t="shared" si="1"/>
        <v>7.8431372549019605</v>
      </c>
      <c r="I34">
        <f t="shared" si="2"/>
        <v>60</v>
      </c>
      <c r="J34">
        <f t="shared" si="3"/>
        <v>3.76</v>
      </c>
      <c r="K34">
        <f t="shared" si="4"/>
        <v>2</v>
      </c>
      <c r="L34">
        <f t="shared" si="5"/>
        <v>0.49</v>
      </c>
      <c r="M34">
        <f t="shared" si="6"/>
        <v>11.533846153846154</v>
      </c>
      <c r="N34">
        <f t="shared" si="7"/>
        <v>13.610060331825037</v>
      </c>
    </row>
    <row r="35" spans="6:14" x14ac:dyDescent="0.15">
      <c r="F35">
        <v>31</v>
      </c>
      <c r="G35">
        <f t="shared" si="0"/>
        <v>31.02</v>
      </c>
      <c r="H35">
        <f t="shared" si="1"/>
        <v>7.7369439071566735</v>
      </c>
      <c r="I35">
        <f t="shared" si="2"/>
        <v>60</v>
      </c>
      <c r="J35">
        <f t="shared" si="3"/>
        <v>3.76</v>
      </c>
      <c r="K35">
        <f t="shared" si="4"/>
        <v>2</v>
      </c>
      <c r="L35">
        <f t="shared" si="5"/>
        <v>0.48299999999999998</v>
      </c>
      <c r="M35">
        <f t="shared" si="6"/>
        <v>11.525123076923077</v>
      </c>
      <c r="N35">
        <f t="shared" si="7"/>
        <v>13.499505445618212</v>
      </c>
    </row>
    <row r="36" spans="6:14" x14ac:dyDescent="0.15">
      <c r="F36">
        <v>32</v>
      </c>
      <c r="G36">
        <f t="shared" ref="G36:G67" si="8">$B$4+(F36*$B$8)</f>
        <v>31.439999999999998</v>
      </c>
      <c r="H36">
        <f t="shared" ref="H36:H67" si="9">(I36*J36)/(G36*eta)</f>
        <v>7.6335877862595432</v>
      </c>
      <c r="I36">
        <f t="shared" ref="I36:I67" si="10">VOUT</f>
        <v>60</v>
      </c>
      <c r="J36">
        <f t="shared" ref="J36:J67" si="11">IOUT_np</f>
        <v>3.76</v>
      </c>
      <c r="K36">
        <f t="shared" ref="K36:K67" si="12">IF((G36*(1-(G36/I36)))/(2*Lm*fsw)&gt;H36,1,2)</f>
        <v>2</v>
      </c>
      <c r="L36">
        <f t="shared" ref="L36:L67" si="13">CHOOSE(K36,SQRT((2*Lm*fsw(I36-G36)*((I36*J36)/G36))/(I36*G36)),(1-(G36/I36)))</f>
        <v>0.47600000000000009</v>
      </c>
      <c r="M36">
        <f t="shared" ref="M36:M67" si="14">G36*L36/(Lm*fsw)</f>
        <v>11.511876923076924</v>
      </c>
      <c r="N36">
        <f t="shared" si="7"/>
        <v>13.389526247798006</v>
      </c>
    </row>
    <row r="37" spans="6:14" x14ac:dyDescent="0.15">
      <c r="F37">
        <v>33</v>
      </c>
      <c r="G37">
        <f t="shared" si="8"/>
        <v>31.86</v>
      </c>
      <c r="H37">
        <f t="shared" si="9"/>
        <v>7.5329566854990579</v>
      </c>
      <c r="I37">
        <f t="shared" si="10"/>
        <v>60</v>
      </c>
      <c r="J37">
        <f t="shared" si="11"/>
        <v>3.76</v>
      </c>
      <c r="K37">
        <f t="shared" si="12"/>
        <v>2</v>
      </c>
      <c r="L37">
        <f t="shared" si="13"/>
        <v>0.46899999999999997</v>
      </c>
      <c r="M37">
        <f t="shared" si="14"/>
        <v>11.494107692307692</v>
      </c>
      <c r="N37">
        <f t="shared" si="7"/>
        <v>13.280010531652904</v>
      </c>
    </row>
    <row r="38" spans="6:14" x14ac:dyDescent="0.15">
      <c r="F38">
        <v>34</v>
      </c>
      <c r="G38">
        <f t="shared" si="8"/>
        <v>32.28</v>
      </c>
      <c r="H38">
        <f t="shared" si="9"/>
        <v>7.4349442379182156</v>
      </c>
      <c r="I38">
        <f t="shared" si="10"/>
        <v>60</v>
      </c>
      <c r="J38">
        <f t="shared" si="11"/>
        <v>3.76</v>
      </c>
      <c r="K38">
        <f t="shared" si="12"/>
        <v>2</v>
      </c>
      <c r="L38">
        <f t="shared" si="13"/>
        <v>0.46199999999999997</v>
      </c>
      <c r="M38">
        <f t="shared" si="14"/>
        <v>11.471815384615384</v>
      </c>
      <c r="N38">
        <f t="shared" si="7"/>
        <v>13.170851930225908</v>
      </c>
    </row>
    <row r="39" spans="6:14" x14ac:dyDescent="0.15">
      <c r="F39">
        <v>35</v>
      </c>
      <c r="G39">
        <f t="shared" si="8"/>
        <v>32.700000000000003</v>
      </c>
      <c r="H39">
        <f t="shared" si="9"/>
        <v>7.3394495412844032</v>
      </c>
      <c r="I39">
        <f t="shared" si="10"/>
        <v>60</v>
      </c>
      <c r="J39">
        <f t="shared" si="11"/>
        <v>3.76</v>
      </c>
      <c r="K39">
        <f t="shared" si="12"/>
        <v>2</v>
      </c>
      <c r="L39">
        <f t="shared" si="13"/>
        <v>0.45499999999999996</v>
      </c>
      <c r="M39">
        <f t="shared" si="14"/>
        <v>11.445</v>
      </c>
      <c r="N39">
        <f t="shared" si="7"/>
        <v>13.061949541284402</v>
      </c>
    </row>
    <row r="40" spans="6:14" x14ac:dyDescent="0.15">
      <c r="F40">
        <v>36</v>
      </c>
      <c r="G40">
        <f t="shared" si="8"/>
        <v>33.119999999999997</v>
      </c>
      <c r="H40">
        <f t="shared" si="9"/>
        <v>7.246376811594204</v>
      </c>
      <c r="I40">
        <f t="shared" si="10"/>
        <v>60</v>
      </c>
      <c r="J40">
        <f t="shared" si="11"/>
        <v>3.76</v>
      </c>
      <c r="K40">
        <f t="shared" si="12"/>
        <v>2</v>
      </c>
      <c r="L40">
        <f t="shared" si="13"/>
        <v>0.44800000000000006</v>
      </c>
      <c r="M40">
        <f t="shared" si="14"/>
        <v>11.41366153846154</v>
      </c>
      <c r="N40">
        <f t="shared" si="7"/>
        <v>12.953207580824973</v>
      </c>
    </row>
    <row r="41" spans="6:14" x14ac:dyDescent="0.15">
      <c r="F41">
        <v>37</v>
      </c>
      <c r="G41">
        <f t="shared" si="8"/>
        <v>33.54</v>
      </c>
      <c r="H41">
        <f t="shared" si="9"/>
        <v>7.1556350626118075</v>
      </c>
      <c r="I41">
        <f t="shared" si="10"/>
        <v>60</v>
      </c>
      <c r="J41">
        <f t="shared" si="11"/>
        <v>3.76</v>
      </c>
      <c r="K41">
        <f t="shared" si="12"/>
        <v>2</v>
      </c>
      <c r="L41">
        <f t="shared" si="13"/>
        <v>0.44100000000000006</v>
      </c>
      <c r="M41">
        <f t="shared" si="14"/>
        <v>11.377800000000001</v>
      </c>
      <c r="N41">
        <f t="shared" si="7"/>
        <v>12.844535062611808</v>
      </c>
    </row>
    <row r="42" spans="6:14" x14ac:dyDescent="0.15">
      <c r="F42">
        <v>38</v>
      </c>
      <c r="G42">
        <f t="shared" si="8"/>
        <v>33.96</v>
      </c>
      <c r="H42">
        <f t="shared" si="9"/>
        <v>7.0671378091872787</v>
      </c>
      <c r="I42">
        <f t="shared" si="10"/>
        <v>60</v>
      </c>
      <c r="J42">
        <f t="shared" si="11"/>
        <v>3.76</v>
      </c>
      <c r="K42">
        <f t="shared" si="12"/>
        <v>2</v>
      </c>
      <c r="L42">
        <f t="shared" si="13"/>
        <v>0.43399999999999994</v>
      </c>
      <c r="M42">
        <f t="shared" si="14"/>
        <v>11.337415384615383</v>
      </c>
      <c r="N42">
        <f t="shared" si="7"/>
        <v>12.735845501494971</v>
      </c>
    </row>
    <row r="43" spans="6:14" x14ac:dyDescent="0.15">
      <c r="F43">
        <v>39</v>
      </c>
      <c r="G43">
        <f t="shared" si="8"/>
        <v>34.379999999999995</v>
      </c>
      <c r="H43">
        <f t="shared" si="9"/>
        <v>6.9808027923211187</v>
      </c>
      <c r="I43">
        <f t="shared" si="10"/>
        <v>60</v>
      </c>
      <c r="J43">
        <f t="shared" si="11"/>
        <v>3.76</v>
      </c>
      <c r="K43">
        <f t="shared" si="12"/>
        <v>2</v>
      </c>
      <c r="L43">
        <f t="shared" si="13"/>
        <v>0.42700000000000005</v>
      </c>
      <c r="M43">
        <f t="shared" si="14"/>
        <v>11.292507692307693</v>
      </c>
      <c r="N43">
        <f t="shared" si="7"/>
        <v>12.627056638474965</v>
      </c>
    </row>
    <row r="44" spans="6:14" x14ac:dyDescent="0.15">
      <c r="F44">
        <v>40</v>
      </c>
      <c r="G44">
        <f t="shared" si="8"/>
        <v>34.799999999999997</v>
      </c>
      <c r="H44">
        <f t="shared" si="9"/>
        <v>6.8965517241379315</v>
      </c>
      <c r="I44">
        <f t="shared" si="10"/>
        <v>60</v>
      </c>
      <c r="J44">
        <f t="shared" si="11"/>
        <v>3.76</v>
      </c>
      <c r="K44">
        <f t="shared" si="12"/>
        <v>2</v>
      </c>
      <c r="L44">
        <f t="shared" si="13"/>
        <v>0.42000000000000004</v>
      </c>
      <c r="M44">
        <f t="shared" si="14"/>
        <v>11.243076923076922</v>
      </c>
      <c r="N44">
        <f t="shared" si="7"/>
        <v>12.518090185676392</v>
      </c>
    </row>
    <row r="45" spans="6:14" x14ac:dyDescent="0.15">
      <c r="F45">
        <v>41</v>
      </c>
      <c r="G45">
        <f t="shared" si="8"/>
        <v>35.22</v>
      </c>
      <c r="H45">
        <f t="shared" si="9"/>
        <v>6.8143100511073254</v>
      </c>
      <c r="I45">
        <f t="shared" si="10"/>
        <v>60</v>
      </c>
      <c r="J45">
        <f t="shared" si="11"/>
        <v>3.76</v>
      </c>
      <c r="K45">
        <f t="shared" si="12"/>
        <v>2</v>
      </c>
      <c r="L45">
        <f t="shared" si="13"/>
        <v>0.41300000000000003</v>
      </c>
      <c r="M45">
        <f t="shared" si="14"/>
        <v>11.189123076923078</v>
      </c>
      <c r="N45">
        <f t="shared" si="7"/>
        <v>12.408871589568864</v>
      </c>
    </row>
    <row r="46" spans="6:14" x14ac:dyDescent="0.15">
      <c r="F46">
        <v>42</v>
      </c>
      <c r="G46">
        <f t="shared" si="8"/>
        <v>35.64</v>
      </c>
      <c r="H46">
        <f t="shared" si="9"/>
        <v>6.7340067340067344</v>
      </c>
      <c r="I46">
        <f t="shared" si="10"/>
        <v>60</v>
      </c>
      <c r="J46">
        <f t="shared" si="11"/>
        <v>3.76</v>
      </c>
      <c r="K46">
        <f t="shared" si="12"/>
        <v>2</v>
      </c>
      <c r="L46">
        <f t="shared" si="13"/>
        <v>0.40600000000000003</v>
      </c>
      <c r="M46">
        <f t="shared" si="14"/>
        <v>11.130646153846154</v>
      </c>
      <c r="N46">
        <f t="shared" si="7"/>
        <v>12.299329810929812</v>
      </c>
    </row>
    <row r="47" spans="6:14" x14ac:dyDescent="0.15">
      <c r="F47">
        <v>43</v>
      </c>
      <c r="G47">
        <f t="shared" si="8"/>
        <v>36.06</v>
      </c>
      <c r="H47">
        <f t="shared" si="9"/>
        <v>6.6555740432612307</v>
      </c>
      <c r="I47">
        <f t="shared" si="10"/>
        <v>60</v>
      </c>
      <c r="J47">
        <f t="shared" si="11"/>
        <v>3.76</v>
      </c>
      <c r="K47">
        <f t="shared" si="12"/>
        <v>2</v>
      </c>
      <c r="L47">
        <f t="shared" si="13"/>
        <v>0.39899999999999991</v>
      </c>
      <c r="M47">
        <f t="shared" si="14"/>
        <v>11.067646153846152</v>
      </c>
      <c r="N47">
        <f t="shared" si="7"/>
        <v>12.189397120184307</v>
      </c>
    </row>
    <row r="48" spans="6:14" x14ac:dyDescent="0.15">
      <c r="F48">
        <v>44</v>
      </c>
      <c r="G48">
        <f t="shared" si="8"/>
        <v>36.480000000000004</v>
      </c>
      <c r="H48">
        <f t="shared" si="9"/>
        <v>6.5789473684210522</v>
      </c>
      <c r="I48">
        <f t="shared" si="10"/>
        <v>60</v>
      </c>
      <c r="J48">
        <f t="shared" si="11"/>
        <v>3.76</v>
      </c>
      <c r="K48">
        <f t="shared" si="12"/>
        <v>2</v>
      </c>
      <c r="L48">
        <f t="shared" si="13"/>
        <v>0.3919999999999999</v>
      </c>
      <c r="M48">
        <f t="shared" si="14"/>
        <v>11.000123076923074</v>
      </c>
      <c r="N48">
        <f t="shared" si="7"/>
        <v>12.079008906882589</v>
      </c>
    </row>
    <row r="49" spans="6:14" x14ac:dyDescent="0.15">
      <c r="F49">
        <v>45</v>
      </c>
      <c r="G49">
        <f t="shared" si="8"/>
        <v>36.9</v>
      </c>
      <c r="H49">
        <f t="shared" si="9"/>
        <v>6.5040650406504064</v>
      </c>
      <c r="I49">
        <f t="shared" si="10"/>
        <v>60</v>
      </c>
      <c r="J49">
        <f t="shared" si="11"/>
        <v>3.76</v>
      </c>
      <c r="K49">
        <f t="shared" si="12"/>
        <v>2</v>
      </c>
      <c r="L49">
        <f t="shared" si="13"/>
        <v>0.38500000000000001</v>
      </c>
      <c r="M49">
        <f t="shared" si="14"/>
        <v>10.928076923076922</v>
      </c>
      <c r="N49">
        <f t="shared" si="7"/>
        <v>11.968103502188868</v>
      </c>
    </row>
    <row r="50" spans="6:14" x14ac:dyDescent="0.15">
      <c r="F50">
        <v>46</v>
      </c>
      <c r="G50">
        <f t="shared" si="8"/>
        <v>37.32</v>
      </c>
      <c r="H50">
        <f t="shared" si="9"/>
        <v>6.4308681672025729</v>
      </c>
      <c r="I50">
        <f t="shared" si="10"/>
        <v>60</v>
      </c>
      <c r="J50">
        <f t="shared" si="11"/>
        <v>3.76</v>
      </c>
      <c r="K50">
        <f t="shared" si="12"/>
        <v>2</v>
      </c>
      <c r="L50">
        <f t="shared" si="13"/>
        <v>0.378</v>
      </c>
      <c r="M50">
        <f t="shared" si="14"/>
        <v>10.851507692307692</v>
      </c>
      <c r="N50">
        <f t="shared" si="7"/>
        <v>11.856622013356418</v>
      </c>
    </row>
    <row r="51" spans="6:14" x14ac:dyDescent="0.15">
      <c r="F51">
        <v>47</v>
      </c>
      <c r="G51">
        <f t="shared" si="8"/>
        <v>37.739999999999995</v>
      </c>
      <c r="H51">
        <f t="shared" si="9"/>
        <v>6.3593004769475368</v>
      </c>
      <c r="I51">
        <f t="shared" si="10"/>
        <v>60</v>
      </c>
      <c r="J51">
        <f t="shared" si="11"/>
        <v>3.76</v>
      </c>
      <c r="K51">
        <f t="shared" si="12"/>
        <v>2</v>
      </c>
      <c r="L51">
        <f t="shared" si="13"/>
        <v>0.37100000000000011</v>
      </c>
      <c r="M51">
        <f t="shared" si="14"/>
        <v>10.770415384615387</v>
      </c>
      <c r="N51">
        <f t="shared" si="7"/>
        <v>11.74450816925523</v>
      </c>
    </row>
    <row r="52" spans="6:14" x14ac:dyDescent="0.15">
      <c r="F52">
        <v>48</v>
      </c>
      <c r="G52">
        <f t="shared" si="8"/>
        <v>38.159999999999997</v>
      </c>
      <c r="H52">
        <f t="shared" si="9"/>
        <v>6.2893081761006293</v>
      </c>
      <c r="I52">
        <f t="shared" si="10"/>
        <v>60</v>
      </c>
      <c r="J52">
        <f t="shared" si="11"/>
        <v>3.76</v>
      </c>
      <c r="K52">
        <f t="shared" si="12"/>
        <v>2</v>
      </c>
      <c r="L52">
        <f t="shared" si="13"/>
        <v>0.3640000000000001</v>
      </c>
      <c r="M52">
        <f t="shared" si="14"/>
        <v>10.684800000000001</v>
      </c>
      <c r="N52">
        <f t="shared" si="7"/>
        <v>11.631708176100631</v>
      </c>
    </row>
    <row r="53" spans="6:14" x14ac:dyDescent="0.15">
      <c r="F53">
        <v>49</v>
      </c>
      <c r="G53">
        <f t="shared" si="8"/>
        <v>38.58</v>
      </c>
      <c r="H53">
        <f t="shared" si="9"/>
        <v>6.2208398133748064</v>
      </c>
      <c r="I53">
        <f t="shared" si="10"/>
        <v>60</v>
      </c>
      <c r="J53">
        <f t="shared" si="11"/>
        <v>3.76</v>
      </c>
      <c r="K53">
        <f t="shared" si="12"/>
        <v>2</v>
      </c>
      <c r="L53">
        <f t="shared" si="13"/>
        <v>0.35699999999999998</v>
      </c>
      <c r="M53">
        <f t="shared" si="14"/>
        <v>10.594661538461537</v>
      </c>
      <c r="N53">
        <f t="shared" si="7"/>
        <v>11.518170582605574</v>
      </c>
    </row>
    <row r="54" spans="6:14" x14ac:dyDescent="0.15">
      <c r="F54">
        <v>50</v>
      </c>
      <c r="G54">
        <f t="shared" si="8"/>
        <v>39</v>
      </c>
      <c r="H54">
        <f t="shared" si="9"/>
        <v>6.1538461538461542</v>
      </c>
      <c r="I54">
        <f t="shared" si="10"/>
        <v>60</v>
      </c>
      <c r="J54">
        <f t="shared" si="11"/>
        <v>3.76</v>
      </c>
      <c r="K54">
        <f t="shared" si="12"/>
        <v>2</v>
      </c>
      <c r="L54">
        <f t="shared" si="13"/>
        <v>0.35</v>
      </c>
      <c r="M54">
        <f t="shared" si="14"/>
        <v>10.499999999999998</v>
      </c>
      <c r="N54">
        <f t="shared" si="7"/>
        <v>11.403846153846153</v>
      </c>
    </row>
    <row r="55" spans="6:14" x14ac:dyDescent="0.15">
      <c r="F55">
        <v>51</v>
      </c>
      <c r="G55">
        <f t="shared" si="8"/>
        <v>39.42</v>
      </c>
      <c r="H55">
        <f t="shared" si="9"/>
        <v>6.0882800608828003</v>
      </c>
      <c r="I55">
        <f t="shared" si="10"/>
        <v>60</v>
      </c>
      <c r="J55">
        <f t="shared" si="11"/>
        <v>3.76</v>
      </c>
      <c r="K55">
        <f t="shared" si="12"/>
        <v>2</v>
      </c>
      <c r="L55">
        <f t="shared" si="13"/>
        <v>0.34299999999999997</v>
      </c>
      <c r="M55">
        <f t="shared" si="14"/>
        <v>10.400815384615385</v>
      </c>
      <c r="N55">
        <f t="shared" si="7"/>
        <v>11.288687753190493</v>
      </c>
    </row>
    <row r="56" spans="6:14" x14ac:dyDescent="0.15">
      <c r="F56">
        <v>52</v>
      </c>
      <c r="G56">
        <f t="shared" si="8"/>
        <v>39.840000000000003</v>
      </c>
      <c r="H56">
        <f t="shared" si="9"/>
        <v>6.0240963855421681</v>
      </c>
      <c r="I56">
        <f t="shared" si="10"/>
        <v>60</v>
      </c>
      <c r="J56">
        <f t="shared" si="11"/>
        <v>3.76</v>
      </c>
      <c r="K56">
        <f t="shared" si="12"/>
        <v>2</v>
      </c>
      <c r="L56">
        <f t="shared" si="13"/>
        <v>0.33599999999999997</v>
      </c>
      <c r="M56">
        <f t="shared" si="14"/>
        <v>10.297107692307691</v>
      </c>
      <c r="N56">
        <f t="shared" si="7"/>
        <v>11.172650231696014</v>
      </c>
    </row>
    <row r="57" spans="6:14" x14ac:dyDescent="0.15">
      <c r="F57">
        <v>53</v>
      </c>
      <c r="G57">
        <f t="shared" si="8"/>
        <v>40.26</v>
      </c>
      <c r="H57">
        <f t="shared" si="9"/>
        <v>5.9612518628912081</v>
      </c>
      <c r="I57">
        <f t="shared" si="10"/>
        <v>60</v>
      </c>
      <c r="J57">
        <f t="shared" si="11"/>
        <v>3.76</v>
      </c>
      <c r="K57">
        <f t="shared" si="12"/>
        <v>2</v>
      </c>
      <c r="L57">
        <f t="shared" si="13"/>
        <v>0.32900000000000007</v>
      </c>
      <c r="M57">
        <f t="shared" si="14"/>
        <v>10.188876923076924</v>
      </c>
      <c r="N57">
        <f t="shared" si="7"/>
        <v>11.055690324429669</v>
      </c>
    </row>
    <row r="58" spans="6:14" x14ac:dyDescent="0.15">
      <c r="F58">
        <v>54</v>
      </c>
      <c r="G58">
        <f t="shared" si="8"/>
        <v>40.68</v>
      </c>
      <c r="H58">
        <f t="shared" si="9"/>
        <v>5.8997050147492631</v>
      </c>
      <c r="I58">
        <f t="shared" si="10"/>
        <v>60</v>
      </c>
      <c r="J58">
        <f t="shared" si="11"/>
        <v>3.76</v>
      </c>
      <c r="K58">
        <f t="shared" si="12"/>
        <v>2</v>
      </c>
      <c r="L58">
        <f t="shared" si="13"/>
        <v>0.32199999999999995</v>
      </c>
      <c r="M58">
        <f t="shared" si="14"/>
        <v>10.076123076923075</v>
      </c>
      <c r="N58">
        <f t="shared" si="7"/>
        <v>10.9377665532108</v>
      </c>
    </row>
    <row r="59" spans="6:14" x14ac:dyDescent="0.15">
      <c r="F59">
        <v>55</v>
      </c>
      <c r="G59">
        <f t="shared" si="8"/>
        <v>41.099999999999994</v>
      </c>
      <c r="H59">
        <f t="shared" si="9"/>
        <v>5.8394160583941614</v>
      </c>
      <c r="I59">
        <f t="shared" si="10"/>
        <v>60</v>
      </c>
      <c r="J59">
        <f t="shared" si="11"/>
        <v>3.76</v>
      </c>
      <c r="K59">
        <f t="shared" si="12"/>
        <v>2</v>
      </c>
      <c r="L59">
        <f t="shared" si="13"/>
        <v>0.31500000000000006</v>
      </c>
      <c r="M59">
        <f t="shared" si="14"/>
        <v>9.958846153846153</v>
      </c>
      <c r="N59">
        <f t="shared" si="7"/>
        <v>10.818839135317237</v>
      </c>
    </row>
    <row r="60" spans="6:14" x14ac:dyDescent="0.15">
      <c r="F60">
        <v>56</v>
      </c>
      <c r="G60">
        <f t="shared" si="8"/>
        <v>41.519999999999996</v>
      </c>
      <c r="H60">
        <f t="shared" si="9"/>
        <v>5.7803468208092488</v>
      </c>
      <c r="I60">
        <f t="shared" si="10"/>
        <v>60</v>
      </c>
      <c r="J60">
        <f t="shared" si="11"/>
        <v>3.76</v>
      </c>
      <c r="K60">
        <f t="shared" si="12"/>
        <v>2</v>
      </c>
      <c r="L60">
        <f t="shared" si="13"/>
        <v>0.30800000000000005</v>
      </c>
      <c r="M60">
        <f t="shared" si="14"/>
        <v>9.8370461538461544</v>
      </c>
      <c r="N60">
        <f t="shared" si="7"/>
        <v>10.698869897732326</v>
      </c>
    </row>
    <row r="61" spans="6:14" x14ac:dyDescent="0.15">
      <c r="F61">
        <v>57</v>
      </c>
      <c r="G61">
        <f t="shared" si="8"/>
        <v>41.94</v>
      </c>
      <c r="H61">
        <f t="shared" si="9"/>
        <v>5.7224606580829764</v>
      </c>
      <c r="I61">
        <f t="shared" si="10"/>
        <v>60</v>
      </c>
      <c r="J61">
        <f t="shared" si="11"/>
        <v>3.76</v>
      </c>
      <c r="K61">
        <f t="shared" si="12"/>
        <v>2</v>
      </c>
      <c r="L61">
        <f t="shared" si="13"/>
        <v>0.30100000000000005</v>
      </c>
      <c r="M61">
        <f t="shared" si="14"/>
        <v>9.7107230769230775</v>
      </c>
      <c r="N61">
        <f t="shared" si="7"/>
        <v>10.577822196544515</v>
      </c>
    </row>
    <row r="62" spans="6:14" x14ac:dyDescent="0.15">
      <c r="F62">
        <v>58</v>
      </c>
      <c r="G62">
        <f t="shared" si="8"/>
        <v>42.36</v>
      </c>
      <c r="H62">
        <f t="shared" si="9"/>
        <v>5.6657223796034</v>
      </c>
      <c r="I62">
        <f t="shared" si="10"/>
        <v>60</v>
      </c>
      <c r="J62">
        <f t="shared" si="11"/>
        <v>3.76</v>
      </c>
      <c r="K62">
        <f t="shared" si="12"/>
        <v>2</v>
      </c>
      <c r="L62">
        <f t="shared" si="13"/>
        <v>0.29400000000000004</v>
      </c>
      <c r="M62">
        <f t="shared" si="14"/>
        <v>9.5798769230769238</v>
      </c>
      <c r="N62">
        <f t="shared" si="7"/>
        <v>10.455660841141862</v>
      </c>
    </row>
    <row r="63" spans="6:14" x14ac:dyDescent="0.15">
      <c r="F63">
        <v>59</v>
      </c>
      <c r="G63">
        <f t="shared" si="8"/>
        <v>42.78</v>
      </c>
      <c r="H63">
        <f t="shared" si="9"/>
        <v>5.6100981767180924</v>
      </c>
      <c r="I63">
        <f t="shared" si="10"/>
        <v>60</v>
      </c>
      <c r="J63">
        <f t="shared" si="11"/>
        <v>3.76</v>
      </c>
      <c r="K63">
        <f t="shared" si="12"/>
        <v>2</v>
      </c>
      <c r="L63">
        <f t="shared" si="13"/>
        <v>0.28700000000000003</v>
      </c>
      <c r="M63">
        <f t="shared" si="14"/>
        <v>9.4445076923076936</v>
      </c>
      <c r="N63">
        <f t="shared" si="7"/>
        <v>10.332352022871939</v>
      </c>
    </row>
    <row r="64" spans="6:14" x14ac:dyDescent="0.15">
      <c r="F64">
        <v>60</v>
      </c>
      <c r="G64">
        <f t="shared" si="8"/>
        <v>43.2</v>
      </c>
      <c r="H64">
        <f t="shared" si="9"/>
        <v>5.5555555555555562</v>
      </c>
      <c r="I64">
        <f t="shared" si="10"/>
        <v>60</v>
      </c>
      <c r="J64">
        <f t="shared" si="11"/>
        <v>3.76</v>
      </c>
      <c r="K64">
        <f t="shared" si="12"/>
        <v>2</v>
      </c>
      <c r="L64">
        <f t="shared" si="13"/>
        <v>0.27999999999999992</v>
      </c>
      <c r="M64">
        <f t="shared" si="14"/>
        <v>9.3046153846153814</v>
      </c>
      <c r="N64">
        <f t="shared" si="7"/>
        <v>10.207863247863248</v>
      </c>
    </row>
    <row r="65" spans="6:14" x14ac:dyDescent="0.15">
      <c r="F65">
        <v>61</v>
      </c>
      <c r="G65">
        <f t="shared" si="8"/>
        <v>43.62</v>
      </c>
      <c r="H65">
        <f t="shared" si="9"/>
        <v>5.5020632737276483</v>
      </c>
      <c r="I65">
        <f t="shared" si="10"/>
        <v>60</v>
      </c>
      <c r="J65">
        <f t="shared" si="11"/>
        <v>3.76</v>
      </c>
      <c r="K65">
        <f t="shared" si="12"/>
        <v>2</v>
      </c>
      <c r="L65">
        <f t="shared" si="13"/>
        <v>0.27300000000000002</v>
      </c>
      <c r="M65">
        <f t="shared" si="14"/>
        <v>9.1601999999999997</v>
      </c>
      <c r="N65">
        <f t="shared" si="7"/>
        <v>10.082163273727648</v>
      </c>
    </row>
    <row r="66" spans="6:14" x14ac:dyDescent="0.15">
      <c r="F66">
        <v>62</v>
      </c>
      <c r="G66">
        <f t="shared" si="8"/>
        <v>44.04</v>
      </c>
      <c r="H66">
        <f t="shared" si="9"/>
        <v>5.4495912806539515</v>
      </c>
      <c r="I66">
        <f t="shared" si="10"/>
        <v>60</v>
      </c>
      <c r="J66">
        <f t="shared" si="11"/>
        <v>3.76</v>
      </c>
      <c r="K66">
        <f t="shared" si="12"/>
        <v>2</v>
      </c>
      <c r="L66">
        <f t="shared" si="13"/>
        <v>0.26600000000000001</v>
      </c>
      <c r="M66">
        <f t="shared" si="14"/>
        <v>9.0112615384615395</v>
      </c>
      <c r="N66">
        <f t="shared" si="7"/>
        <v>9.9552220498847213</v>
      </c>
    </row>
    <row r="67" spans="6:14" x14ac:dyDescent="0.15">
      <c r="F67">
        <v>63</v>
      </c>
      <c r="G67">
        <f t="shared" si="8"/>
        <v>44.459999999999994</v>
      </c>
      <c r="H67">
        <f t="shared" si="9"/>
        <v>5.3981106612685563</v>
      </c>
      <c r="I67">
        <f t="shared" si="10"/>
        <v>60</v>
      </c>
      <c r="J67">
        <f t="shared" si="11"/>
        <v>3.76</v>
      </c>
      <c r="K67">
        <f t="shared" si="12"/>
        <v>2</v>
      </c>
      <c r="L67">
        <f t="shared" si="13"/>
        <v>0.25900000000000012</v>
      </c>
      <c r="M67">
        <f t="shared" si="14"/>
        <v>8.8578000000000028</v>
      </c>
      <c r="N67">
        <f t="shared" si="7"/>
        <v>9.8270106612685577</v>
      </c>
    </row>
    <row r="68" spans="6:14" x14ac:dyDescent="0.15">
      <c r="F68">
        <v>64</v>
      </c>
      <c r="G68">
        <f t="shared" ref="G68:G99" si="15">$B$4+(F68*$B$8)</f>
        <v>44.879999999999995</v>
      </c>
      <c r="H68">
        <f t="shared" ref="H68:H99" si="16">(I68*J68)/(G68*eta)</f>
        <v>5.3475935828877015</v>
      </c>
      <c r="I68">
        <f t="shared" ref="I68:I104" si="17">VOUT</f>
        <v>60</v>
      </c>
      <c r="J68">
        <f t="shared" ref="J68:J104" si="18">IOUT_np</f>
        <v>3.76</v>
      </c>
      <c r="K68">
        <f t="shared" ref="K68:K104" si="19">IF((G68*(1-(G68/I68)))/(2*Lm*fsw)&gt;H68,1,2)</f>
        <v>2</v>
      </c>
      <c r="L68">
        <f t="shared" ref="L68:L99" si="20">CHOOSE(K68,SQRT((2*Lm*fsw(I68-G68)*((I68*J68)/G68))/(I68*G68)),(1-(G68/I68)))</f>
        <v>0.25200000000000011</v>
      </c>
      <c r="M68">
        <f t="shared" ref="M68:M99" si="21">G68*L68/(Lm*fsw)</f>
        <v>8.6998153846153876</v>
      </c>
      <c r="N68">
        <f t="shared" si="7"/>
        <v>9.6975012751953962</v>
      </c>
    </row>
    <row r="69" spans="6:14" x14ac:dyDescent="0.15">
      <c r="F69">
        <v>65</v>
      </c>
      <c r="G69">
        <f t="shared" si="15"/>
        <v>45.3</v>
      </c>
      <c r="H69">
        <f t="shared" si="16"/>
        <v>5.298013245033113</v>
      </c>
      <c r="I69">
        <f t="shared" si="17"/>
        <v>60</v>
      </c>
      <c r="J69">
        <f t="shared" si="18"/>
        <v>3.76</v>
      </c>
      <c r="K69">
        <f t="shared" si="19"/>
        <v>2</v>
      </c>
      <c r="L69">
        <f t="shared" si="20"/>
        <v>0.245</v>
      </c>
      <c r="M69">
        <f t="shared" si="21"/>
        <v>8.5373076923076923</v>
      </c>
      <c r="N69">
        <f t="shared" ref="N69:N104" si="22">H69+(M69/2)</f>
        <v>9.5666670911869591</v>
      </c>
    </row>
    <row r="70" spans="6:14" x14ac:dyDescent="0.15">
      <c r="F70">
        <v>66</v>
      </c>
      <c r="G70">
        <f t="shared" si="15"/>
        <v>45.72</v>
      </c>
      <c r="H70">
        <f t="shared" si="16"/>
        <v>5.2493438320209975</v>
      </c>
      <c r="I70">
        <f t="shared" si="17"/>
        <v>60</v>
      </c>
      <c r="J70">
        <f t="shared" si="18"/>
        <v>3.76</v>
      </c>
      <c r="K70">
        <f t="shared" si="19"/>
        <v>2</v>
      </c>
      <c r="L70">
        <f t="shared" si="20"/>
        <v>0.23799999999999999</v>
      </c>
      <c r="M70">
        <f t="shared" si="21"/>
        <v>8.3702769230769221</v>
      </c>
      <c r="N70">
        <f t="shared" si="22"/>
        <v>9.4344822935594586</v>
      </c>
    </row>
    <row r="71" spans="6:14" x14ac:dyDescent="0.15">
      <c r="F71">
        <v>67</v>
      </c>
      <c r="G71">
        <f t="shared" si="15"/>
        <v>46.14</v>
      </c>
      <c r="H71">
        <f t="shared" si="16"/>
        <v>5.2015604681404417</v>
      </c>
      <c r="I71">
        <f t="shared" si="17"/>
        <v>60</v>
      </c>
      <c r="J71">
        <f t="shared" si="18"/>
        <v>3.76</v>
      </c>
      <c r="K71">
        <f t="shared" si="19"/>
        <v>2</v>
      </c>
      <c r="L71">
        <f t="shared" si="20"/>
        <v>0.23099999999999998</v>
      </c>
      <c r="M71">
        <f t="shared" si="21"/>
        <v>8.1987230769230752</v>
      </c>
      <c r="N71">
        <f t="shared" si="22"/>
        <v>9.3009220066019793</v>
      </c>
    </row>
    <row r="72" spans="6:14" x14ac:dyDescent="0.15">
      <c r="F72">
        <v>68</v>
      </c>
      <c r="G72">
        <f t="shared" si="15"/>
        <v>46.56</v>
      </c>
      <c r="H72">
        <f t="shared" si="16"/>
        <v>5.1546391752577323</v>
      </c>
      <c r="I72">
        <f t="shared" si="17"/>
        <v>60</v>
      </c>
      <c r="J72">
        <f t="shared" si="18"/>
        <v>3.76</v>
      </c>
      <c r="K72">
        <f t="shared" si="19"/>
        <v>2</v>
      </c>
      <c r="L72">
        <f t="shared" si="20"/>
        <v>0.22399999999999998</v>
      </c>
      <c r="M72">
        <f t="shared" si="21"/>
        <v>8.0226461538461535</v>
      </c>
      <c r="N72">
        <f t="shared" si="22"/>
        <v>9.1659622521808082</v>
      </c>
    </row>
    <row r="73" spans="6:14" x14ac:dyDescent="0.15">
      <c r="F73">
        <v>69</v>
      </c>
      <c r="G73">
        <f t="shared" si="15"/>
        <v>46.980000000000004</v>
      </c>
      <c r="H73">
        <f t="shared" si="16"/>
        <v>5.1085568326947639</v>
      </c>
      <c r="I73">
        <f t="shared" si="17"/>
        <v>60</v>
      </c>
      <c r="J73">
        <f t="shared" si="18"/>
        <v>3.76</v>
      </c>
      <c r="K73">
        <f t="shared" si="19"/>
        <v>2</v>
      </c>
      <c r="L73">
        <f t="shared" si="20"/>
        <v>0.21699999999999997</v>
      </c>
      <c r="M73">
        <f t="shared" si="21"/>
        <v>7.8420461538461526</v>
      </c>
      <c r="N73">
        <f t="shared" si="22"/>
        <v>9.0295799096178406</v>
      </c>
    </row>
    <row r="74" spans="6:14" x14ac:dyDescent="0.15">
      <c r="F74">
        <v>70</v>
      </c>
      <c r="G74">
        <f t="shared" si="15"/>
        <v>47.4</v>
      </c>
      <c r="H74">
        <f t="shared" si="16"/>
        <v>5.0632911392405067</v>
      </c>
      <c r="I74">
        <f t="shared" si="17"/>
        <v>60</v>
      </c>
      <c r="J74">
        <f t="shared" si="18"/>
        <v>3.76</v>
      </c>
      <c r="K74">
        <f t="shared" si="19"/>
        <v>2</v>
      </c>
      <c r="L74">
        <f t="shared" si="20"/>
        <v>0.21000000000000008</v>
      </c>
      <c r="M74">
        <f t="shared" si="21"/>
        <v>7.6569230769230785</v>
      </c>
      <c r="N74">
        <f t="shared" si="22"/>
        <v>8.8917526777020459</v>
      </c>
    </row>
    <row r="75" spans="6:14" x14ac:dyDescent="0.15">
      <c r="F75">
        <v>71</v>
      </c>
      <c r="G75">
        <f t="shared" si="15"/>
        <v>47.82</v>
      </c>
      <c r="H75">
        <f t="shared" si="16"/>
        <v>5.0188205771643659</v>
      </c>
      <c r="I75">
        <f t="shared" si="17"/>
        <v>60</v>
      </c>
      <c r="J75">
        <f t="shared" si="18"/>
        <v>3.76</v>
      </c>
      <c r="K75">
        <f t="shared" si="19"/>
        <v>2</v>
      </c>
      <c r="L75">
        <f t="shared" si="20"/>
        <v>0.20299999999999996</v>
      </c>
      <c r="M75">
        <f t="shared" si="21"/>
        <v>7.4672769230769207</v>
      </c>
      <c r="N75">
        <f t="shared" si="22"/>
        <v>8.7524590387028258</v>
      </c>
    </row>
    <row r="76" spans="6:14" x14ac:dyDescent="0.15">
      <c r="F76">
        <v>72</v>
      </c>
      <c r="G76">
        <f t="shared" si="15"/>
        <v>48.239999999999995</v>
      </c>
      <c r="H76">
        <f t="shared" si="16"/>
        <v>4.9751243781094541</v>
      </c>
      <c r="I76">
        <f t="shared" si="17"/>
        <v>60</v>
      </c>
      <c r="J76">
        <f t="shared" si="18"/>
        <v>3.76</v>
      </c>
      <c r="K76">
        <f t="shared" si="19"/>
        <v>2</v>
      </c>
      <c r="L76">
        <f t="shared" si="20"/>
        <v>0.19600000000000006</v>
      </c>
      <c r="M76">
        <f t="shared" si="21"/>
        <v>7.2731076923076934</v>
      </c>
      <c r="N76">
        <f t="shared" si="22"/>
        <v>8.6116782242633008</v>
      </c>
    </row>
    <row r="77" spans="6:14" x14ac:dyDescent="0.15">
      <c r="F77">
        <v>73</v>
      </c>
      <c r="G77">
        <f t="shared" si="15"/>
        <v>48.66</v>
      </c>
      <c r="H77">
        <f t="shared" si="16"/>
        <v>4.9321824907521581</v>
      </c>
      <c r="I77">
        <f t="shared" si="17"/>
        <v>60</v>
      </c>
      <c r="J77">
        <f t="shared" si="18"/>
        <v>3.76</v>
      </c>
      <c r="K77">
        <f t="shared" si="19"/>
        <v>2</v>
      </c>
      <c r="L77">
        <f t="shared" si="20"/>
        <v>0.18900000000000006</v>
      </c>
      <c r="M77">
        <f t="shared" si="21"/>
        <v>7.0744153846153859</v>
      </c>
      <c r="N77">
        <f t="shared" si="22"/>
        <v>8.4693901830598506</v>
      </c>
    </row>
    <row r="78" spans="6:14" x14ac:dyDescent="0.15">
      <c r="F78">
        <v>74</v>
      </c>
      <c r="G78">
        <f t="shared" si="15"/>
        <v>49.08</v>
      </c>
      <c r="H78">
        <f t="shared" si="16"/>
        <v>4.8899755501222497</v>
      </c>
      <c r="I78">
        <f t="shared" si="17"/>
        <v>60</v>
      </c>
      <c r="J78">
        <f t="shared" si="18"/>
        <v>3.76</v>
      </c>
      <c r="K78">
        <f t="shared" si="19"/>
        <v>2</v>
      </c>
      <c r="L78">
        <f t="shared" si="20"/>
        <v>0.18200000000000005</v>
      </c>
      <c r="M78">
        <f t="shared" si="21"/>
        <v>6.8712000000000018</v>
      </c>
      <c r="N78">
        <f t="shared" si="22"/>
        <v>8.3255755501222506</v>
      </c>
    </row>
    <row r="79" spans="6:14" x14ac:dyDescent="0.15">
      <c r="F79">
        <v>75</v>
      </c>
      <c r="G79">
        <f t="shared" si="15"/>
        <v>49.5</v>
      </c>
      <c r="H79">
        <f t="shared" si="16"/>
        <v>4.8484848484848486</v>
      </c>
      <c r="I79">
        <f t="shared" si="17"/>
        <v>60</v>
      </c>
      <c r="J79">
        <f t="shared" si="18"/>
        <v>3.76</v>
      </c>
      <c r="K79">
        <f t="shared" si="19"/>
        <v>2</v>
      </c>
      <c r="L79">
        <f t="shared" si="20"/>
        <v>0.17500000000000004</v>
      </c>
      <c r="M79">
        <f t="shared" si="21"/>
        <v>6.6634615384615392</v>
      </c>
      <c r="N79">
        <f t="shared" si="22"/>
        <v>8.1802156177156178</v>
      </c>
    </row>
    <row r="80" spans="6:14" x14ac:dyDescent="0.15">
      <c r="F80">
        <v>76</v>
      </c>
      <c r="G80">
        <f t="shared" si="15"/>
        <v>49.92</v>
      </c>
      <c r="H80">
        <f t="shared" si="16"/>
        <v>4.8076923076923075</v>
      </c>
      <c r="I80">
        <f t="shared" si="17"/>
        <v>60</v>
      </c>
      <c r="J80">
        <f t="shared" si="18"/>
        <v>3.76</v>
      </c>
      <c r="K80">
        <f t="shared" si="19"/>
        <v>2</v>
      </c>
      <c r="L80">
        <f t="shared" si="20"/>
        <v>0.16799999999999993</v>
      </c>
      <c r="M80">
        <f t="shared" si="21"/>
        <v>6.4511999999999965</v>
      </c>
      <c r="N80">
        <f t="shared" si="22"/>
        <v>8.0332923076923066</v>
      </c>
    </row>
    <row r="81" spans="6:14" x14ac:dyDescent="0.15">
      <c r="F81">
        <v>77</v>
      </c>
      <c r="G81">
        <f t="shared" si="15"/>
        <v>50.339999999999996</v>
      </c>
      <c r="H81">
        <f t="shared" si="16"/>
        <v>4.7675804529201438</v>
      </c>
      <c r="I81">
        <f t="shared" si="17"/>
        <v>60</v>
      </c>
      <c r="J81">
        <f t="shared" si="18"/>
        <v>3.76</v>
      </c>
      <c r="K81">
        <f t="shared" si="19"/>
        <v>2</v>
      </c>
      <c r="L81">
        <f t="shared" si="20"/>
        <v>0.16100000000000003</v>
      </c>
      <c r="M81">
        <f t="shared" si="21"/>
        <v>6.2344153846153851</v>
      </c>
      <c r="N81">
        <f t="shared" si="22"/>
        <v>7.8847881452278363</v>
      </c>
    </row>
    <row r="82" spans="6:14" x14ac:dyDescent="0.15">
      <c r="F82">
        <v>78</v>
      </c>
      <c r="G82">
        <f t="shared" si="15"/>
        <v>50.76</v>
      </c>
      <c r="H82">
        <f t="shared" si="16"/>
        <v>4.7281323877068555</v>
      </c>
      <c r="I82">
        <f t="shared" si="17"/>
        <v>60</v>
      </c>
      <c r="J82">
        <f t="shared" si="18"/>
        <v>3.76</v>
      </c>
      <c r="K82">
        <f t="shared" si="19"/>
        <v>2</v>
      </c>
      <c r="L82">
        <f t="shared" si="20"/>
        <v>0.15400000000000003</v>
      </c>
      <c r="M82">
        <f t="shared" si="21"/>
        <v>6.0131076923076927</v>
      </c>
      <c r="N82">
        <f t="shared" si="22"/>
        <v>7.7346862338607014</v>
      </c>
    </row>
    <row r="83" spans="6:14" x14ac:dyDescent="0.15">
      <c r="F83">
        <v>79</v>
      </c>
      <c r="G83">
        <f t="shared" si="15"/>
        <v>51.18</v>
      </c>
      <c r="H83">
        <f t="shared" si="16"/>
        <v>4.6893317702227435</v>
      </c>
      <c r="I83">
        <f t="shared" si="17"/>
        <v>60</v>
      </c>
      <c r="J83">
        <f t="shared" si="18"/>
        <v>3.76</v>
      </c>
      <c r="K83">
        <f t="shared" si="19"/>
        <v>2</v>
      </c>
      <c r="L83">
        <f t="shared" si="20"/>
        <v>0.14700000000000002</v>
      </c>
      <c r="M83">
        <f t="shared" si="21"/>
        <v>5.7872769230769237</v>
      </c>
      <c r="N83">
        <f t="shared" si="22"/>
        <v>7.5829702317612053</v>
      </c>
    </row>
    <row r="84" spans="6:14" x14ac:dyDescent="0.15">
      <c r="F84">
        <v>80</v>
      </c>
      <c r="G84">
        <f t="shared" si="15"/>
        <v>51.6</v>
      </c>
      <c r="H84">
        <f t="shared" si="16"/>
        <v>4.6511627906976747</v>
      </c>
      <c r="I84">
        <f t="shared" si="17"/>
        <v>60</v>
      </c>
      <c r="J84">
        <f t="shared" si="18"/>
        <v>3.76</v>
      </c>
      <c r="K84">
        <f t="shared" si="19"/>
        <v>2</v>
      </c>
      <c r="L84">
        <f t="shared" si="20"/>
        <v>0.14000000000000001</v>
      </c>
      <c r="M84">
        <f t="shared" si="21"/>
        <v>5.556923076923078</v>
      </c>
      <c r="N84">
        <f t="shared" si="22"/>
        <v>7.4296243291592141</v>
      </c>
    </row>
    <row r="85" spans="6:14" x14ac:dyDescent="0.15">
      <c r="F85">
        <v>81</v>
      </c>
      <c r="G85">
        <f t="shared" si="15"/>
        <v>52.019999999999996</v>
      </c>
      <c r="H85">
        <f t="shared" si="16"/>
        <v>4.6136101499423301</v>
      </c>
      <c r="I85">
        <f t="shared" si="17"/>
        <v>60</v>
      </c>
      <c r="J85">
        <f t="shared" si="18"/>
        <v>3.76</v>
      </c>
      <c r="K85">
        <f t="shared" si="19"/>
        <v>2</v>
      </c>
      <c r="L85">
        <f t="shared" si="20"/>
        <v>0.13300000000000012</v>
      </c>
      <c r="M85">
        <f t="shared" si="21"/>
        <v>5.3220461538461574</v>
      </c>
      <c r="N85">
        <f t="shared" si="22"/>
        <v>7.2746332268654088</v>
      </c>
    </row>
    <row r="86" spans="6:14" x14ac:dyDescent="0.15">
      <c r="F86">
        <v>82</v>
      </c>
      <c r="G86">
        <f t="shared" si="15"/>
        <v>52.44</v>
      </c>
      <c r="H86">
        <f t="shared" si="16"/>
        <v>4.5766590389016022</v>
      </c>
      <c r="I86">
        <f t="shared" si="17"/>
        <v>60</v>
      </c>
      <c r="J86">
        <f t="shared" si="18"/>
        <v>3.76</v>
      </c>
      <c r="K86">
        <f t="shared" si="19"/>
        <v>2</v>
      </c>
      <c r="L86">
        <f t="shared" si="20"/>
        <v>0.126</v>
      </c>
      <c r="M86">
        <f t="shared" si="21"/>
        <v>5.0826461538461531</v>
      </c>
      <c r="N86">
        <f t="shared" si="22"/>
        <v>7.1179821158246792</v>
      </c>
    </row>
    <row r="87" spans="6:14" x14ac:dyDescent="0.15">
      <c r="F87">
        <v>83</v>
      </c>
      <c r="G87">
        <f t="shared" si="15"/>
        <v>52.86</v>
      </c>
      <c r="H87">
        <f t="shared" si="16"/>
        <v>4.5402951191827476</v>
      </c>
      <c r="I87">
        <f t="shared" si="17"/>
        <v>60</v>
      </c>
      <c r="J87">
        <f t="shared" si="18"/>
        <v>3.76</v>
      </c>
      <c r="K87">
        <f t="shared" si="19"/>
        <v>2</v>
      </c>
      <c r="L87">
        <f t="shared" si="20"/>
        <v>0.11899999999999999</v>
      </c>
      <c r="M87">
        <f t="shared" si="21"/>
        <v>4.8387230769230767</v>
      </c>
      <c r="N87">
        <f t="shared" si="22"/>
        <v>6.9596566576442864</v>
      </c>
    </row>
    <row r="88" spans="6:14" x14ac:dyDescent="0.15">
      <c r="F88">
        <v>84</v>
      </c>
      <c r="G88">
        <f t="shared" si="15"/>
        <v>53.28</v>
      </c>
      <c r="H88">
        <f t="shared" si="16"/>
        <v>4.5045045045045047</v>
      </c>
      <c r="I88">
        <f t="shared" si="17"/>
        <v>60</v>
      </c>
      <c r="J88">
        <f t="shared" si="18"/>
        <v>3.76</v>
      </c>
      <c r="K88">
        <f t="shared" si="19"/>
        <v>2</v>
      </c>
      <c r="L88">
        <f t="shared" si="20"/>
        <v>0.11199999999999999</v>
      </c>
      <c r="M88">
        <f t="shared" si="21"/>
        <v>4.5902769230769227</v>
      </c>
      <c r="N88">
        <f t="shared" si="22"/>
        <v>6.799642966042966</v>
      </c>
    </row>
    <row r="89" spans="6:14" x14ac:dyDescent="0.15">
      <c r="F89">
        <v>85</v>
      </c>
      <c r="G89">
        <f t="shared" si="15"/>
        <v>53.699999999999996</v>
      </c>
      <c r="H89">
        <f t="shared" si="16"/>
        <v>4.4692737430167604</v>
      </c>
      <c r="I89">
        <f t="shared" si="17"/>
        <v>60</v>
      </c>
      <c r="J89">
        <f t="shared" si="18"/>
        <v>3.76</v>
      </c>
      <c r="K89">
        <f t="shared" si="19"/>
        <v>2</v>
      </c>
      <c r="L89">
        <f t="shared" si="20"/>
        <v>0.10500000000000009</v>
      </c>
      <c r="M89">
        <f t="shared" si="21"/>
        <v>4.3373076923076956</v>
      </c>
      <c r="N89">
        <f t="shared" si="22"/>
        <v>6.6379275891706087</v>
      </c>
    </row>
    <row r="90" spans="6:14" x14ac:dyDescent="0.15">
      <c r="F90">
        <v>86</v>
      </c>
      <c r="G90">
        <f t="shared" si="15"/>
        <v>54.12</v>
      </c>
      <c r="H90">
        <f t="shared" si="16"/>
        <v>4.434589800443459</v>
      </c>
      <c r="I90">
        <f t="shared" si="17"/>
        <v>60</v>
      </c>
      <c r="J90">
        <f t="shared" si="18"/>
        <v>3.76</v>
      </c>
      <c r="K90">
        <f t="shared" si="19"/>
        <v>2</v>
      </c>
      <c r="L90">
        <f t="shared" si="20"/>
        <v>9.8000000000000087E-2</v>
      </c>
      <c r="M90">
        <f t="shared" si="21"/>
        <v>4.0798153846153875</v>
      </c>
      <c r="N90">
        <f t="shared" si="22"/>
        <v>6.4744974927511532</v>
      </c>
    </row>
    <row r="91" spans="6:14" x14ac:dyDescent="0.15">
      <c r="F91">
        <v>87</v>
      </c>
      <c r="G91">
        <f t="shared" si="15"/>
        <v>54.54</v>
      </c>
      <c r="H91">
        <f t="shared" si="16"/>
        <v>4.4004400440044007</v>
      </c>
      <c r="I91">
        <f t="shared" si="17"/>
        <v>60</v>
      </c>
      <c r="J91">
        <f t="shared" si="18"/>
        <v>3.76</v>
      </c>
      <c r="K91">
        <f t="shared" si="19"/>
        <v>2</v>
      </c>
      <c r="L91">
        <f t="shared" si="20"/>
        <v>9.099999999999997E-2</v>
      </c>
      <c r="M91">
        <f t="shared" si="21"/>
        <v>3.8177999999999988</v>
      </c>
      <c r="N91">
        <f t="shared" si="22"/>
        <v>6.3093400440043999</v>
      </c>
    </row>
    <row r="92" spans="6:14" x14ac:dyDescent="0.15">
      <c r="F92">
        <v>88</v>
      </c>
      <c r="G92">
        <f t="shared" si="15"/>
        <v>54.96</v>
      </c>
      <c r="H92">
        <f t="shared" si="16"/>
        <v>4.3668122270742362</v>
      </c>
      <c r="I92">
        <f t="shared" si="17"/>
        <v>60</v>
      </c>
      <c r="J92">
        <f t="shared" si="18"/>
        <v>3.76</v>
      </c>
      <c r="K92">
        <f t="shared" si="19"/>
        <v>2</v>
      </c>
      <c r="L92">
        <f t="shared" si="20"/>
        <v>8.3999999999999964E-2</v>
      </c>
      <c r="M92">
        <f t="shared" si="21"/>
        <v>3.5512615384615365</v>
      </c>
      <c r="N92">
        <f t="shared" si="22"/>
        <v>6.1424429963050047</v>
      </c>
    </row>
    <row r="93" spans="6:14" x14ac:dyDescent="0.15">
      <c r="F93">
        <v>89</v>
      </c>
      <c r="G93">
        <f t="shared" si="15"/>
        <v>55.379999999999995</v>
      </c>
      <c r="H93">
        <f t="shared" si="16"/>
        <v>4.3336944745395449</v>
      </c>
      <c r="I93">
        <f t="shared" si="17"/>
        <v>60</v>
      </c>
      <c r="J93">
        <f t="shared" si="18"/>
        <v>3.76</v>
      </c>
      <c r="K93">
        <f t="shared" si="19"/>
        <v>2</v>
      </c>
      <c r="L93">
        <f t="shared" si="20"/>
        <v>7.7000000000000068E-2</v>
      </c>
      <c r="M93">
        <f t="shared" si="21"/>
        <v>3.2802000000000029</v>
      </c>
      <c r="N93">
        <f t="shared" si="22"/>
        <v>5.9737944745395462</v>
      </c>
    </row>
    <row r="94" spans="6:14" x14ac:dyDescent="0.15">
      <c r="F94">
        <v>90</v>
      </c>
      <c r="G94">
        <f t="shared" si="15"/>
        <v>55.8</v>
      </c>
      <c r="H94">
        <f t="shared" si="16"/>
        <v>4.3010752688172049</v>
      </c>
      <c r="I94">
        <f t="shared" si="17"/>
        <v>60</v>
      </c>
      <c r="J94">
        <f t="shared" si="18"/>
        <v>3.76</v>
      </c>
      <c r="K94">
        <f t="shared" si="19"/>
        <v>2</v>
      </c>
      <c r="L94">
        <f t="shared" si="20"/>
        <v>7.0000000000000062E-2</v>
      </c>
      <c r="M94">
        <f t="shared" si="21"/>
        <v>3.0046153846153869</v>
      </c>
      <c r="N94">
        <f t="shared" si="22"/>
        <v>5.8033829611248979</v>
      </c>
    </row>
    <row r="95" spans="6:14" x14ac:dyDescent="0.15">
      <c r="F95">
        <v>91</v>
      </c>
      <c r="G95">
        <f t="shared" si="15"/>
        <v>56.22</v>
      </c>
      <c r="H95">
        <f t="shared" si="16"/>
        <v>4.2689434364994669</v>
      </c>
      <c r="I95">
        <f t="shared" si="17"/>
        <v>60</v>
      </c>
      <c r="J95">
        <f t="shared" si="18"/>
        <v>3.76</v>
      </c>
      <c r="K95">
        <f t="shared" si="19"/>
        <v>2</v>
      </c>
      <c r="L95">
        <f t="shared" si="20"/>
        <v>6.3000000000000056E-2</v>
      </c>
      <c r="M95">
        <f t="shared" si="21"/>
        <v>2.7245076923076943</v>
      </c>
      <c r="N95">
        <f t="shared" si="22"/>
        <v>5.6311972826533143</v>
      </c>
    </row>
    <row r="96" spans="6:14" x14ac:dyDescent="0.15">
      <c r="F96">
        <v>92</v>
      </c>
      <c r="G96">
        <f t="shared" si="15"/>
        <v>56.64</v>
      </c>
      <c r="H96">
        <f t="shared" si="16"/>
        <v>4.2372881355932206</v>
      </c>
      <c r="I96">
        <f t="shared" si="17"/>
        <v>60</v>
      </c>
      <c r="J96">
        <f t="shared" si="18"/>
        <v>3.76</v>
      </c>
      <c r="K96">
        <f t="shared" si="19"/>
        <v>2</v>
      </c>
      <c r="L96">
        <f t="shared" si="20"/>
        <v>5.5999999999999939E-2</v>
      </c>
      <c r="M96">
        <f t="shared" si="21"/>
        <v>2.4398769230769202</v>
      </c>
      <c r="N96">
        <f t="shared" si="22"/>
        <v>5.4572265971316805</v>
      </c>
    </row>
    <row r="97" spans="6:14" x14ac:dyDescent="0.15">
      <c r="F97">
        <v>93</v>
      </c>
      <c r="G97">
        <f t="shared" si="15"/>
        <v>57.059999999999995</v>
      </c>
      <c r="H97">
        <f t="shared" si="16"/>
        <v>4.2060988433228186</v>
      </c>
      <c r="I97">
        <f t="shared" si="17"/>
        <v>60</v>
      </c>
      <c r="J97">
        <f t="shared" si="18"/>
        <v>3.76</v>
      </c>
      <c r="K97">
        <f t="shared" si="19"/>
        <v>2</v>
      </c>
      <c r="L97">
        <f t="shared" si="20"/>
        <v>4.9000000000000044E-2</v>
      </c>
      <c r="M97">
        <f t="shared" si="21"/>
        <v>2.1507230769230783</v>
      </c>
      <c r="N97">
        <f t="shared" si="22"/>
        <v>5.2814603817843579</v>
      </c>
    </row>
    <row r="98" spans="6:14" x14ac:dyDescent="0.15">
      <c r="F98">
        <v>94</v>
      </c>
      <c r="G98">
        <f t="shared" si="15"/>
        <v>57.48</v>
      </c>
      <c r="H98">
        <f t="shared" si="16"/>
        <v>4.1753653444676413</v>
      </c>
      <c r="I98">
        <f t="shared" si="17"/>
        <v>60</v>
      </c>
      <c r="J98">
        <f t="shared" si="18"/>
        <v>3.76</v>
      </c>
      <c r="K98">
        <f t="shared" si="19"/>
        <v>2</v>
      </c>
      <c r="L98">
        <f t="shared" si="20"/>
        <v>4.2000000000000037E-2</v>
      </c>
      <c r="M98">
        <f t="shared" si="21"/>
        <v>1.8570461538461553</v>
      </c>
      <c r="N98">
        <f t="shared" si="22"/>
        <v>5.1038884213907192</v>
      </c>
    </row>
    <row r="99" spans="6:14" x14ac:dyDescent="0.15">
      <c r="F99">
        <v>95</v>
      </c>
      <c r="G99">
        <f t="shared" si="15"/>
        <v>57.9</v>
      </c>
      <c r="H99">
        <f t="shared" si="16"/>
        <v>4.1450777202072544</v>
      </c>
      <c r="I99">
        <f t="shared" si="17"/>
        <v>60</v>
      </c>
      <c r="J99">
        <f t="shared" si="18"/>
        <v>3.76</v>
      </c>
      <c r="K99">
        <f t="shared" si="19"/>
        <v>2</v>
      </c>
      <c r="L99">
        <f t="shared" si="20"/>
        <v>3.5000000000000031E-2</v>
      </c>
      <c r="M99">
        <f t="shared" si="21"/>
        <v>1.5588461538461551</v>
      </c>
      <c r="N99">
        <f t="shared" si="22"/>
        <v>4.9245007971303316</v>
      </c>
    </row>
    <row r="100" spans="6:14" x14ac:dyDescent="0.15">
      <c r="F100">
        <v>96</v>
      </c>
      <c r="G100">
        <f t="shared" ref="G100:G104" si="23">$B$4+(F100*$B$8)</f>
        <v>58.32</v>
      </c>
      <c r="H100">
        <f t="shared" ref="H100:H104" si="24">(I100*J100)/(G100*eta)</f>
        <v>4.1152263374485596</v>
      </c>
      <c r="I100">
        <f t="shared" si="17"/>
        <v>60</v>
      </c>
      <c r="J100">
        <f t="shared" si="18"/>
        <v>3.76</v>
      </c>
      <c r="K100">
        <f t="shared" si="19"/>
        <v>2</v>
      </c>
      <c r="L100">
        <f t="shared" ref="L100:L104" si="25">CHOOSE(K100,SQRT((2*Lm*fsw(I100-G100)*((I100*J100)/G100))/(I100*G100)),(1-(G100/I100)))</f>
        <v>2.8000000000000025E-2</v>
      </c>
      <c r="M100">
        <f t="shared" ref="M100:M104" si="26">G100*L100/(Lm*fsw)</f>
        <v>1.256123076923078</v>
      </c>
      <c r="N100">
        <f t="shared" si="22"/>
        <v>4.7432878759100987</v>
      </c>
    </row>
    <row r="101" spans="6:14" x14ac:dyDescent="0.15">
      <c r="F101">
        <v>97</v>
      </c>
      <c r="G101">
        <f t="shared" si="23"/>
        <v>58.74</v>
      </c>
      <c r="H101">
        <f t="shared" si="24"/>
        <v>4.085801838610827</v>
      </c>
      <c r="I101">
        <f t="shared" si="17"/>
        <v>60</v>
      </c>
      <c r="J101">
        <f t="shared" si="18"/>
        <v>3.76</v>
      </c>
      <c r="K101">
        <f t="shared" si="19"/>
        <v>2</v>
      </c>
      <c r="L101">
        <f t="shared" si="25"/>
        <v>2.1000000000000019E-2</v>
      </c>
      <c r="M101">
        <f t="shared" si="26"/>
        <v>0.94887692307692395</v>
      </c>
      <c r="N101">
        <f t="shared" si="22"/>
        <v>4.5602403001492888</v>
      </c>
    </row>
    <row r="102" spans="6:14" x14ac:dyDescent="0.15">
      <c r="F102">
        <v>98</v>
      </c>
      <c r="G102">
        <f t="shared" si="23"/>
        <v>59.16</v>
      </c>
      <c r="H102">
        <f t="shared" si="24"/>
        <v>4.056795131845842</v>
      </c>
      <c r="I102">
        <f t="shared" si="17"/>
        <v>60</v>
      </c>
      <c r="J102">
        <f t="shared" si="18"/>
        <v>3.76</v>
      </c>
      <c r="K102">
        <f t="shared" si="19"/>
        <v>2</v>
      </c>
      <c r="L102">
        <f t="shared" si="25"/>
        <v>1.4000000000000012E-2</v>
      </c>
      <c r="M102">
        <f t="shared" si="26"/>
        <v>0.63710769230769282</v>
      </c>
      <c r="N102">
        <f t="shared" si="22"/>
        <v>4.3753489779996881</v>
      </c>
    </row>
    <row r="103" spans="6:14" x14ac:dyDescent="0.15">
      <c r="F103">
        <v>99</v>
      </c>
      <c r="G103">
        <f t="shared" si="23"/>
        <v>59.58</v>
      </c>
      <c r="H103">
        <f t="shared" si="24"/>
        <v>4.0281973816717018</v>
      </c>
      <c r="I103">
        <f t="shared" si="17"/>
        <v>60</v>
      </c>
      <c r="J103">
        <f t="shared" si="18"/>
        <v>3.76</v>
      </c>
      <c r="K103">
        <f t="shared" si="19"/>
        <v>2</v>
      </c>
      <c r="L103">
        <f t="shared" si="25"/>
        <v>7.0000000000000062E-3</v>
      </c>
      <c r="M103">
        <f t="shared" si="26"/>
        <v>0.32081538461538489</v>
      </c>
      <c r="N103">
        <f t="shared" si="22"/>
        <v>4.1886050739793941</v>
      </c>
    </row>
    <row r="104" spans="6:14" x14ac:dyDescent="0.15">
      <c r="F104">
        <v>100</v>
      </c>
      <c r="G104">
        <f t="shared" si="23"/>
        <v>60</v>
      </c>
      <c r="H104">
        <f t="shared" si="24"/>
        <v>4</v>
      </c>
      <c r="I104">
        <f t="shared" si="17"/>
        <v>60</v>
      </c>
      <c r="J104">
        <f t="shared" si="18"/>
        <v>3.76</v>
      </c>
      <c r="K104">
        <f t="shared" si="19"/>
        <v>2</v>
      </c>
      <c r="L104">
        <f t="shared" si="25"/>
        <v>0</v>
      </c>
      <c r="M104">
        <f t="shared" si="26"/>
        <v>0</v>
      </c>
      <c r="N104">
        <f t="shared" si="22"/>
        <v>4</v>
      </c>
    </row>
  </sheetData>
  <phoneticPr fontId="48"/>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124</vt:i4>
      </vt:variant>
    </vt:vector>
  </HeadingPairs>
  <TitlesOfParts>
    <vt:vector size="133" baseType="lpstr">
      <vt:lpstr>LM5122_Quickstart</vt:lpstr>
      <vt:lpstr>Licenses</vt:lpstr>
      <vt:lpstr>Eff_vs_IOUT</vt:lpstr>
      <vt:lpstr>Eff_vs_VIN</vt:lpstr>
      <vt:lpstr>Plot Management</vt:lpstr>
      <vt:lpstr>Calculations</vt:lpstr>
      <vt:lpstr>EC_Table</vt:lpstr>
      <vt:lpstr>Control_Loop_Tables</vt:lpstr>
      <vt:lpstr>Tables_VS_VIN</vt:lpstr>
      <vt:lpstr>ACS</vt:lpstr>
      <vt:lpstr>adc</vt:lpstr>
      <vt:lpstr>adc_ea</vt:lpstr>
      <vt:lpstr>ADC_VINmin</vt:lpstr>
      <vt:lpstr>arCss</vt:lpstr>
      <vt:lpstr>aRUV_lower</vt:lpstr>
      <vt:lpstr>aRUV_upper</vt:lpstr>
      <vt:lpstr>aRUV_upper_SEL</vt:lpstr>
      <vt:lpstr>aTSSmax</vt:lpstr>
      <vt:lpstr>Ccomp</vt:lpstr>
      <vt:lpstr>Ccomp_S</vt:lpstr>
      <vt:lpstr>CHF</vt:lpstr>
      <vt:lpstr>CHF_S</vt:lpstr>
      <vt:lpstr>COUT</vt:lpstr>
      <vt:lpstr>DC_VIN_var_DCM</vt:lpstr>
      <vt:lpstr>EFF_est</vt:lpstr>
      <vt:lpstr>EFF_IOUT</vt:lpstr>
      <vt:lpstr>EFF_VIN</vt:lpstr>
      <vt:lpstr>eta</vt:lpstr>
      <vt:lpstr>Fco_calc</vt:lpstr>
      <vt:lpstr>Fcross</vt:lpstr>
      <vt:lpstr>fp_lf_VINmin</vt:lpstr>
      <vt:lpstr>fsw</vt:lpstr>
      <vt:lpstr>fz_esr_VINmin</vt:lpstr>
      <vt:lpstr>fz_rhp_VINmin</vt:lpstr>
      <vt:lpstr>Gcomp</vt:lpstr>
      <vt:lpstr>gfs</vt:lpstr>
      <vt:lpstr>Graph_Text</vt:lpstr>
      <vt:lpstr>IHYS</vt:lpstr>
      <vt:lpstr>IHYSmin</vt:lpstr>
      <vt:lpstr>IOUT</vt:lpstr>
      <vt:lpstr>IOUT_np</vt:lpstr>
      <vt:lpstr>IOUT_vari</vt:lpstr>
      <vt:lpstr>IQ</vt:lpstr>
      <vt:lpstr>Isl</vt:lpstr>
      <vt:lpstr>ISS</vt:lpstr>
      <vt:lpstr>k_slope_selected</vt:lpstr>
      <vt:lpstr>Kd</vt:lpstr>
      <vt:lpstr>Kd_VINmin</vt:lpstr>
      <vt:lpstr>kex</vt:lpstr>
      <vt:lpstr>Kex_VINmin</vt:lpstr>
      <vt:lpstr>km</vt:lpstr>
      <vt:lpstr>Km_VINmin</vt:lpstr>
      <vt:lpstr>Lm</vt:lpstr>
      <vt:lpstr>LO</vt:lpstr>
      <vt:lpstr>M_LIMIT</vt:lpstr>
      <vt:lpstr>np</vt:lpstr>
      <vt:lpstr>pTSSmin</vt:lpstr>
      <vt:lpstr>Q</vt:lpstr>
      <vt:lpstr>Q_VINmin</vt:lpstr>
      <vt:lpstr>Qg_tot</vt:lpstr>
      <vt:lpstr>Qg_tot_HS</vt:lpstr>
      <vt:lpstr>Qgd</vt:lpstr>
      <vt:lpstr>Qgs</vt:lpstr>
      <vt:lpstr>Qrr</vt:lpstr>
      <vt:lpstr>R_RT</vt:lpstr>
      <vt:lpstr>R_sl</vt:lpstr>
      <vt:lpstr>Rcomp</vt:lpstr>
      <vt:lpstr>Rcomp_S</vt:lpstr>
      <vt:lpstr>Rcs</vt:lpstr>
      <vt:lpstr>rCss</vt:lpstr>
      <vt:lpstr>Rdcr</vt:lpstr>
      <vt:lpstr>RDS_on</vt:lpstr>
      <vt:lpstr>RDS_on_HS</vt:lpstr>
      <vt:lpstr>RESR</vt:lpstr>
      <vt:lpstr>RFB_BOT</vt:lpstr>
      <vt:lpstr>RFB_BOT_S</vt:lpstr>
      <vt:lpstr>RFB_TOP</vt:lpstr>
      <vt:lpstr>RFBB</vt:lpstr>
      <vt:lpstr>RFBT</vt:lpstr>
      <vt:lpstr>Rgate</vt:lpstr>
      <vt:lpstr>RHP_freq</vt:lpstr>
      <vt:lpstr>RR</vt:lpstr>
      <vt:lpstr>Rsl_int</vt:lpstr>
      <vt:lpstr>Rslope</vt:lpstr>
      <vt:lpstr>RUV_lower</vt:lpstr>
      <vt:lpstr>RUV_upper</vt:lpstr>
      <vt:lpstr>RUV_upper_SEL</vt:lpstr>
      <vt:lpstr>Se</vt:lpstr>
      <vt:lpstr>Se_VINmin</vt:lpstr>
      <vt:lpstr>Sn</vt:lpstr>
      <vt:lpstr>Sn_VINmin</vt:lpstr>
      <vt:lpstr>t_dead</vt:lpstr>
      <vt:lpstr>tf_sw</vt:lpstr>
      <vt:lpstr>tr_sw</vt:lpstr>
      <vt:lpstr>TSSmax</vt:lpstr>
      <vt:lpstr>TSSmin</vt:lpstr>
      <vt:lpstr>UVLO_OFF</vt:lpstr>
      <vt:lpstr>UVLO_ON</vt:lpstr>
      <vt:lpstr>UVth</vt:lpstr>
      <vt:lpstr>Uvthmin</vt:lpstr>
      <vt:lpstr>VCC</vt:lpstr>
      <vt:lpstr>VCL</vt:lpstr>
      <vt:lpstr>Vd_rect</vt:lpstr>
      <vt:lpstr>VHYS</vt:lpstr>
      <vt:lpstr>VIN_MAX</vt:lpstr>
      <vt:lpstr>VIN_MIN</vt:lpstr>
      <vt:lpstr>VIN_TYP</vt:lpstr>
      <vt:lpstr>Vin_vari</vt:lpstr>
      <vt:lpstr>VINSHUTDOWN</vt:lpstr>
      <vt:lpstr>VINSTARTUP</vt:lpstr>
      <vt:lpstr>VOUT</vt:lpstr>
      <vt:lpstr>VOUT_VAR</vt:lpstr>
      <vt:lpstr>VREF</vt:lpstr>
      <vt:lpstr>Vsl</vt:lpstr>
      <vt:lpstr>Vslo</vt:lpstr>
      <vt:lpstr>vth</vt:lpstr>
      <vt:lpstr>w_p_low</vt:lpstr>
      <vt:lpstr>w_RHP</vt:lpstr>
      <vt:lpstr>w_Z_ESR</vt:lpstr>
      <vt:lpstr>wp_lf</vt:lpstr>
      <vt:lpstr>wp_lf_DCM</vt:lpstr>
      <vt:lpstr>wp_lf_VINmin</vt:lpstr>
      <vt:lpstr>wp0_ea</vt:lpstr>
      <vt:lpstr>wp1_ea</vt:lpstr>
      <vt:lpstr>wsl</vt:lpstr>
      <vt:lpstr>wsl_VINmin</vt:lpstr>
      <vt:lpstr>wz_ea</vt:lpstr>
      <vt:lpstr>wz_esr</vt:lpstr>
      <vt:lpstr>wz_esr_VINmin</vt:lpstr>
      <vt:lpstr>wz_rhp</vt:lpstr>
      <vt:lpstr>wz_RHP_VINmin</vt:lpstr>
      <vt:lpstr>wz1_dcm</vt:lpstr>
      <vt:lpstr>wz2_dcm</vt:lpstr>
    </vt:vector>
  </TitlesOfParts>
  <Company>Texas Instruments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PPD-NPS</dc:creator>
  <cp:lastModifiedBy>高橋 英樹</cp:lastModifiedBy>
  <dcterms:created xsi:type="dcterms:W3CDTF">2017-07-24T22:43:07Z</dcterms:created>
  <dcterms:modified xsi:type="dcterms:W3CDTF">2026-06-15T03:21:20Z</dcterms:modified>
</cp:coreProperties>
</file>