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user1\Desktop\"/>
    </mc:Choice>
  </mc:AlternateContent>
  <workbookProtection workbookPassword="C799" lockStructure="1"/>
  <bookViews>
    <workbookView xWindow="480" yWindow="600" windowWidth="18720" windowHeight="6930" firstSheet="2" activeTab="2"/>
  </bookViews>
  <sheets>
    <sheet name="Bode_Plot VOUT1" sheetId="3" state="hidden" r:id="rId1"/>
    <sheet name="Variable Management" sheetId="6" state="hidden" r:id="rId2"/>
    <sheet name="Calculator" sheetId="1" r:id="rId3"/>
    <sheet name="BOM and Schematic" sheetId="7" r:id="rId4"/>
    <sheet name="Sheet1" sheetId="8" state="hidden" r:id="rId5"/>
  </sheets>
  <externalReferences>
    <externalReference r:id="rId6"/>
    <externalReference r:id="rId7"/>
  </externalReferences>
  <definedNames>
    <definedName name="_Don1">'Variable Management'!$B$20</definedName>
    <definedName name="_Don2">'Variable Management'!$B$27</definedName>
    <definedName name="_RFB1">Calculator!$C$60</definedName>
    <definedName name="_Rfb2">'[1]LM(2)5119 Calculator'!$D$59</definedName>
    <definedName name="_Ruv2">Calculator!#REF!</definedName>
    <definedName name="Aea">'Bode_Plot VOUT1'!$R$18</definedName>
    <definedName name="Aol">'Bode_Plot VOUT1'!$R$17</definedName>
    <definedName name="Cc1ea">'Variable Management'!$B$107</definedName>
    <definedName name="Cc1ea_u">'Variable Management'!$B$114</definedName>
    <definedName name="Cc2ea_u">'Variable Management'!$B$115</definedName>
    <definedName name="Cc3ea_u">'Variable Management'!$B$117</definedName>
    <definedName name="Ccomp">Calculator!$C$66</definedName>
    <definedName name="Chf">Ccomp/100</definedName>
    <definedName name="Cin">'Variable Management'!$B$58</definedName>
    <definedName name="Cout">'Variable Management'!$B$44</definedName>
    <definedName name="Cout_Total">Calculator!$C$49</definedName>
    <definedName name="Cout1">Calculator!$C$44</definedName>
    <definedName name="Cout2">Calculator!$C$46</definedName>
    <definedName name="CoutEsr">'Variable Management'!$B$50</definedName>
    <definedName name="Cr">'[1]LM(2)5119 Calculator'!$D$44</definedName>
    <definedName name="Cs">'Variable Management'!#REF!</definedName>
    <definedName name="Csideal">'Variable Management'!#REF!</definedName>
    <definedName name="DC_Gain_Mod">'Bode_Plot VOUT1'!$X$8</definedName>
    <definedName name="Deadtime">'Variable Management'!#REF!</definedName>
    <definedName name="Dmax">Vout/Vin_min</definedName>
    <definedName name="Dmin">Vout/Vin_max</definedName>
    <definedName name="Doff2">'Variable Management'!$B$28</definedName>
    <definedName name="DTEST">IF((1-Dmax)&lt;Dmin,Dmax,Dmin)</definedName>
    <definedName name="DUSE">IF(AND(Dmin&lt;0.5,Dmax&lt;0.5),Dmin,IF(AND(Dmin&lt;0.5,Dmax&gt;0.5),DTEST,Dmax))</definedName>
    <definedName name="ESR">Calculator!$C$48</definedName>
    <definedName name="Fbw">Calculator!#REF!</definedName>
    <definedName name="Fcross">'Variable Management'!$B$100</definedName>
    <definedName name="Fo">'Variable Management'!$B$120</definedName>
    <definedName name="Fsw">'Variable Management'!$B$139:$B$140</definedName>
    <definedName name="GmTop">'Variable Management'!#REF!</definedName>
    <definedName name="I_load_ripple">Calculator!$C$18</definedName>
    <definedName name="Ics">'Variable Management'!$B$39</definedName>
    <definedName name="ILimit">'Variable Management'!$B$38</definedName>
    <definedName name="Ilimit2">'[2]Variable Management'!$B$45</definedName>
    <definedName name="Iload_margin">Calculator!$C$34</definedName>
    <definedName name="IOUT">Calculator!$C$17</definedName>
    <definedName name="Ipp">Vout/(L*Fsw)*(1-Vout/Vin_max)*10^3</definedName>
    <definedName name="Iq">'Variable Management'!#REF!</definedName>
    <definedName name="Iripple1">'Variable Management'!$B$30</definedName>
    <definedName name="Iuvlo1">'Variable Management'!$B$83</definedName>
    <definedName name="Iuvlo2">'Variable Management'!$C$84</definedName>
    <definedName name="K">Calculator!#REF!</definedName>
    <definedName name="kfb">'Bode_Plot VOUT1'!$R$24</definedName>
    <definedName name="Kmidband">'Variable Management'!$B$101</definedName>
    <definedName name="L">Calculator!$C$31</definedName>
    <definedName name="Lout2">'Variable Management'!$B$25</definedName>
    <definedName name="Max_Ave_Load">Calculator!$C$17</definedName>
    <definedName name="Pi">'Variable Management'!$B$128</definedName>
    <definedName name="PicTable">'[1]LM(2)5119 Calculator'!$S$12:$T$13</definedName>
    <definedName name="Qg">Calculator!$C$81</definedName>
    <definedName name="QgBot">'Variable Management'!#REF!</definedName>
    <definedName name="QgdTop">'Variable Management'!#REF!</definedName>
    <definedName name="QgsTop">'Variable Management'!#REF!</definedName>
    <definedName name="QgTop">'Variable Management'!#REF!</definedName>
    <definedName name="QrrBot">'Variable Management'!#REF!</definedName>
    <definedName name="Rcea1">'Variable Management'!$B$106</definedName>
    <definedName name="Rcea1_u">'Variable Management'!$B$113</definedName>
    <definedName name="Rcea2">'Variable Management'!$B$109</definedName>
    <definedName name="Rcea2_u">'Variable Management'!$B$116</definedName>
    <definedName name="RCinEsr">'Variable Management'!$B$60</definedName>
    <definedName name="Rcomp">Calculator!$C$65</definedName>
    <definedName name="Rdcr">'Variable Management'!$B$26</definedName>
    <definedName name="RdsonBot">'Variable Management'!#REF!</definedName>
    <definedName name="RdsonDRT">'Variable Management'!#REF!</definedName>
    <definedName name="RdsonTop">'Variable Management'!#REF!</definedName>
    <definedName name="Rfb2_u">'Variable Management'!$B$104</definedName>
    <definedName name="Rfets">'Variable Management'!$B$130</definedName>
    <definedName name="RGateTop">'Variable Management'!#REF!</definedName>
    <definedName name="Ripple_R">IF(DUSE&lt;=0.5, (1-2*DUSE)/(1-DUSE),(1-2*(1-DUSE))/(1-(1-DUSE)))</definedName>
    <definedName name="Rload">'Bode_Plot VOUT1'!$X$7</definedName>
    <definedName name="Ro">'Variable Management'!$B$127</definedName>
    <definedName name="Rramp">Calculator!$C$43</definedName>
    <definedName name="Rs">'Variable Management'!#REF!</definedName>
    <definedName name="Rset">'Variable Management'!#REF!</definedName>
    <definedName name="Rss">Calculator!$C$39</definedName>
    <definedName name="Ruvlo1">'Variable Management'!$B$74</definedName>
    <definedName name="ThetaJaCtrl">'Variable Management'!#REF!</definedName>
    <definedName name="TL">'Variable Management'!$B$32</definedName>
    <definedName name="Totp">'Variable Management'!$B$15</definedName>
    <definedName name="tss">Calculator!$C$70</definedName>
    <definedName name="Vdd">'Variable Management'!#REF!</definedName>
    <definedName name="Vin">'Variable Management'!$B$7</definedName>
    <definedName name="Vin_max">Calculator!$C$14</definedName>
    <definedName name="Vin_min">Calculator!$C$13</definedName>
    <definedName name="Vin_UV">Calculator!$C$59</definedName>
    <definedName name="Vinripple1">'Variable Management'!$B$55</definedName>
    <definedName name="VINuvlo_off">'Variable Management'!$B$73</definedName>
    <definedName name="VINuvlo_on">'Variable Management'!$B$72</definedName>
    <definedName name="Vout">Calculator!$C$16</definedName>
    <definedName name="VOUT1">'Variable Management'!$B$141:$B$142</definedName>
    <definedName name="VOUT2">'Variable Management'!$B$144:$B$145</definedName>
    <definedName name="Vref">'Variable Management'!$B$13</definedName>
    <definedName name="Vripple1">'Variable Management'!$B$29</definedName>
    <definedName name="VsdBot">'Variable Management'!#REF!</definedName>
    <definedName name="VsdTop">'Variable Management'!#REF!</definedName>
    <definedName name="Vsense">'Variable Management'!$B$137:$B$138</definedName>
    <definedName name="VspTop">'Variable Management'!#REF!</definedName>
    <definedName name="VthTop">'Variable Management'!#REF!</definedName>
    <definedName name="Vuvlo_off">'Variable Management'!$B$81</definedName>
    <definedName name="Vuvlo_on">'Variable Management'!$B$80</definedName>
    <definedName name="w">'Bode_Plot VOUT1'!$D$2:$D$24</definedName>
    <definedName name="wbw">2*PI()*3000000</definedName>
    <definedName name="whf">(Chf+Ccomp)/(Rcomp*Chf*Ccomp)*10^9</definedName>
    <definedName name="wn">'Bode_Plot VOUT1'!$R$5</definedName>
    <definedName name="wp">'Bode_Plot VOUT1'!$R$3</definedName>
    <definedName name="wpole">10^9/(_Rfb2*(Ccomp+Chf))</definedName>
    <definedName name="wz">'Bode_Plot VOUT1'!$R$4</definedName>
    <definedName name="Wzero">10^9/(Rcomp*Ccomp)</definedName>
    <definedName name="zea">'Bode_Plot VOUT1'!$T$2:$T$24</definedName>
  </definedNames>
  <calcPr calcId="152511"/>
</workbook>
</file>

<file path=xl/calcChain.xml><?xml version="1.0" encoding="utf-8"?>
<calcChain xmlns="http://schemas.openxmlformats.org/spreadsheetml/2006/main">
  <c r="C87" i="1" l="1"/>
  <c r="B15" i="6" l="1"/>
  <c r="C15" i="6"/>
  <c r="C66" i="7" s="1"/>
  <c r="D66" i="7" s="1"/>
  <c r="B24" i="6" l="1"/>
  <c r="B7" i="6"/>
  <c r="C29" i="1"/>
  <c r="B8" i="6" l="1"/>
  <c r="C31" i="1" l="1"/>
  <c r="C109" i="1" l="1"/>
  <c r="C108" i="1"/>
  <c r="C26" i="1" l="1"/>
  <c r="C24" i="1" l="1"/>
  <c r="C86" i="1" l="1"/>
  <c r="B68" i="6" s="1"/>
  <c r="D58" i="6" l="1"/>
  <c r="B58" i="6"/>
  <c r="C56" i="1"/>
  <c r="C72" i="7" l="1"/>
  <c r="C25" i="6"/>
  <c r="B25" i="6"/>
  <c r="C68" i="7"/>
  <c r="B75" i="6"/>
  <c r="B74" i="6"/>
  <c r="C76" i="6"/>
  <c r="C75" i="6"/>
  <c r="C74" i="6"/>
  <c r="B76" i="6"/>
  <c r="C68" i="6"/>
  <c r="C67" i="6"/>
  <c r="B67" i="6"/>
  <c r="C47" i="6"/>
  <c r="B47" i="6"/>
  <c r="C45" i="6"/>
  <c r="B45" i="6"/>
  <c r="C87" i="6"/>
  <c r="D87" i="6" s="1"/>
  <c r="C86" i="6"/>
  <c r="D86" i="6" s="1"/>
  <c r="A87" i="6"/>
  <c r="B87" i="6" s="1"/>
  <c r="A86" i="6" l="1"/>
  <c r="B86" i="6" s="1"/>
  <c r="C72" i="1"/>
  <c r="I24" i="3" l="1"/>
  <c r="I23" i="3"/>
  <c r="I22" i="3"/>
  <c r="I21" i="3"/>
  <c r="I20" i="3"/>
  <c r="I19" i="3"/>
  <c r="I18" i="3"/>
  <c r="I17" i="3"/>
  <c r="I16" i="3"/>
  <c r="I15" i="3"/>
  <c r="I14" i="3"/>
  <c r="I13" i="3"/>
  <c r="I12" i="3"/>
  <c r="I11" i="3"/>
  <c r="I10" i="3"/>
  <c r="I9" i="3"/>
  <c r="I8" i="3"/>
  <c r="I7" i="3"/>
  <c r="I6" i="3"/>
  <c r="I5" i="3"/>
  <c r="R8" i="3"/>
  <c r="R7" i="3"/>
  <c r="C46" i="6"/>
  <c r="B46" i="6"/>
  <c r="C44" i="6"/>
  <c r="B44" i="6"/>
  <c r="C41" i="1"/>
  <c r="C24" i="6"/>
  <c r="C27" i="6" l="1"/>
  <c r="C26" i="6"/>
  <c r="B26" i="6"/>
  <c r="C100" i="1" l="1"/>
  <c r="C99" i="1"/>
  <c r="A85" i="6"/>
  <c r="A84" i="6"/>
  <c r="C85" i="6"/>
  <c r="C84" i="6"/>
  <c r="D85" i="6" l="1"/>
  <c r="B85" i="6"/>
  <c r="C98" i="1" s="1"/>
  <c r="D84" i="6"/>
  <c r="A88" i="6"/>
  <c r="B88" i="6" s="1"/>
  <c r="B84" i="6"/>
  <c r="C97" i="1" s="1"/>
  <c r="X14" i="3"/>
  <c r="C101" i="1" l="1"/>
  <c r="C62" i="1"/>
  <c r="B80" i="6" s="1"/>
  <c r="D80" i="6" s="1"/>
  <c r="C80" i="6" s="1"/>
  <c r="B81" i="6" l="1"/>
  <c r="C81" i="6" s="1"/>
  <c r="B79" i="6"/>
  <c r="C79" i="6" s="1"/>
  <c r="C71" i="7" s="1"/>
  <c r="C60" i="7" l="1"/>
  <c r="C73" i="6"/>
  <c r="C72" i="6"/>
  <c r="C70" i="7" s="1"/>
  <c r="C67" i="7"/>
  <c r="C59" i="7"/>
  <c r="C58" i="7"/>
  <c r="D44" i="6"/>
  <c r="A58" i="7" s="1"/>
  <c r="A60" i="7"/>
  <c r="D47" i="6"/>
  <c r="D46" i="6"/>
  <c r="A59" i="7" s="1"/>
  <c r="D45" i="6"/>
  <c r="C63" i="7"/>
  <c r="C65" i="7"/>
  <c r="C64" i="7"/>
  <c r="D64" i="7" s="1"/>
  <c r="D57" i="7" l="1"/>
  <c r="D58" i="7"/>
  <c r="D59" i="7"/>
  <c r="D60" i="7"/>
  <c r="D61" i="7"/>
  <c r="D62" i="7"/>
  <c r="D63" i="7"/>
  <c r="C91" i="1"/>
  <c r="B72" i="6"/>
  <c r="B73" i="6"/>
  <c r="B27" i="6"/>
  <c r="B158" i="6" l="1"/>
  <c r="B11" i="6"/>
  <c r="B10" i="6"/>
  <c r="B9" i="6"/>
  <c r="B65" i="6"/>
  <c r="B66" i="6"/>
  <c r="B160" i="6"/>
  <c r="B49" i="6"/>
  <c r="B48" i="6"/>
  <c r="B38" i="6"/>
  <c r="B12" i="6"/>
  <c r="D73" i="7"/>
  <c r="D71" i="7"/>
  <c r="D70" i="7"/>
  <c r="D67" i="7"/>
  <c r="D65" i="7"/>
  <c r="B161" i="6"/>
  <c r="B157" i="6"/>
  <c r="B168" i="6"/>
  <c r="A167" i="6"/>
  <c r="B166" i="6"/>
  <c r="B165" i="6"/>
  <c r="B164" i="6"/>
  <c r="B170" i="6"/>
  <c r="B103" i="6"/>
  <c r="A174" i="6"/>
  <c r="B173" i="6"/>
  <c r="B35" i="6"/>
  <c r="B182" i="6" s="1"/>
  <c r="B78" i="6" l="1"/>
  <c r="A165" i="6"/>
  <c r="G74" i="6"/>
  <c r="G75" i="6" s="1"/>
  <c r="B57" i="6"/>
  <c r="B162" i="6"/>
  <c r="B124" i="6"/>
  <c r="B125" i="6"/>
  <c r="B167" i="6"/>
  <c r="A173" i="6"/>
  <c r="D119" i="6"/>
  <c r="B126" i="6"/>
  <c r="A164" i="6"/>
  <c r="A166" i="6"/>
  <c r="A168" i="6"/>
  <c r="B105" i="6"/>
  <c r="B123" i="6"/>
  <c r="C106" i="1"/>
  <c r="C104" i="1"/>
  <c r="C110" i="1" l="1"/>
  <c r="C112" i="1" s="1"/>
  <c r="F74" i="6"/>
  <c r="F75" i="6" s="1"/>
  <c r="B56" i="6"/>
  <c r="B43" i="6"/>
  <c r="R5" i="3"/>
  <c r="B133" i="6" l="1"/>
  <c r="B134" i="6"/>
  <c r="B132" i="6"/>
  <c r="B61" i="6"/>
  <c r="B42" i="6"/>
  <c r="G130" i="6"/>
  <c r="R6" i="3"/>
  <c r="C50" i="1" l="1"/>
  <c r="C66" i="1" s="1"/>
  <c r="C68" i="1" l="1"/>
  <c r="R4" i="3"/>
  <c r="B59" i="6" l="1"/>
  <c r="B23" i="6" l="1"/>
  <c r="B22" i="6"/>
  <c r="R9" i="3" l="1"/>
  <c r="J3" i="3" l="1"/>
  <c r="J2" i="3"/>
  <c r="K23" i="3"/>
  <c r="K19" i="3"/>
  <c r="K15" i="3"/>
  <c r="K11" i="3"/>
  <c r="K7" i="3"/>
  <c r="K3" i="3"/>
  <c r="K20" i="3"/>
  <c r="K12" i="3"/>
  <c r="K4" i="3"/>
  <c r="K22" i="3"/>
  <c r="K18" i="3"/>
  <c r="K14" i="3"/>
  <c r="K10" i="3"/>
  <c r="K6" i="3"/>
  <c r="K2" i="3"/>
  <c r="K21" i="3"/>
  <c r="K17" i="3"/>
  <c r="K13" i="3"/>
  <c r="K9" i="3"/>
  <c r="K5" i="3"/>
  <c r="K24" i="3"/>
  <c r="K16" i="3"/>
  <c r="K8" i="3"/>
  <c r="J7" i="3"/>
  <c r="J15" i="3"/>
  <c r="J23" i="3"/>
  <c r="J9" i="3"/>
  <c r="J17" i="3"/>
  <c r="J11" i="3"/>
  <c r="J19" i="3"/>
  <c r="L19" i="3" s="1"/>
  <c r="J5" i="3"/>
  <c r="J13" i="3"/>
  <c r="J21" i="3"/>
  <c r="J4" i="3"/>
  <c r="J8" i="3"/>
  <c r="J12" i="3"/>
  <c r="L12" i="3" s="1"/>
  <c r="J16" i="3"/>
  <c r="J20" i="3"/>
  <c r="J24" i="3"/>
  <c r="J6" i="3"/>
  <c r="J10" i="3"/>
  <c r="L10" i="3" s="1"/>
  <c r="J14" i="3"/>
  <c r="J18" i="3"/>
  <c r="L18" i="3" s="1"/>
  <c r="J22" i="3"/>
  <c r="W13" i="3"/>
  <c r="X7" i="3"/>
  <c r="L9" i="3" l="1"/>
  <c r="R3" i="3"/>
  <c r="X12" i="3"/>
  <c r="E23" i="3" s="1"/>
  <c r="L23" i="3"/>
  <c r="L20" i="3"/>
  <c r="L14" i="3"/>
  <c r="L24" i="3"/>
  <c r="L21" i="3"/>
  <c r="L11" i="3"/>
  <c r="L16" i="3"/>
  <c r="L15" i="3"/>
  <c r="L22" i="3"/>
  <c r="L13" i="3"/>
  <c r="L17" i="3"/>
  <c r="D24" i="3"/>
  <c r="D23" i="3"/>
  <c r="D22" i="3"/>
  <c r="D21" i="3"/>
  <c r="D20" i="3"/>
  <c r="D19" i="3"/>
  <c r="D18" i="3"/>
  <c r="D17" i="3"/>
  <c r="D16" i="3"/>
  <c r="D15" i="3"/>
  <c r="D14" i="3"/>
  <c r="D13" i="3"/>
  <c r="D12" i="3"/>
  <c r="D11" i="3"/>
  <c r="D10" i="3"/>
  <c r="D9" i="3"/>
  <c r="D8" i="3"/>
  <c r="D7" i="3"/>
  <c r="D6" i="3"/>
  <c r="D5" i="3"/>
  <c r="D4" i="3"/>
  <c r="I4" i="3" s="1"/>
  <c r="D3" i="3"/>
  <c r="I3" i="3" s="1"/>
  <c r="D2" i="3"/>
  <c r="I2" i="3" s="1"/>
  <c r="C64" i="1"/>
  <c r="X8" i="3" s="1"/>
  <c r="E5" i="3" l="1"/>
  <c r="E22" i="3"/>
  <c r="E14" i="3"/>
  <c r="E6" i="3"/>
  <c r="E17" i="3"/>
  <c r="E15" i="3"/>
  <c r="E8" i="3"/>
  <c r="E16" i="3"/>
  <c r="E9" i="3"/>
  <c r="E2" i="3"/>
  <c r="E18" i="3"/>
  <c r="E11" i="3"/>
  <c r="E21" i="3"/>
  <c r="E4" i="3"/>
  <c r="E3" i="3"/>
  <c r="E24" i="3"/>
  <c r="E7" i="3"/>
  <c r="E12" i="3"/>
  <c r="E10" i="3"/>
  <c r="E20" i="3"/>
  <c r="E19" i="3"/>
  <c r="E13" i="3"/>
  <c r="L2" i="3"/>
  <c r="L6" i="3"/>
  <c r="L8" i="3"/>
  <c r="L3" i="3"/>
  <c r="C36" i="1"/>
  <c r="C19" i="1"/>
  <c r="C46" i="1" s="1"/>
  <c r="C20" i="1"/>
  <c r="C54" i="1" s="1"/>
  <c r="C37" i="1" l="1"/>
  <c r="C38" i="1" s="1"/>
  <c r="B21" i="6"/>
  <c r="D68" i="7"/>
  <c r="B20" i="6"/>
  <c r="B62" i="6" s="1"/>
  <c r="L7" i="3"/>
  <c r="L5" i="3"/>
  <c r="L4" i="3"/>
  <c r="C39" i="1" l="1"/>
  <c r="C51" i="1"/>
  <c r="M24" i="3"/>
  <c r="M20" i="3"/>
  <c r="M16" i="3"/>
  <c r="M12" i="3"/>
  <c r="M8" i="3"/>
  <c r="M15" i="3"/>
  <c r="M7" i="3"/>
  <c r="M22" i="3"/>
  <c r="M18" i="3"/>
  <c r="M14" i="3"/>
  <c r="M10" i="3"/>
  <c r="M21" i="3"/>
  <c r="M17" i="3"/>
  <c r="M9" i="3"/>
  <c r="M23" i="3"/>
  <c r="M19" i="3"/>
  <c r="M11" i="3"/>
  <c r="M5" i="3"/>
  <c r="M13" i="3"/>
  <c r="M6" i="3"/>
  <c r="M3" i="3"/>
  <c r="M4" i="3"/>
  <c r="M2" i="3"/>
  <c r="B50" i="6" l="1"/>
  <c r="E119" i="6" s="1"/>
  <c r="B51" i="6"/>
  <c r="F23" i="3"/>
  <c r="N23" i="3" s="1"/>
  <c r="R18" i="3"/>
  <c r="F6" i="3"/>
  <c r="N6" i="3" s="1"/>
  <c r="F15" i="3"/>
  <c r="N15" i="3" s="1"/>
  <c r="F11" i="3"/>
  <c r="N11" i="3" s="1"/>
  <c r="F3" i="3"/>
  <c r="N3" i="3" s="1"/>
  <c r="F21" i="3"/>
  <c r="N21" i="3" s="1"/>
  <c r="F19" i="3"/>
  <c r="N19" i="3" s="1"/>
  <c r="F14" i="3"/>
  <c r="N14" i="3" s="1"/>
  <c r="F9" i="3"/>
  <c r="N9" i="3" s="1"/>
  <c r="F7" i="3"/>
  <c r="N7" i="3" s="1"/>
  <c r="F22" i="3"/>
  <c r="N22" i="3" s="1"/>
  <c r="F16" i="3"/>
  <c r="N16" i="3" s="1"/>
  <c r="F5" i="3"/>
  <c r="N5" i="3" s="1"/>
  <c r="F12" i="3"/>
  <c r="N12" i="3" s="1"/>
  <c r="F10" i="3"/>
  <c r="N10" i="3" s="1"/>
  <c r="F24" i="3"/>
  <c r="N24" i="3" s="1"/>
  <c r="F20" i="3"/>
  <c r="N20" i="3" s="1"/>
  <c r="F13" i="3"/>
  <c r="N13" i="3" s="1"/>
  <c r="F18" i="3"/>
  <c r="N18" i="3" s="1"/>
  <c r="F17" i="3"/>
  <c r="N17" i="3" s="1"/>
  <c r="F4" i="3"/>
  <c r="N4" i="3" s="1"/>
  <c r="F2" i="3"/>
  <c r="N2" i="3" s="1"/>
  <c r="F8" i="3"/>
  <c r="N8" i="3" s="1"/>
  <c r="B120" i="6" l="1"/>
  <c r="B101" i="6" s="1"/>
  <c r="B106" i="6" s="1"/>
  <c r="B122" i="6"/>
  <c r="B121" i="6" l="1"/>
  <c r="B82" i="6"/>
  <c r="D82" i="6" l="1"/>
  <c r="C82" i="6" s="1"/>
  <c r="B77" i="6"/>
  <c r="D72" i="7"/>
</calcChain>
</file>

<file path=xl/comments1.xml><?xml version="1.0" encoding="utf-8"?>
<comments xmlns="http://schemas.openxmlformats.org/spreadsheetml/2006/main">
  <authors>
    <author>Lenovo User</author>
  </authors>
  <commentList>
    <comment ref="C7" authorId="0" shapeId="0">
      <text>
        <r>
          <rPr>
            <sz val="10"/>
            <color indexed="10"/>
            <rFont val="Arial"/>
            <family val="2"/>
          </rPr>
          <t xml:space="preserve">Welcome to the LM5140 Quickstart Design Tool
</t>
        </r>
        <r>
          <rPr>
            <sz val="10"/>
            <color indexed="81"/>
            <rFont val="Arial"/>
            <family val="2"/>
          </rPr>
          <t xml:space="preserve">This stand-alone tool facilitates and assists the power supply engineer with a design of a Buck Converter based on the LM5141  Synchronous Buck Convtoller.  As such, the user can expeditiously arrive at an design by virtue of the following:
-Determine output inductance, output filter capacitance, current sense resistors, and input  filter capacitances
-Select components for soft-start
-Loop compensation values, control loop stability
-Inspect the converter efficiency, and component power dissipation
IMPORTANT: You must enable macros if Microsoft EXCEL asks as the files is being opened.
http//www.ti.com
</t>
        </r>
        <r>
          <rPr>
            <sz val="8"/>
            <color indexed="81"/>
            <rFont val="Tahoma"/>
            <family val="2"/>
          </rPr>
          <t xml:space="preserve">
</t>
        </r>
      </text>
    </comment>
    <comment ref="H7" authorId="0" shapeId="0">
      <text>
        <r>
          <rPr>
            <b/>
            <sz val="10"/>
            <color indexed="10"/>
            <rFont val="Arial"/>
            <family val="2"/>
          </rPr>
          <t xml:space="preserve">Texas Instruments
</t>
        </r>
        <r>
          <rPr>
            <b/>
            <sz val="10"/>
            <color indexed="81"/>
            <rFont val="Arial"/>
            <family val="2"/>
          </rPr>
          <t xml:space="preserve">
Limited Use Policy</t>
        </r>
        <r>
          <rPr>
            <sz val="10"/>
            <color indexed="81"/>
            <rFont val="Arial"/>
            <family val="2"/>
          </rPr>
          <t xml:space="preserve">
You must treat this software and documentation like any other copyrighted material.
</t>
        </r>
        <r>
          <rPr>
            <b/>
            <sz val="10"/>
            <color indexed="81"/>
            <rFont val="Arial"/>
            <family val="2"/>
          </rPr>
          <t>You may not :
-</t>
        </r>
        <r>
          <rPr>
            <sz val="10"/>
            <color indexed="81"/>
            <rFont val="Arial"/>
            <family val="2"/>
          </rPr>
          <t xml:space="preserve">Copy documentation of the software
-Copy this software except to make archival or backup copies
-Reverse engineer, disassemble, decompile or make any attempt to discover the source code of the Software
-Place the software onto a server so that it is accessible via a public network such as the internet
-Sublicense, rent, lease or lend any portion of the software or documentation
Texas Instruments is not responsible for the validation of any design created with this software and urges all designs to be fully tested and carefully verified.  Refer to the LM5140 product datasheet and EVM user guides for more details.
Rev 1.0, Terry Allinder, Texas Instruments, Inc.
</t>
        </r>
        <r>
          <rPr>
            <sz val="8"/>
            <color indexed="81"/>
            <rFont val="Tahoma"/>
            <family val="2"/>
          </rPr>
          <t xml:space="preserve">
</t>
        </r>
      </text>
    </comment>
    <comment ref="C32" authorId="0" shapeId="0">
      <text>
        <r>
          <rPr>
            <sz val="8"/>
            <color indexed="81"/>
            <rFont val="Tahoma"/>
            <family val="2"/>
          </rPr>
          <t xml:space="preserve">Select the nearest standard inductor value.  During an overload condition the peak inductor current will reach the current limit threshold of the LM(2)5119.  The selected inductor must have sufficient current capability to withstand a short circuit condition.
</t>
        </r>
      </text>
    </comment>
    <comment ref="C35" authorId="0" shapeId="0">
      <text>
        <r>
          <rPr>
            <sz val="8"/>
            <color indexed="81"/>
            <rFont val="Tahoma"/>
            <family val="2"/>
          </rPr>
          <t xml:space="preserve">Some margin beyond the maximum load current is recommended for the current limit threshold.  Usually, 20% is a safe number to guarantee desired current capability with normal tolerances.
</t>
        </r>
      </text>
    </comment>
    <comment ref="C36" authorId="0" shapeId="0">
      <text>
        <r>
          <rPr>
            <sz val="8"/>
            <color indexed="81"/>
            <rFont val="Tahoma"/>
            <family val="2"/>
          </rPr>
          <t xml:space="preserve">This is the lowest average load current where current limit will occur over the VIN operating range. The value of this cell is  used for the calculation of the current sense components.
</t>
        </r>
      </text>
    </comment>
    <comment ref="C37" authorId="0" shapeId="0">
      <text>
        <r>
          <rPr>
            <sz val="8"/>
            <color indexed="81"/>
            <rFont val="Tahoma"/>
            <family val="2"/>
          </rPr>
          <t xml:space="preserve">The K factor should be a number between 1 and 3.  The larger the number, the greater the slope compensation.  See the datasheet for details.
</t>
        </r>
      </text>
    </comment>
    <comment ref="C41" authorId="0" shapeId="0">
      <text>
        <r>
          <rPr>
            <sz val="8"/>
            <color indexed="81"/>
            <rFont val="Tahoma"/>
            <family val="2"/>
          </rPr>
          <t xml:space="preserve">The inductor must be sized to handle the worst case short circuit current without saturating. The peak short circuit current occurs at Vin(max). Short circuit current can peak above this value when the minimum on-time limit is reached.
</t>
        </r>
      </text>
    </comment>
    <comment ref="C46" authorId="0" shapeId="0">
      <text>
        <r>
          <rPr>
            <sz val="8"/>
            <color indexed="81"/>
            <rFont val="Tahoma"/>
            <family val="2"/>
          </rPr>
          <t xml:space="preserve">The output capacitor(s) smooth the inductor ripple current and provide a source of charge for transient loading conditions.  The output capacitor voltage rating should be greater than Vout plus a safety margin.  The value of output capacitor(s) and their associated ESR will set the output ripple voltage.
</t>
        </r>
      </text>
    </comment>
    <comment ref="C49" authorId="0" shapeId="0">
      <text>
        <r>
          <rPr>
            <sz val="8"/>
            <color indexed="81"/>
            <rFont val="Tahoma"/>
            <family val="2"/>
          </rPr>
          <t xml:space="preserve">The value of ESR is used to calculate the output ripple voltage and is used in the closed loop compensation calculations.
</t>
        </r>
      </text>
    </comment>
    <comment ref="C50" authorId="0" shapeId="0">
      <text>
        <r>
          <rPr>
            <sz val="8"/>
            <color indexed="81"/>
            <rFont val="Tahoma"/>
            <family val="2"/>
          </rPr>
          <t xml:space="preserve">This is the capacitance value required to achieve the voltage ripple reduction at the output in the next cell down.
</t>
        </r>
      </text>
    </comment>
    <comment ref="C51" authorId="0" shapeId="0">
      <text>
        <r>
          <rPr>
            <sz val="8"/>
            <color indexed="81"/>
            <rFont val="Tahoma"/>
            <family val="2"/>
          </rPr>
          <t xml:space="preserve">A smaller ripple voltage will require some combination of  larger output capacitors,  larger switching frequency, or a lower ESR.
</t>
        </r>
      </text>
    </comment>
    <comment ref="C55" authorId="0" shapeId="0">
      <text>
        <r>
          <rPr>
            <sz val="8"/>
            <color indexed="81"/>
            <rFont val="Tahoma"/>
            <family val="2"/>
          </rPr>
          <t xml:space="preserve">This is the value of the input capacitor based on two Channels. </t>
        </r>
      </text>
    </comment>
    <comment ref="C56" authorId="0" shapeId="0">
      <text>
        <r>
          <rPr>
            <sz val="8"/>
            <color indexed="81"/>
            <rFont val="Tahoma"/>
            <family val="2"/>
          </rPr>
          <t xml:space="preserve">Input ripple cancellationr may reduce the value required for Cin.  See the datasheet for more information.
</t>
        </r>
      </text>
    </comment>
    <comment ref="C61" authorId="0" shapeId="0">
      <text>
        <r>
          <rPr>
            <sz val="8"/>
            <color indexed="81"/>
            <rFont val="Tahoma"/>
            <family val="2"/>
          </rPr>
          <t>Rfb1 should be chosen to limit power dippipation in the output divider.  The value of Rfb2 is calculated based on Rfb1</t>
        </r>
        <r>
          <rPr>
            <b/>
            <sz val="8"/>
            <color indexed="81"/>
            <rFont val="Tahoma"/>
            <family val="2"/>
          </rPr>
          <t>.</t>
        </r>
        <r>
          <rPr>
            <sz val="8"/>
            <color indexed="81"/>
            <rFont val="Tahoma"/>
            <family val="2"/>
          </rPr>
          <t xml:space="preserve">
</t>
        </r>
      </text>
    </comment>
    <comment ref="C65" authorId="0" shapeId="0">
      <text>
        <r>
          <rPr>
            <sz val="8"/>
            <color indexed="81"/>
            <rFont val="Tahoma"/>
            <family val="2"/>
          </rPr>
          <t>Enter a target bandwith for the converter.  It should be at least one order of magnitude less than the switching frequency.</t>
        </r>
      </text>
    </comment>
    <comment ref="C66" authorId="0" shapeId="0">
      <text>
        <r>
          <rPr>
            <sz val="8"/>
            <color indexed="81"/>
            <rFont val="Tahoma"/>
            <family val="2"/>
          </rPr>
          <t>Ccomp and Rcomp configure the error amplifier gain characteristics to accomplish a stable overall feedback loop.
Rcomp is calculated to boost the regulator open loop gain such that the regulator crossover frequency meets the desired target.</t>
        </r>
      </text>
    </comment>
    <comment ref="C68" authorId="0" shapeId="0">
      <text>
        <r>
          <rPr>
            <sz val="8"/>
            <color indexed="81"/>
            <rFont val="Tahoma"/>
            <family val="2"/>
          </rPr>
          <t>Given Rcomp, Ccomp is calculated such that the error amplifier zero is one-tenth the target bandwidth of the regulator.</t>
        </r>
      </text>
    </comment>
    <comment ref="C69" authorId="0" shapeId="0">
      <text>
        <r>
          <rPr>
            <sz val="8"/>
            <color indexed="81"/>
            <rFont val="Tahoma"/>
            <family val="2"/>
          </rPr>
          <t>Chf creates a pole to roll off the error amplifier gain.  The pole is set to 10 times the regulator bandwidth if Chf is chosen as Chf=Ccomp/100.
For output capacitors with high ESR, Chf is chosen as:
Chf = Cout*ESR/Rcomp.</t>
        </r>
      </text>
    </comment>
    <comment ref="C71" authorId="0" shapeId="0">
      <text>
        <r>
          <rPr>
            <sz val="8"/>
            <color indexed="81"/>
            <rFont val="Tahoma"/>
            <family val="2"/>
          </rPr>
          <t xml:space="preserve">This is the time for the reference voltage and output voltage to reach their final value.  It should be substantially longer than the time required to charge Cout to Vout at the maximum output current.
</t>
        </r>
      </text>
    </comment>
    <comment ref="C77" authorId="0" shapeId="0">
      <text>
        <r>
          <rPr>
            <sz val="8"/>
            <color indexed="81"/>
            <rFont val="Tahoma"/>
            <family val="2"/>
          </rPr>
          <t>To estimate the minimum capacitance, enter the gate charge for the low-side MOSFET (QG) from the MOSFET data sheet specification table or typical gate charge curve.
QG is also used to calculate the Power Dissipation.</t>
        </r>
      </text>
    </comment>
    <comment ref="C81" authorId="0" shapeId="0">
      <text>
        <r>
          <rPr>
            <sz val="8"/>
            <color indexed="81"/>
            <rFont val="Tahoma"/>
            <family val="2"/>
          </rPr>
          <t>To estimate the minimum capacitance, enter the gate charge for the low-side MOSFET (QG) from the MOSFET data sheet specification table or typical gate charge curve.
QG is also used to calculate the Power Dissipation.</t>
        </r>
      </text>
    </comment>
    <comment ref="C86" authorId="0" shapeId="0">
      <text>
        <r>
          <rPr>
            <sz val="8"/>
            <color indexed="81"/>
            <rFont val="Tahoma"/>
            <family val="2"/>
          </rPr>
          <t>Chb and Cvcc provide gate charge for the high side MOSFET and are based on Qg.</t>
        </r>
      </text>
    </comment>
    <comment ref="C90" authorId="0" shapeId="0">
      <text>
        <r>
          <rPr>
            <sz val="8"/>
            <color indexed="81"/>
            <rFont val="Tahoma"/>
            <family val="2"/>
          </rPr>
          <t>Restart time is the off time between hiccup cycles and determines the power dissipation in current limit.</t>
        </r>
      </text>
    </comment>
  </commentList>
</comments>
</file>

<file path=xl/sharedStrings.xml><?xml version="1.0" encoding="utf-8"?>
<sst xmlns="http://schemas.openxmlformats.org/spreadsheetml/2006/main" count="459" uniqueCount="361">
  <si>
    <t>Step 1 General Requirements</t>
  </si>
  <si>
    <r>
      <t>V</t>
    </r>
    <r>
      <rPr>
        <vertAlign val="subscript"/>
        <sz val="10"/>
        <rFont val="Arial"/>
        <family val="2"/>
      </rPr>
      <t>IN</t>
    </r>
    <r>
      <rPr>
        <sz val="10"/>
        <rFont val="Arial"/>
        <family val="2"/>
      </rPr>
      <t>(min) (V)</t>
    </r>
  </si>
  <si>
    <r>
      <t>V</t>
    </r>
    <r>
      <rPr>
        <vertAlign val="subscript"/>
        <sz val="10"/>
        <rFont val="Arial"/>
        <family val="2"/>
      </rPr>
      <t>IN</t>
    </r>
    <r>
      <rPr>
        <sz val="10"/>
        <rFont val="Arial"/>
        <family val="2"/>
      </rPr>
      <t>(max) (V)</t>
    </r>
  </si>
  <si>
    <t>Minimum Duty Cycle</t>
  </si>
  <si>
    <t>Maximum Duty Cycle</t>
  </si>
  <si>
    <t>Target (% Beyond Max. Load)</t>
  </si>
  <si>
    <t>Max Output Current at Current Limit (A)</t>
  </si>
  <si>
    <t>Peak Output Current with Output Short (A)</t>
  </si>
  <si>
    <r>
      <t>C</t>
    </r>
    <r>
      <rPr>
        <vertAlign val="subscript"/>
        <sz val="10"/>
        <rFont val="Arial"/>
        <family val="2"/>
      </rPr>
      <t xml:space="preserve">OUT1 </t>
    </r>
    <r>
      <rPr>
        <sz val="10"/>
        <rFont val="Arial"/>
        <family val="2"/>
      </rPr>
      <t>(µF)</t>
    </r>
  </si>
  <si>
    <t>Net ESR (Ω)</t>
  </si>
  <si>
    <t>Peak-Peak output voltage ripple (mV)</t>
  </si>
  <si>
    <t>Input Voltage Ripple (V)</t>
  </si>
  <si>
    <t>Bandwidth (kHz)</t>
  </si>
  <si>
    <t>Soft-Start Time (ms)</t>
  </si>
  <si>
    <r>
      <t>Soft-Start Capacitor C</t>
    </r>
    <r>
      <rPr>
        <vertAlign val="subscript"/>
        <sz val="10"/>
        <rFont val="Arial"/>
        <family val="2"/>
      </rPr>
      <t>SS</t>
    </r>
    <r>
      <rPr>
        <sz val="10"/>
        <rFont val="Arial"/>
        <family val="2"/>
      </rPr>
      <t xml:space="preserve"> (µF)</t>
    </r>
  </si>
  <si>
    <t>Restart Time (ms)</t>
  </si>
  <si>
    <r>
      <t>Restart Capacitor C</t>
    </r>
    <r>
      <rPr>
        <vertAlign val="subscript"/>
        <sz val="10"/>
        <rFont val="Arial"/>
        <family val="2"/>
      </rPr>
      <t xml:space="preserve">RES </t>
    </r>
    <r>
      <rPr>
        <sz val="10"/>
        <rFont val="Arial"/>
        <family val="2"/>
      </rPr>
      <t>(nF)</t>
    </r>
  </si>
  <si>
    <t>Vsense</t>
  </si>
  <si>
    <t xml:space="preserve"> </t>
  </si>
  <si>
    <t>GMOD</t>
  </si>
  <si>
    <t>Frequency (Hz)</t>
  </si>
  <si>
    <t>Frequency (rad/sec)</t>
  </si>
  <si>
    <t>Modulator
Gain
(dB)</t>
  </si>
  <si>
    <t>Modulator
Phase
(deg)</t>
  </si>
  <si>
    <t>Error Amplifier Gain
(dB)</t>
  </si>
  <si>
    <t>Error Amplifier Phase (deg)</t>
  </si>
  <si>
    <t>Loop
Gain
(dB)</t>
  </si>
  <si>
    <t xml:space="preserve">Loop
Phase
(deg)         </t>
  </si>
  <si>
    <t>Frequency Compensation Parameters</t>
  </si>
  <si>
    <t>Zea</t>
  </si>
  <si>
    <t>ωp</t>
  </si>
  <si>
    <t>ωz</t>
  </si>
  <si>
    <t>wn</t>
  </si>
  <si>
    <t>Additional Definitions</t>
  </si>
  <si>
    <t>wzero</t>
  </si>
  <si>
    <t>RLOAD</t>
  </si>
  <si>
    <t>wpole</t>
  </si>
  <si>
    <t>DC GAIN MOD</t>
  </si>
  <si>
    <t>ωhf</t>
  </si>
  <si>
    <t>VCC</t>
  </si>
  <si>
    <t>wbw</t>
  </si>
  <si>
    <t>Aol</t>
  </si>
  <si>
    <t>Aea</t>
  </si>
  <si>
    <t>wo</t>
  </si>
  <si>
    <t>Kfb</t>
  </si>
  <si>
    <t>RAMP</t>
  </si>
  <si>
    <t>Ge</t>
  </si>
  <si>
    <t>Step 4 Inductor Value</t>
  </si>
  <si>
    <t>Step 5 Current Limit</t>
  </si>
  <si>
    <t>Step 6 Output Capacitors</t>
  </si>
  <si>
    <t>Step 7 Input Capacitors</t>
  </si>
  <si>
    <t>Step 9 Compensation Network</t>
  </si>
  <si>
    <t>Step 10 Soft Start Capacitor</t>
  </si>
  <si>
    <t>Power in the output inductor</t>
  </si>
  <si>
    <t>Power in the Current Sense Resistor</t>
  </si>
  <si>
    <t>MOSFET Internal Body Diode VF</t>
  </si>
  <si>
    <t>Power in the dead time</t>
  </si>
  <si>
    <r>
      <t>VCC Run Current I</t>
    </r>
    <r>
      <rPr>
        <vertAlign val="subscript"/>
        <sz val="10"/>
        <rFont val="Arial"/>
        <family val="2"/>
      </rPr>
      <t>VCC Total</t>
    </r>
    <r>
      <rPr>
        <sz val="10"/>
        <rFont val="Arial"/>
        <family val="2"/>
      </rPr>
      <t xml:space="preserve"> (mA)</t>
    </r>
  </si>
  <si>
    <t>Min to max step load current Output1(A)</t>
  </si>
  <si>
    <r>
      <t>C</t>
    </r>
    <r>
      <rPr>
        <vertAlign val="subscript"/>
        <sz val="10"/>
        <rFont val="Arial"/>
        <family val="2"/>
      </rPr>
      <t>OUT</t>
    </r>
    <r>
      <rPr>
        <sz val="11"/>
        <color theme="1"/>
        <rFont val="新細明體"/>
        <family val="2"/>
        <scheme val="minor"/>
      </rPr>
      <t xml:space="preserve"> Total (µF)</t>
    </r>
  </si>
  <si>
    <t>wn^2</t>
  </si>
  <si>
    <t>Terms of Use</t>
  </si>
  <si>
    <t>About</t>
  </si>
  <si>
    <t>W</t>
  </si>
  <si>
    <r>
      <t>V</t>
    </r>
    <r>
      <rPr>
        <vertAlign val="subscript"/>
        <sz val="10"/>
        <rFont val="Arial"/>
        <family val="2"/>
      </rPr>
      <t>IN</t>
    </r>
    <r>
      <rPr>
        <sz val="10"/>
        <rFont val="Arial"/>
        <family val="2"/>
      </rPr>
      <t>(nom)</t>
    </r>
  </si>
  <si>
    <t>Excel Variables Names/Calculations</t>
  </si>
  <si>
    <t>Input from user =</t>
  </si>
  <si>
    <t>Output =</t>
  </si>
  <si>
    <t>Constant</t>
  </si>
  <si>
    <t>Variable Name</t>
  </si>
  <si>
    <t>Value</t>
  </si>
  <si>
    <t>STD Units</t>
  </si>
  <si>
    <t>Notes</t>
  </si>
  <si>
    <t>iteration</t>
  </si>
  <si>
    <t>Step 1: Operational Specs</t>
  </si>
  <si>
    <t>Vin</t>
  </si>
  <si>
    <t>V</t>
  </si>
  <si>
    <t>Nominal input voltage</t>
  </si>
  <si>
    <t>Output Voltage</t>
  </si>
  <si>
    <t>A</t>
  </si>
  <si>
    <t>Maximum output Current</t>
  </si>
  <si>
    <t>Fsw</t>
  </si>
  <si>
    <t>Hz</t>
  </si>
  <si>
    <t>Nominal Operational Frequency</t>
  </si>
  <si>
    <t>Vref</t>
  </si>
  <si>
    <t>Reference Voltage</t>
  </si>
  <si>
    <t>Rfadj</t>
  </si>
  <si>
    <t>Step 2: Inductor</t>
  </si>
  <si>
    <t>index</t>
  </si>
  <si>
    <t>ideal Duty Cycle</t>
  </si>
  <si>
    <t>Ideal 1- Duty Cycle</t>
  </si>
  <si>
    <t>Lout1</t>
  </si>
  <si>
    <t>Calculated Inductor value for 30% ripple</t>
  </si>
  <si>
    <t>Chosen Inductor Value</t>
  </si>
  <si>
    <t>DCR</t>
  </si>
  <si>
    <t>Duty Cycle with DCR accounted for</t>
  </si>
  <si>
    <t>s</t>
  </si>
  <si>
    <t>Step 3: Current Limit</t>
  </si>
  <si>
    <t>Common Circuit (Y/N)?</t>
  </si>
  <si>
    <t>yes</t>
  </si>
  <si>
    <t>no</t>
  </si>
  <si>
    <t>Ilimit</t>
  </si>
  <si>
    <t>Chosen current limit level</t>
  </si>
  <si>
    <t>Rset</t>
  </si>
  <si>
    <t>F</t>
  </si>
  <si>
    <t>Rs</t>
  </si>
  <si>
    <t>Step 4: Output Capacitor</t>
  </si>
  <si>
    <t>Icoutrms</t>
  </si>
  <si>
    <t>Output Cap rms current</t>
  </si>
  <si>
    <t>Coutmin</t>
  </si>
  <si>
    <t>Minimum Output Capacitnace</t>
  </si>
  <si>
    <t>Max ESR before ripple exceeds Vripple1</t>
  </si>
  <si>
    <t>Chosen ESR</t>
  </si>
  <si>
    <t>Vp-p</t>
  </si>
  <si>
    <t>Step 5: Input Capacitor</t>
  </si>
  <si>
    <t>Vinripple1</t>
  </si>
  <si>
    <t>Icinrms</t>
  </si>
  <si>
    <t>Cinmin</t>
  </si>
  <si>
    <t>Cin</t>
  </si>
  <si>
    <t>RCinEsr</t>
  </si>
  <si>
    <t>Input capacitance series resistance (ESR)</t>
  </si>
  <si>
    <t>Vinripple2</t>
  </si>
  <si>
    <t>Step 6: Soft Start</t>
  </si>
  <si>
    <t>Soft Start Time</t>
  </si>
  <si>
    <t>Load Cap current during soft start</t>
  </si>
  <si>
    <t>Css</t>
  </si>
  <si>
    <t>Step 7: Other Components</t>
  </si>
  <si>
    <t>kΩ</t>
  </si>
  <si>
    <t>Rotp</t>
  </si>
  <si>
    <t>Step 8: Compensation</t>
  </si>
  <si>
    <t>Eadcg</t>
  </si>
  <si>
    <t>V/V</t>
  </si>
  <si>
    <t>Error Amplifier Finite DC Gain (AOL)</t>
  </si>
  <si>
    <t>GBP</t>
  </si>
  <si>
    <t>Error Amplifier Gain Bandwidth Product (GBW)</t>
  </si>
  <si>
    <t>Chosen Crossover</t>
  </si>
  <si>
    <t>Kmidband</t>
  </si>
  <si>
    <t>Midband Gain For the Error Amplifier</t>
  </si>
  <si>
    <t>Rfb1</t>
  </si>
  <si>
    <t>Top Feedback Resistor</t>
  </si>
  <si>
    <t>Rfb2</t>
  </si>
  <si>
    <t>Bottom Feedback Resistor</t>
  </si>
  <si>
    <t>Rfb2_u</t>
  </si>
  <si>
    <t>User Chosen Feedback Resistor</t>
  </si>
  <si>
    <t>Vramp</t>
  </si>
  <si>
    <t>Peak-to-Peak Ramp Voltage of PWM</t>
  </si>
  <si>
    <t>Rcea1</t>
  </si>
  <si>
    <t>This component will first set the midband gain</t>
  </si>
  <si>
    <t>Cc1ea</t>
  </si>
  <si>
    <t>This along with Rcea1 will set a zero</t>
  </si>
  <si>
    <t>Cc2ea</t>
  </si>
  <si>
    <t>Rcea2</t>
  </si>
  <si>
    <t>Cc3ea</t>
  </si>
  <si>
    <r>
      <t xml:space="preserve">Choosen Compensation Components from the </t>
    </r>
    <r>
      <rPr>
        <b/>
        <u/>
        <sz val="10"/>
        <color indexed="10"/>
        <rFont val="Arial"/>
        <family val="2"/>
      </rPr>
      <t>standard value sheet</t>
    </r>
  </si>
  <si>
    <t>Rcea1_u</t>
  </si>
  <si>
    <t>Cc1ea_u</t>
  </si>
  <si>
    <t>Cc2ea_u</t>
  </si>
  <si>
    <t>Rcea2_u</t>
  </si>
  <si>
    <t>Cc3ea_u</t>
  </si>
  <si>
    <t>Resulting Poles/Zero/Q Locations</t>
  </si>
  <si>
    <t>Fo</t>
  </si>
  <si>
    <t>LC Double Pole Location</t>
  </si>
  <si>
    <t>Q</t>
  </si>
  <si>
    <t>Quality Factor of LC output Filter</t>
  </si>
  <si>
    <t>Fesr</t>
  </si>
  <si>
    <t>Cout ESR Zero Location</t>
  </si>
  <si>
    <t>Fz1</t>
  </si>
  <si>
    <t>This zero is set at or below the double pole location</t>
  </si>
  <si>
    <t>Fz2</t>
  </si>
  <si>
    <t>Fp1</t>
  </si>
  <si>
    <t>This pole cancels the zero from the Output Cap ESR</t>
  </si>
  <si>
    <t>Fp2</t>
  </si>
  <si>
    <t>This pole is set at half the switching frequency</t>
  </si>
  <si>
    <t>Ro</t>
  </si>
  <si>
    <t>Output Resistance</t>
  </si>
  <si>
    <t>Pi</t>
  </si>
  <si>
    <t>PI</t>
  </si>
  <si>
    <t>Other Input Variables</t>
  </si>
  <si>
    <t>Rfets</t>
  </si>
  <si>
    <t>Series resistance due to FETs</t>
  </si>
  <si>
    <t>Diode loss eq res</t>
  </si>
  <si>
    <t>Fet loss eq res</t>
  </si>
  <si>
    <t>cap loss eq res</t>
  </si>
  <si>
    <t>Sw cap</t>
  </si>
  <si>
    <t>Power Dis</t>
  </si>
  <si>
    <t>Bottom FET/Diode</t>
  </si>
  <si>
    <t>Part Power</t>
  </si>
  <si>
    <t>SCHEMATIC LABELS</t>
  </si>
  <si>
    <t>Capacitance per component (Cout)</t>
  </si>
  <si>
    <t># of output caps</t>
  </si>
  <si>
    <t>CIN</t>
  </si>
  <si>
    <t>Capacitance per component (Cin)</t>
  </si>
  <si>
    <t># of input caps</t>
  </si>
  <si>
    <t>Rpgood</t>
  </si>
  <si>
    <t>20kΩ</t>
  </si>
  <si>
    <t>Cd</t>
  </si>
  <si>
    <t>1nF</t>
  </si>
  <si>
    <t>Blank out</t>
  </si>
  <si>
    <t>** Tie SYNC to GND if not used **</t>
  </si>
  <si>
    <t>High Efficiency Synchronous Buck Regulator BOM</t>
  </si>
  <si>
    <t>Count</t>
  </si>
  <si>
    <t>Ref Des</t>
  </si>
  <si>
    <t>Description</t>
  </si>
  <si>
    <t>Size</t>
  </si>
  <si>
    <t>Part Number</t>
  </si>
  <si>
    <t>MFR</t>
  </si>
  <si>
    <t>0603</t>
  </si>
  <si>
    <t>Std</t>
  </si>
  <si>
    <r>
      <t>C</t>
    </r>
    <r>
      <rPr>
        <vertAlign val="subscript"/>
        <sz val="10"/>
        <rFont val="Arial"/>
        <family val="2"/>
      </rPr>
      <t>IN</t>
    </r>
  </si>
  <si>
    <r>
      <t>C</t>
    </r>
    <r>
      <rPr>
        <vertAlign val="subscript"/>
        <sz val="10"/>
        <rFont val="Arial"/>
        <family val="2"/>
      </rPr>
      <t>VDD</t>
    </r>
  </si>
  <si>
    <t>See description</t>
  </si>
  <si>
    <t>-</t>
  </si>
  <si>
    <t>TI</t>
  </si>
  <si>
    <r>
      <t>R</t>
    </r>
    <r>
      <rPr>
        <vertAlign val="subscript"/>
        <sz val="10"/>
        <rFont val="Arial"/>
        <family val="2"/>
      </rPr>
      <t>FB1</t>
    </r>
  </si>
  <si>
    <r>
      <t>R</t>
    </r>
    <r>
      <rPr>
        <vertAlign val="subscript"/>
        <sz val="10"/>
        <rFont val="Arial"/>
        <family val="2"/>
      </rPr>
      <t>FB2</t>
    </r>
  </si>
  <si>
    <r>
      <t>R</t>
    </r>
    <r>
      <rPr>
        <vertAlign val="subscript"/>
        <sz val="10"/>
        <rFont val="Arial"/>
        <family val="2"/>
      </rPr>
      <t>PGOOD</t>
    </r>
  </si>
  <si>
    <r>
      <t>U</t>
    </r>
    <r>
      <rPr>
        <b/>
        <vertAlign val="subscript"/>
        <sz val="10"/>
        <rFont val="Arial"/>
        <family val="2"/>
      </rPr>
      <t>1</t>
    </r>
  </si>
  <si>
    <r>
      <rPr>
        <b/>
        <u/>
        <sz val="10"/>
        <rFont val="Arial"/>
        <family val="2"/>
      </rPr>
      <t>NOTES</t>
    </r>
    <r>
      <rPr>
        <b/>
        <sz val="10"/>
        <rFont val="Arial"/>
        <family val="2"/>
      </rPr>
      <t>:</t>
    </r>
  </si>
  <si>
    <t>** Inductor saturation current should be higher than the current limit setpoint at all operating temperatures **</t>
  </si>
  <si>
    <t>** Effective output capacitance should be appropriately derated for applied voltage and temperature, particularly with ceramics **</t>
  </si>
  <si>
    <t>VOUT1</t>
  </si>
  <si>
    <t>VOUT2</t>
  </si>
  <si>
    <t>IOUT1</t>
  </si>
  <si>
    <t>Donmin2</t>
  </si>
  <si>
    <t>Donmax2</t>
  </si>
  <si>
    <t>Donmin1</t>
  </si>
  <si>
    <t>Doffmax1</t>
  </si>
  <si>
    <t>Rdcr1</t>
  </si>
  <si>
    <r>
      <t>C</t>
    </r>
    <r>
      <rPr>
        <vertAlign val="subscript"/>
        <sz val="11"/>
        <color theme="1"/>
        <rFont val="新細明體"/>
        <family val="2"/>
        <scheme val="minor"/>
      </rPr>
      <t>OUT1</t>
    </r>
  </si>
  <si>
    <r>
      <t>C</t>
    </r>
    <r>
      <rPr>
        <vertAlign val="subscript"/>
        <sz val="11"/>
        <color theme="1"/>
        <rFont val="新細明體"/>
        <family val="2"/>
        <scheme val="minor"/>
      </rPr>
      <t>OUT3</t>
    </r>
  </si>
  <si>
    <r>
      <t>C</t>
    </r>
    <r>
      <rPr>
        <vertAlign val="subscript"/>
        <sz val="11"/>
        <color theme="1"/>
        <rFont val="新細明體"/>
        <family val="2"/>
        <scheme val="minor"/>
      </rPr>
      <t>OUT4</t>
    </r>
  </si>
  <si>
    <t>Resr1</t>
  </si>
  <si>
    <t>Vout1 ripple</t>
  </si>
  <si>
    <t>CVIN ripple</t>
  </si>
  <si>
    <t>Tss1</t>
  </si>
  <si>
    <t>TSS2</t>
  </si>
  <si>
    <t>RCOMP1</t>
  </si>
  <si>
    <t>RCOMP2</t>
  </si>
  <si>
    <t>COMP1</t>
  </si>
  <si>
    <t>COMP2</t>
  </si>
  <si>
    <t>Cres</t>
  </si>
  <si>
    <r>
      <t>C</t>
    </r>
    <r>
      <rPr>
        <vertAlign val="subscript"/>
        <sz val="10"/>
        <rFont val="Arial"/>
        <family val="2"/>
      </rPr>
      <t>SS1</t>
    </r>
  </si>
  <si>
    <r>
      <t>C</t>
    </r>
    <r>
      <rPr>
        <vertAlign val="subscript"/>
        <sz val="10"/>
        <rFont val="Arial"/>
        <family val="2"/>
      </rPr>
      <t>HB1</t>
    </r>
    <r>
      <rPr>
        <sz val="10"/>
        <rFont val="Arial"/>
        <family val="2"/>
      </rPr>
      <t>, C</t>
    </r>
    <r>
      <rPr>
        <vertAlign val="subscript"/>
        <sz val="10"/>
        <rFont val="Arial"/>
        <family val="2"/>
      </rPr>
      <t>HB2</t>
    </r>
  </si>
  <si>
    <r>
      <t>C</t>
    </r>
    <r>
      <rPr>
        <vertAlign val="subscript"/>
        <sz val="10"/>
        <rFont val="Arial"/>
        <family val="2"/>
      </rPr>
      <t>COMP1</t>
    </r>
  </si>
  <si>
    <r>
      <t>C</t>
    </r>
    <r>
      <rPr>
        <vertAlign val="subscript"/>
        <sz val="10"/>
        <rFont val="Arial"/>
        <family val="2"/>
      </rPr>
      <t>RES</t>
    </r>
  </si>
  <si>
    <r>
      <t>R</t>
    </r>
    <r>
      <rPr>
        <vertAlign val="subscript"/>
        <sz val="10"/>
        <rFont val="Arial"/>
        <family val="2"/>
      </rPr>
      <t>CS1</t>
    </r>
  </si>
  <si>
    <r>
      <t>R</t>
    </r>
    <r>
      <rPr>
        <vertAlign val="subscript"/>
        <sz val="10"/>
        <rFont val="Arial"/>
        <family val="2"/>
      </rPr>
      <t>COMP1</t>
    </r>
  </si>
  <si>
    <r>
      <t>L</t>
    </r>
    <r>
      <rPr>
        <vertAlign val="subscript"/>
        <sz val="10"/>
        <rFont val="Arial"/>
        <family val="2"/>
      </rPr>
      <t>OUT1</t>
    </r>
  </si>
  <si>
    <r>
      <t>D</t>
    </r>
    <r>
      <rPr>
        <vertAlign val="subscript"/>
        <sz val="10"/>
        <rFont val="Arial"/>
        <family val="2"/>
      </rPr>
      <t>HB1</t>
    </r>
    <r>
      <rPr>
        <sz val="10"/>
        <rFont val="Arial"/>
        <family val="2"/>
      </rPr>
      <t>, D</t>
    </r>
    <r>
      <rPr>
        <vertAlign val="subscript"/>
        <sz val="10"/>
        <rFont val="Arial"/>
        <family val="2"/>
      </rPr>
      <t>BH2</t>
    </r>
  </si>
  <si>
    <t>Diode, Schottky, 70V, 1A, SMA</t>
  </si>
  <si>
    <t>Q1,Q2,Q3,Q4</t>
  </si>
  <si>
    <t>PMEG6010CEJ</t>
  </si>
  <si>
    <r>
      <t>C</t>
    </r>
    <r>
      <rPr>
        <vertAlign val="subscript"/>
        <sz val="10"/>
        <rFont val="Arial"/>
        <family val="2"/>
      </rPr>
      <t>OUT1</t>
    </r>
  </si>
  <si>
    <r>
      <t>C</t>
    </r>
    <r>
      <rPr>
        <vertAlign val="subscript"/>
        <sz val="10"/>
        <rFont val="Arial"/>
        <family val="2"/>
      </rPr>
      <t>OUT3</t>
    </r>
  </si>
  <si>
    <t>SON 6 x 6 mm</t>
  </si>
  <si>
    <t>MOSFET, N-CH, 60 V, 24 A, PowerPAK_SO-8L</t>
  </si>
  <si>
    <t>'SQJ850EP-T1-GE3</t>
  </si>
  <si>
    <r>
      <t xml:space="preserve"> C</t>
    </r>
    <r>
      <rPr>
        <vertAlign val="subscript"/>
        <sz val="10"/>
        <rFont val="Arial"/>
        <family val="2"/>
      </rPr>
      <t xml:space="preserve">IN </t>
    </r>
    <r>
      <rPr>
        <sz val="10"/>
        <rFont val="Arial"/>
        <family val="2"/>
      </rPr>
      <t>(µF)</t>
    </r>
  </si>
  <si>
    <t>RFB1</t>
  </si>
  <si>
    <t>RFB2</t>
  </si>
  <si>
    <t>RFB3</t>
  </si>
  <si>
    <t>RFB4</t>
  </si>
  <si>
    <t>RC1 = 4.64kΩ</t>
  </si>
  <si>
    <t>4.64kΩ</t>
  </si>
  <si>
    <t>LOUT = 1uH</t>
  </si>
  <si>
    <t>1µH</t>
  </si>
  <si>
    <t>Rdcr = 1.1mΩ</t>
  </si>
  <si>
    <t>1.1mΩ</t>
  </si>
  <si>
    <t>VOUT = 1.2V</t>
  </si>
  <si>
    <t>1.2V</t>
  </si>
  <si>
    <t>COUT = 220uF</t>
  </si>
  <si>
    <t>220µF</t>
  </si>
  <si>
    <t>RFB1 = 10kΩ</t>
  </si>
  <si>
    <t>10kΩ</t>
  </si>
  <si>
    <t>RFB2 = 10kΩ</t>
  </si>
  <si>
    <t>4.53kΩ</t>
  </si>
  <si>
    <t>3.09kΩ</t>
  </si>
  <si>
    <t>84.5kΩ</t>
  </si>
  <si>
    <t>47.5kΩ</t>
  </si>
  <si>
    <t>47nF</t>
  </si>
  <si>
    <t>Crossover Frequency = 44 kHz</t>
  </si>
  <si>
    <t>44 kHz</t>
  </si>
  <si>
    <t>Phase Margin = 71°</t>
  </si>
  <si>
    <t>71°</t>
  </si>
  <si>
    <t>Step 11 MOSFET High Side</t>
  </si>
  <si>
    <t>Step 13 Restart Capacitor</t>
  </si>
  <si>
    <t>MOSFET Low Side</t>
  </si>
  <si>
    <r>
      <t>R</t>
    </r>
    <r>
      <rPr>
        <vertAlign val="subscript"/>
        <sz val="10"/>
        <rFont val="Arial"/>
        <family val="2"/>
      </rPr>
      <t>FB1</t>
    </r>
    <r>
      <rPr>
        <sz val="10"/>
        <rFont val="Arial"/>
        <family val="2"/>
      </rPr>
      <t xml:space="preserve"> (Ω)</t>
    </r>
  </si>
  <si>
    <r>
      <t>R</t>
    </r>
    <r>
      <rPr>
        <vertAlign val="subscript"/>
        <sz val="10"/>
        <rFont val="Arial"/>
        <family val="2"/>
      </rPr>
      <t>FB2</t>
    </r>
    <r>
      <rPr>
        <sz val="10"/>
        <rFont val="Arial"/>
        <family val="2"/>
      </rPr>
      <t xml:space="preserve"> (Ω)</t>
    </r>
  </si>
  <si>
    <r>
      <t>R</t>
    </r>
    <r>
      <rPr>
        <vertAlign val="subscript"/>
        <sz val="10"/>
        <rFont val="Arial"/>
        <family val="2"/>
      </rPr>
      <t>COMP1</t>
    </r>
    <r>
      <rPr>
        <sz val="10"/>
        <rFont val="Arial"/>
        <family val="2"/>
      </rPr>
      <t>_used (Ω)</t>
    </r>
  </si>
  <si>
    <t>Driver tr+tr (ns)</t>
  </si>
  <si>
    <t>LM5140 tdead Time (ns)</t>
  </si>
  <si>
    <t>MOSFET Internal Boday Qrr (ns)</t>
  </si>
  <si>
    <t>Enter the nearest standard vaule (nF)</t>
  </si>
  <si>
    <r>
      <t>R</t>
    </r>
    <r>
      <rPr>
        <vertAlign val="subscript"/>
        <sz val="10"/>
        <rFont val="Arial"/>
        <family val="2"/>
      </rPr>
      <t>FB2 Used</t>
    </r>
    <r>
      <rPr>
        <sz val="10"/>
        <rFont val="Arial"/>
        <family val="2"/>
      </rPr>
      <t>(k</t>
    </r>
    <r>
      <rPr>
        <sz val="10"/>
        <rFont val="Calibri"/>
        <family val="2"/>
      </rPr>
      <t>Ω</t>
    </r>
    <r>
      <rPr>
        <sz val="7"/>
        <rFont val="Arial"/>
        <family val="2"/>
      </rPr>
      <t>)</t>
    </r>
  </si>
  <si>
    <t>Vsense (V)</t>
  </si>
  <si>
    <t>Δipk (A)</t>
  </si>
  <si>
    <t>Ipk (A)</t>
  </si>
  <si>
    <r>
      <t>MOSFET R</t>
    </r>
    <r>
      <rPr>
        <vertAlign val="subscript"/>
        <sz val="10"/>
        <rFont val="Arial"/>
        <family val="2"/>
      </rPr>
      <t xml:space="preserve">DSON </t>
    </r>
    <r>
      <rPr>
        <sz val="10"/>
        <rFont val="Cambria"/>
        <family val="1"/>
      </rPr>
      <t>(Ω</t>
    </r>
    <r>
      <rPr>
        <vertAlign val="subscript"/>
        <sz val="7"/>
        <rFont val="Arial"/>
        <family val="2"/>
      </rPr>
      <t>)</t>
    </r>
  </si>
  <si>
    <t>MOSFET Internal Body Diode VF (V)</t>
  </si>
  <si>
    <t>Max. Load Current (A)</t>
  </si>
  <si>
    <r>
      <t>Current Sense Resistor (R</t>
    </r>
    <r>
      <rPr>
        <vertAlign val="subscript"/>
        <sz val="10"/>
        <rFont val="Arial"/>
        <family val="2"/>
      </rPr>
      <t>CS1</t>
    </r>
    <r>
      <rPr>
        <sz val="10"/>
        <rFont val="Arial"/>
        <family val="2"/>
      </rPr>
      <t>) Ω (120% of Ipk)</t>
    </r>
  </si>
  <si>
    <t>With VCCX connected (W)</t>
  </si>
  <si>
    <t>Total Power Loss (W)</t>
  </si>
  <si>
    <t>Input Capacitor ripple Current</t>
  </si>
  <si>
    <t>I per ICC both channels 0.075A.</t>
  </si>
  <si>
    <t>Pd LM5140=(24V-5V)*0.075=1.425W</t>
  </si>
  <si>
    <r>
      <t>V</t>
    </r>
    <r>
      <rPr>
        <vertAlign val="subscript"/>
        <sz val="10"/>
        <rFont val="Arial"/>
        <family val="2"/>
      </rPr>
      <t>OUT</t>
    </r>
    <r>
      <rPr>
        <sz val="10"/>
        <rFont val="Arial"/>
        <family val="2"/>
      </rPr>
      <t xml:space="preserve"> (V)</t>
    </r>
  </si>
  <si>
    <t>Power CS (W)</t>
  </si>
  <si>
    <t>P_LM5141</t>
  </si>
  <si>
    <r>
      <t>Minimum C</t>
    </r>
    <r>
      <rPr>
        <vertAlign val="subscript"/>
        <sz val="10"/>
        <rFont val="Arial"/>
        <family val="2"/>
      </rPr>
      <t xml:space="preserve">BST </t>
    </r>
    <r>
      <rPr>
        <sz val="10"/>
        <rFont val="Arial"/>
        <family val="2"/>
      </rPr>
      <t>(µF)</t>
    </r>
  </si>
  <si>
    <t>CBST</t>
  </si>
  <si>
    <r>
      <t>C</t>
    </r>
    <r>
      <rPr>
        <vertAlign val="subscript"/>
        <sz val="10"/>
        <rFont val="Arial"/>
        <family val="2"/>
      </rPr>
      <t>VCC1</t>
    </r>
  </si>
  <si>
    <t>LM5141-Q1</t>
  </si>
  <si>
    <t>IC, LM5141 Synchronous Buck Controller</t>
  </si>
  <si>
    <t>QFN-24</t>
  </si>
  <si>
    <t>LM5141QRGERQ1</t>
  </si>
  <si>
    <t>MHz</t>
  </si>
  <si>
    <t>kHz</t>
  </si>
  <si>
    <t>RT kHz</t>
  </si>
  <si>
    <r>
      <t>F</t>
    </r>
    <r>
      <rPr>
        <vertAlign val="subscript"/>
        <sz val="10"/>
        <rFont val="Arial"/>
        <family val="2"/>
      </rPr>
      <t xml:space="preserve">SW </t>
    </r>
    <r>
      <rPr>
        <sz val="10"/>
        <rFont val="Arial"/>
        <family val="2"/>
      </rPr>
      <t>(Hz)</t>
    </r>
  </si>
  <si>
    <r>
      <t>RT k</t>
    </r>
    <r>
      <rPr>
        <sz val="10"/>
        <rFont val="Calibri"/>
        <family val="2"/>
      </rPr>
      <t>Ω</t>
    </r>
  </si>
  <si>
    <r>
      <t>P</t>
    </r>
    <r>
      <rPr>
        <vertAlign val="subscript"/>
        <sz val="12"/>
        <color theme="1"/>
        <rFont val="Arial"/>
        <family val="2"/>
      </rPr>
      <t>SW</t>
    </r>
  </si>
  <si>
    <r>
      <t>MOSFETS Losses P</t>
    </r>
    <r>
      <rPr>
        <b/>
        <vertAlign val="subscript"/>
        <sz val="11"/>
        <color theme="1"/>
        <rFont val="新細明體"/>
        <family val="2"/>
        <scheme val="minor"/>
      </rPr>
      <t>TOTAL</t>
    </r>
    <r>
      <rPr>
        <b/>
        <sz val="11"/>
        <color theme="1"/>
        <rFont val="新細明體"/>
        <family val="2"/>
        <scheme val="minor"/>
      </rPr>
      <t>=P</t>
    </r>
    <r>
      <rPr>
        <b/>
        <vertAlign val="subscript"/>
        <sz val="11"/>
        <color theme="1"/>
        <rFont val="新細明體"/>
        <family val="2"/>
        <scheme val="minor"/>
      </rPr>
      <t>ON</t>
    </r>
    <r>
      <rPr>
        <b/>
        <sz val="11"/>
        <color theme="1"/>
        <rFont val="新細明體"/>
        <family val="2"/>
        <scheme val="minor"/>
      </rPr>
      <t>+P</t>
    </r>
    <r>
      <rPr>
        <b/>
        <vertAlign val="subscript"/>
        <sz val="11"/>
        <color theme="1"/>
        <rFont val="新細明體"/>
        <family val="2"/>
        <scheme val="minor"/>
      </rPr>
      <t>SW</t>
    </r>
  </si>
  <si>
    <r>
      <t>P</t>
    </r>
    <r>
      <rPr>
        <vertAlign val="subscript"/>
        <sz val="12"/>
        <color theme="1"/>
        <rFont val="Arial"/>
        <family val="2"/>
      </rPr>
      <t>ON(LO)</t>
    </r>
  </si>
  <si>
    <r>
      <t>P</t>
    </r>
    <r>
      <rPr>
        <vertAlign val="subscript"/>
        <sz val="12"/>
        <color theme="1"/>
        <rFont val="Arial"/>
        <family val="2"/>
      </rPr>
      <t>ON(HI)</t>
    </r>
  </si>
  <si>
    <r>
      <t>MOSFET P</t>
    </r>
    <r>
      <rPr>
        <b/>
        <vertAlign val="subscript"/>
        <sz val="12"/>
        <color theme="1"/>
        <rFont val="Arial"/>
        <family val="2"/>
      </rPr>
      <t>TOTAL</t>
    </r>
  </si>
  <si>
    <r>
      <t>P</t>
    </r>
    <r>
      <rPr>
        <vertAlign val="subscript"/>
        <sz val="12"/>
        <color theme="1"/>
        <rFont val="Arial"/>
        <family val="2"/>
      </rPr>
      <t>LOUT</t>
    </r>
    <r>
      <rPr>
        <sz val="12"/>
        <color theme="1"/>
        <rFont val="Arial"/>
        <family val="2"/>
      </rPr>
      <t xml:space="preserve"> (W)</t>
    </r>
  </si>
  <si>
    <r>
      <t>V</t>
    </r>
    <r>
      <rPr>
        <vertAlign val="subscript"/>
        <sz val="10"/>
        <rFont val="Arial"/>
        <family val="2"/>
      </rPr>
      <t>OUT_SET</t>
    </r>
    <r>
      <rPr>
        <sz val="10"/>
        <rFont val="Arial"/>
        <family val="2"/>
      </rPr>
      <t xml:space="preserve"> (V)</t>
    </r>
  </si>
  <si>
    <t>Enter the desired output voltage, between 1.5V and 15V</t>
  </si>
  <si>
    <r>
      <t>C</t>
    </r>
    <r>
      <rPr>
        <vertAlign val="subscript"/>
        <sz val="10"/>
        <rFont val="Arial"/>
        <family val="2"/>
      </rPr>
      <t>OUT1</t>
    </r>
    <r>
      <rPr>
        <sz val="10"/>
        <rFont val="Arial"/>
        <family val="2"/>
      </rPr>
      <t xml:space="preserve"> and C</t>
    </r>
    <r>
      <rPr>
        <vertAlign val="subscript"/>
        <sz val="10"/>
        <rFont val="Arial"/>
        <family val="2"/>
      </rPr>
      <t xml:space="preserve">OUT2 </t>
    </r>
    <r>
      <rPr>
        <sz val="10"/>
        <rFont val="Arial"/>
        <family val="2"/>
      </rPr>
      <t>should be multiple 82</t>
    </r>
    <r>
      <rPr>
        <sz val="10"/>
        <rFont val="Calibri"/>
        <family val="2"/>
      </rPr>
      <t>µF</t>
    </r>
    <r>
      <rPr>
        <sz val="10"/>
        <rFont val="Arial"/>
        <family val="2"/>
      </rPr>
      <t xml:space="preserve"> capacitors in parallel(µF)</t>
    </r>
  </si>
  <si>
    <r>
      <t>C</t>
    </r>
    <r>
      <rPr>
        <vertAlign val="subscript"/>
        <sz val="10"/>
        <rFont val="Arial"/>
        <family val="2"/>
      </rPr>
      <t>OUT3</t>
    </r>
    <r>
      <rPr>
        <sz val="10"/>
        <rFont val="Arial"/>
        <family val="2"/>
      </rPr>
      <t xml:space="preserve"> and C</t>
    </r>
    <r>
      <rPr>
        <vertAlign val="subscript"/>
        <sz val="10"/>
        <rFont val="Arial"/>
        <family val="2"/>
      </rPr>
      <t>OUT4</t>
    </r>
    <r>
      <rPr>
        <sz val="10"/>
        <rFont val="Arial"/>
        <family val="2"/>
      </rPr>
      <t xml:space="preserve"> can be multiple 47µF ceramic capacitors in parallel(µF)C</t>
    </r>
    <r>
      <rPr>
        <vertAlign val="subscript"/>
        <sz val="10"/>
        <rFont val="Arial"/>
        <family val="2"/>
      </rPr>
      <t xml:space="preserve">OUT3 </t>
    </r>
    <r>
      <rPr>
        <sz val="10"/>
        <rFont val="Arial"/>
        <family val="2"/>
      </rPr>
      <t>(µF)</t>
    </r>
  </si>
  <si>
    <t>Choose Closest Standard Value for Rs (Ω)</t>
  </si>
  <si>
    <r>
      <t>C</t>
    </r>
    <r>
      <rPr>
        <vertAlign val="subscript"/>
        <sz val="10"/>
        <color theme="1"/>
        <rFont val="Arial"/>
        <family val="2"/>
      </rPr>
      <t>IN</t>
    </r>
    <r>
      <rPr>
        <sz val="10"/>
        <color theme="1"/>
        <rFont val="Arial"/>
        <family val="2"/>
      </rPr>
      <t xml:space="preserve"> should be multiple of 2.2µ capacitors in parallel </t>
    </r>
  </si>
  <si>
    <r>
      <t>Enter the nearest standard value (</t>
    </r>
    <r>
      <rPr>
        <sz val="10"/>
        <rFont val="Calibri"/>
        <family val="2"/>
      </rPr>
      <t>µ</t>
    </r>
    <r>
      <rPr>
        <sz val="10"/>
        <rFont val="Arial"/>
        <family val="2"/>
      </rPr>
      <t>F)</t>
    </r>
  </si>
  <si>
    <t>MOSFET Internal Body Qrr (ns)</t>
  </si>
  <si>
    <t>Step 14 Power Dissipation</t>
  </si>
  <si>
    <t>With VCCX not connected (W)</t>
  </si>
  <si>
    <t>Efficiency</t>
  </si>
  <si>
    <r>
      <t>V</t>
    </r>
    <r>
      <rPr>
        <vertAlign val="subscript"/>
        <sz val="11"/>
        <color theme="1"/>
        <rFont val="新細明體"/>
        <family val="2"/>
        <scheme val="minor"/>
      </rPr>
      <t>IN(nom)</t>
    </r>
  </si>
  <si>
    <r>
      <t>C</t>
    </r>
    <r>
      <rPr>
        <vertAlign val="subscript"/>
        <sz val="10"/>
        <rFont val="Arial"/>
        <family val="2"/>
      </rPr>
      <t>DITH</t>
    </r>
    <r>
      <rPr>
        <sz val="10"/>
        <rFont val="Arial"/>
        <family val="2"/>
      </rPr>
      <t xml:space="preserve"> (μF)</t>
    </r>
  </si>
  <si>
    <r>
      <t>Enter the Dither modulation Frequency (F</t>
    </r>
    <r>
      <rPr>
        <b/>
        <vertAlign val="subscript"/>
        <sz val="14"/>
        <color rgb="FF0070C0"/>
        <rFont val="Arial"/>
        <family val="2"/>
      </rPr>
      <t>MOD</t>
    </r>
    <r>
      <rPr>
        <b/>
        <sz val="14"/>
        <color rgb="FF0070C0"/>
        <rFont val="Arial"/>
        <family val="2"/>
      </rPr>
      <t xml:space="preserve">) </t>
    </r>
  </si>
  <si>
    <t>CDITHER</t>
  </si>
  <si>
    <r>
      <t>C</t>
    </r>
    <r>
      <rPr>
        <vertAlign val="subscript"/>
        <sz val="10"/>
        <rFont val="Arial"/>
        <family val="2"/>
      </rPr>
      <t>DITH</t>
    </r>
  </si>
  <si>
    <r>
      <t>C</t>
    </r>
    <r>
      <rPr>
        <vertAlign val="subscript"/>
        <sz val="10"/>
        <rFont val="Arial"/>
        <family val="2"/>
      </rPr>
      <t xml:space="preserve">DITH_USED </t>
    </r>
    <r>
      <rPr>
        <sz val="10"/>
        <rFont val="Cambria"/>
        <family val="1"/>
      </rPr>
      <t>(μF)</t>
    </r>
  </si>
  <si>
    <r>
      <t>R</t>
    </r>
    <r>
      <rPr>
        <b/>
        <vertAlign val="subscript"/>
        <sz val="14"/>
        <color rgb="FF0070C0"/>
        <rFont val="Arial"/>
        <family val="2"/>
      </rPr>
      <t>FB1</t>
    </r>
    <r>
      <rPr>
        <b/>
        <sz val="14"/>
        <color rgb="FF0070C0"/>
        <rFont val="Arial"/>
        <family val="2"/>
      </rPr>
      <t xml:space="preserve"> and R</t>
    </r>
    <r>
      <rPr>
        <b/>
        <vertAlign val="subscript"/>
        <sz val="14"/>
        <color rgb="FF0070C0"/>
        <rFont val="Arial"/>
        <family val="2"/>
      </rPr>
      <t>FB3</t>
    </r>
    <r>
      <rPr>
        <b/>
        <sz val="14"/>
        <color rgb="FF0070C0"/>
        <rFont val="Arial"/>
        <family val="2"/>
      </rPr>
      <t xml:space="preserve"> should be between 10kΩ-20kΩ</t>
    </r>
  </si>
  <si>
    <t>Vout is set by connecting the FB pin to VCC for a 3.3V output, GND for a 5.0V output, or an external voltage divider</t>
  </si>
  <si>
    <t>Inductor dcr (Ω)</t>
  </si>
  <si>
    <t>Low-side MOSFET Qg @VVCC (nC)</t>
  </si>
  <si>
    <t>High-side MOSFET Qg @VVCC (nC)</t>
  </si>
  <si>
    <t>Step 2 LM5141 CL threshold 75mV.</t>
  </si>
  <si>
    <r>
      <t>L</t>
    </r>
    <r>
      <rPr>
        <vertAlign val="subscript"/>
        <sz val="10"/>
        <rFont val="Arial"/>
        <family val="2"/>
      </rPr>
      <t>OUT</t>
    </r>
    <r>
      <rPr>
        <sz val="10"/>
        <rFont val="Arial"/>
        <family val="2"/>
      </rPr>
      <t xml:space="preserve">  Channel (</t>
    </r>
    <r>
      <rPr>
        <sz val="10"/>
        <rFont val="Arial"/>
        <family val="2"/>
      </rPr>
      <t>µ</t>
    </r>
    <r>
      <rPr>
        <sz val="10"/>
        <rFont val="Arial"/>
        <family val="2"/>
      </rPr>
      <t>H)</t>
    </r>
  </si>
  <si>
    <r>
      <t>Nearest standard value for L (µH) (L</t>
    </r>
    <r>
      <rPr>
        <vertAlign val="subscript"/>
        <sz val="10"/>
        <rFont val="Arial"/>
        <family val="2"/>
      </rPr>
      <t>OUT</t>
    </r>
    <r>
      <rPr>
        <sz val="10"/>
        <rFont val="Arial"/>
        <family val="2"/>
      </rPr>
      <t>)</t>
    </r>
  </si>
  <si>
    <t>Step 8 Feedback Resistors to set the output voltage between 1.5V and 15V</t>
  </si>
  <si>
    <r>
      <t>R</t>
    </r>
    <r>
      <rPr>
        <vertAlign val="subscript"/>
        <sz val="10"/>
        <rFont val="Arial"/>
        <family val="2"/>
      </rPr>
      <t>COMP</t>
    </r>
    <r>
      <rPr>
        <sz val="10"/>
        <rFont val="Arial"/>
        <family val="2"/>
      </rPr>
      <t>(Ω)</t>
    </r>
  </si>
  <si>
    <r>
      <t xml:space="preserve"> C</t>
    </r>
    <r>
      <rPr>
        <vertAlign val="subscript"/>
        <sz val="10"/>
        <rFont val="Arial"/>
        <family val="2"/>
      </rPr>
      <t>COMP</t>
    </r>
    <r>
      <rPr>
        <sz val="10"/>
        <rFont val="Arial"/>
        <family val="2"/>
      </rPr>
      <t>(nF)</t>
    </r>
  </si>
  <si>
    <r>
      <t>C</t>
    </r>
    <r>
      <rPr>
        <vertAlign val="subscript"/>
        <sz val="10"/>
        <rFont val="Arial"/>
        <family val="2"/>
      </rPr>
      <t>COMP</t>
    </r>
    <r>
      <rPr>
        <sz val="10"/>
        <rFont val="Arial"/>
        <family val="2"/>
      </rPr>
      <t>_Used</t>
    </r>
    <r>
      <rPr>
        <vertAlign val="subscript"/>
        <sz val="10"/>
        <rFont val="Arial"/>
        <family val="2"/>
      </rPr>
      <t xml:space="preserve"> </t>
    </r>
    <r>
      <rPr>
        <sz val="10"/>
        <rFont val="Arial"/>
        <family val="2"/>
      </rPr>
      <t>(nF)</t>
    </r>
  </si>
  <si>
    <t xml:space="preserve">  Cell C23 calculates the RT resistor, enter the desired RT Frequency 1.8MHz to 2.53MHz</t>
  </si>
  <si>
    <t>Cell C25 calculates the RT resistor, enter the desired RT Frequency 300kHz-500kHz</t>
  </si>
  <si>
    <t xml:space="preserve">Enter either oscillator frequency 2.2 MHz,  440 kHz, RT frequency, or SYNC frequency </t>
  </si>
  <si>
    <t>Step 3 Oscillator Frequency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</si>
</sst>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0"/>
    <numFmt numFmtId="177" formatCode="0.0000"/>
    <numFmt numFmtId="178" formatCode="0.000"/>
    <numFmt numFmtId="179" formatCode="0.0E+00"/>
    <numFmt numFmtId="180" formatCode="0.000E+00"/>
    <numFmt numFmtId="181" formatCode="0.000000"/>
    <numFmt numFmtId="182" formatCode="General&quot;µF&quot;"/>
    <numFmt numFmtId="183" formatCode="&quot;Capacitor, Ceramic, &quot;General&quot;-µF, 16V, X7R, 10%&quot;"/>
    <numFmt numFmtId="184" formatCode="&quot;Capacitor, Ceramic, &quot;General&quot;-µF, 6.3V, X5R, 20%&quot;"/>
    <numFmt numFmtId="185" formatCode="&quot;Capacitor, Ceramic, &quot;General&quot;-µF, 10V, X5R, 20%&quot;"/>
    <numFmt numFmtId="186" formatCode="General&quot;µH&quot;"/>
    <numFmt numFmtId="187" formatCode="&quot;Inductor, &quot;General&quot;-µH, 10%&quot;"/>
    <numFmt numFmtId="188" formatCode="&quot;MOSFET, N-CH, 30V, &quot;General&quot;mΩ&quot;"/>
    <numFmt numFmtId="189" formatCode="General&quot;k&quot;"/>
    <numFmt numFmtId="190" formatCode="&quot;Resistor, Chip, &quot;General&quot;-kΩ, 1/16W, 1%&quot;"/>
    <numFmt numFmtId="191" formatCode="&quot;Resistor, &quot;General&quot;-ohms, 1%, 1W, 0612&quot;"/>
    <numFmt numFmtId="192" formatCode="General\ "/>
    <numFmt numFmtId="193" formatCode="&quot;Capacitor, Ceramic, &quot;General&quot;-µF, 100V, X7R, 10%&quot;"/>
    <numFmt numFmtId="194" formatCode="0.00000"/>
    <numFmt numFmtId="195" formatCode="0.00;[Red]0.00"/>
    <numFmt numFmtId="196" formatCode="0.000;[Red]0.000"/>
  </numFmts>
  <fonts count="41" x14ac:knownFonts="1">
    <font>
      <sz val="11"/>
      <color theme="1"/>
      <name val="新細明體"/>
      <family val="2"/>
      <scheme val="minor"/>
    </font>
    <font>
      <sz val="10"/>
      <name val="Arial"/>
      <family val="2"/>
    </font>
    <font>
      <sz val="10"/>
      <color indexed="10"/>
      <name val="Arial"/>
      <family val="2"/>
    </font>
    <font>
      <sz val="10"/>
      <color indexed="22"/>
      <name val="Arial"/>
      <family val="2"/>
    </font>
    <font>
      <sz val="10"/>
      <color indexed="12"/>
      <name val="Arial"/>
      <family val="2"/>
    </font>
    <font>
      <b/>
      <sz val="10"/>
      <name val="Arial"/>
      <family val="2"/>
    </font>
    <font>
      <vertAlign val="subscript"/>
      <sz val="10"/>
      <name val="Arial"/>
      <family val="2"/>
    </font>
    <font>
      <sz val="8"/>
      <color indexed="81"/>
      <name val="Tahoma"/>
      <family val="2"/>
    </font>
    <font>
      <b/>
      <sz val="8"/>
      <color indexed="81"/>
      <name val="Tahoma"/>
      <family val="2"/>
    </font>
    <font>
      <b/>
      <u/>
      <sz val="10"/>
      <name val="Arial"/>
      <family val="2"/>
    </font>
    <font>
      <b/>
      <sz val="11"/>
      <color theme="1"/>
      <name val="新細明體"/>
      <family val="2"/>
      <scheme val="minor"/>
    </font>
    <font>
      <vertAlign val="subscript"/>
      <sz val="11"/>
      <color theme="1"/>
      <name val="新細明體"/>
      <family val="2"/>
      <scheme val="minor"/>
    </font>
    <font>
      <b/>
      <vertAlign val="subscript"/>
      <sz val="11"/>
      <color theme="1"/>
      <name val="新細明體"/>
      <family val="2"/>
      <scheme val="minor"/>
    </font>
    <font>
      <b/>
      <sz val="14"/>
      <color rgb="FF0070C0"/>
      <name val="Arial"/>
      <family val="2"/>
    </font>
    <font>
      <b/>
      <sz val="10"/>
      <color indexed="10"/>
      <name val="Arial"/>
      <family val="2"/>
    </font>
    <font>
      <b/>
      <sz val="11"/>
      <color theme="0"/>
      <name val="Arial"/>
      <family val="2"/>
    </font>
    <font>
      <b/>
      <sz val="10"/>
      <color indexed="81"/>
      <name val="Arial"/>
      <family val="2"/>
    </font>
    <font>
      <sz val="10"/>
      <color indexed="81"/>
      <name val="Arial"/>
      <family val="2"/>
    </font>
    <font>
      <sz val="12"/>
      <color theme="1"/>
      <name val="Arial"/>
      <family val="2"/>
    </font>
    <font>
      <vertAlign val="subscript"/>
      <sz val="12"/>
      <color theme="1"/>
      <name val="Arial"/>
      <family val="2"/>
    </font>
    <font>
      <b/>
      <sz val="12"/>
      <color theme="1"/>
      <name val="Arial"/>
      <family val="2"/>
    </font>
    <font>
      <b/>
      <sz val="22"/>
      <color indexed="44"/>
      <name val="Arial"/>
      <family val="2"/>
    </font>
    <font>
      <b/>
      <sz val="12"/>
      <color indexed="48"/>
      <name val="Arial"/>
      <family val="2"/>
    </font>
    <font>
      <sz val="10"/>
      <name val="Symbol"/>
      <family val="1"/>
      <charset val="2"/>
    </font>
    <font>
      <b/>
      <i/>
      <sz val="10"/>
      <name val="Arial"/>
      <family val="2"/>
    </font>
    <font>
      <sz val="10"/>
      <color indexed="8"/>
      <name val="Arial"/>
      <family val="2"/>
    </font>
    <font>
      <sz val="10"/>
      <name val="Calibri"/>
      <family val="2"/>
    </font>
    <font>
      <b/>
      <u/>
      <sz val="10"/>
      <color indexed="10"/>
      <name val="Arial"/>
      <family val="2"/>
    </font>
    <font>
      <b/>
      <sz val="12"/>
      <color rgb="FF0000FF"/>
      <name val="Arial"/>
      <family val="2"/>
    </font>
    <font>
      <b/>
      <sz val="16"/>
      <name val="Arial"/>
      <family val="2"/>
    </font>
    <font>
      <b/>
      <sz val="10"/>
      <color indexed="9"/>
      <name val="Arial"/>
      <family val="2"/>
    </font>
    <font>
      <b/>
      <vertAlign val="subscript"/>
      <sz val="10"/>
      <name val="Arial"/>
      <family val="2"/>
    </font>
    <font>
      <b/>
      <sz val="10"/>
      <color rgb="FFFF0000"/>
      <name val="Arial"/>
      <family val="2"/>
    </font>
    <font>
      <sz val="10"/>
      <color theme="1"/>
      <name val="Arial"/>
      <family val="2"/>
    </font>
    <font>
      <vertAlign val="subscript"/>
      <sz val="10"/>
      <color theme="1"/>
      <name val="Arial"/>
      <family val="2"/>
    </font>
    <font>
      <sz val="7"/>
      <name val="Arial"/>
      <family val="2"/>
    </font>
    <font>
      <vertAlign val="subscript"/>
      <sz val="7"/>
      <name val="Arial"/>
      <family val="2"/>
    </font>
    <font>
      <sz val="10"/>
      <name val="Cambria"/>
      <family val="1"/>
    </font>
    <font>
      <b/>
      <vertAlign val="subscript"/>
      <sz val="12"/>
      <color theme="1"/>
      <name val="Arial"/>
      <family val="2"/>
    </font>
    <font>
      <b/>
      <vertAlign val="subscript"/>
      <sz val="14"/>
      <color rgb="FF0070C0"/>
      <name val="Arial"/>
      <family val="2"/>
    </font>
    <font>
      <sz val="9"/>
      <name val="新細明體"/>
      <family val="3"/>
      <charset val="136"/>
      <scheme val="minor"/>
    </font>
  </fonts>
  <fills count="23">
    <fill>
      <patternFill patternType="none"/>
    </fill>
    <fill>
      <patternFill patternType="gray125"/>
    </fill>
    <fill>
      <patternFill patternType="solid">
        <fgColor indexed="9"/>
        <bgColor indexed="64"/>
      </patternFill>
    </fill>
    <fill>
      <patternFill patternType="solid">
        <fgColor indexed="41"/>
        <bgColor indexed="27"/>
      </patternFill>
    </fill>
    <fill>
      <patternFill patternType="solid">
        <fgColor indexed="65"/>
        <bgColor indexed="64"/>
      </patternFill>
    </fill>
    <fill>
      <patternFill patternType="solid">
        <fgColor indexed="9"/>
        <bgColor indexed="27"/>
      </patternFill>
    </fill>
    <fill>
      <patternFill patternType="solid">
        <fgColor indexed="41"/>
        <bgColor indexed="64"/>
      </patternFill>
    </fill>
    <fill>
      <patternFill patternType="solid">
        <fgColor rgb="FFCCFFFF"/>
        <bgColor indexed="64"/>
      </patternFill>
    </fill>
    <fill>
      <patternFill patternType="solid">
        <fgColor rgb="FFCCFFFF"/>
        <bgColor indexed="27"/>
      </patternFill>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
      <patternFill patternType="solid">
        <fgColor rgb="FFFF0000"/>
        <bgColor indexed="64"/>
      </patternFill>
    </fill>
    <fill>
      <patternFill patternType="solid">
        <fgColor theme="0" tint="-0.499984740745262"/>
        <bgColor indexed="27"/>
      </patternFill>
    </fill>
    <fill>
      <patternFill patternType="solid">
        <fgColor indexed="8"/>
        <bgColor indexed="64"/>
      </patternFill>
    </fill>
    <fill>
      <patternFill patternType="solid">
        <fgColor indexed="22"/>
        <bgColor indexed="64"/>
      </patternFill>
    </fill>
    <fill>
      <patternFill patternType="solid">
        <fgColor indexed="52"/>
        <bgColor indexed="64"/>
      </patternFill>
    </fill>
    <fill>
      <patternFill patternType="solid">
        <fgColor indexed="50"/>
        <bgColor indexed="64"/>
      </patternFill>
    </fill>
    <fill>
      <patternFill patternType="solid">
        <fgColor indexed="55"/>
        <bgColor indexed="64"/>
      </patternFill>
    </fill>
    <fill>
      <patternFill patternType="solid">
        <fgColor indexed="53"/>
        <bgColor indexed="64"/>
      </patternFill>
    </fill>
    <fill>
      <patternFill patternType="solid">
        <fgColor indexed="23"/>
        <bgColor indexed="64"/>
      </patternFill>
    </fill>
    <fill>
      <patternFill patternType="solid">
        <fgColor indexed="43"/>
        <bgColor indexed="64"/>
      </patternFill>
    </fill>
    <fill>
      <patternFill patternType="solid">
        <fgColor rgb="FFFFFF9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top/>
      <bottom/>
      <diagonal/>
    </border>
    <border>
      <left/>
      <right style="medium">
        <color indexed="55"/>
      </right>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330">
    <xf numFmtId="0" fontId="0" fillId="0" borderId="0" xfId="0"/>
    <xf numFmtId="0" fontId="0" fillId="2" borderId="0" xfId="0" applyFill="1"/>
    <xf numFmtId="0" fontId="0" fillId="4" borderId="0" xfId="0" applyFill="1"/>
    <xf numFmtId="0" fontId="5" fillId="4" borderId="0" xfId="0" applyFont="1" applyFill="1" applyAlignment="1">
      <alignment horizontal="center" wrapText="1"/>
    </xf>
    <xf numFmtId="0" fontId="5" fillId="4" borderId="0" xfId="0" applyFont="1" applyFill="1" applyAlignment="1">
      <alignment vertical="top" wrapText="1"/>
    </xf>
    <xf numFmtId="0" fontId="0" fillId="4" borderId="0" xfId="0" applyNumberFormat="1" applyFill="1" applyAlignment="1">
      <alignment horizontal="center"/>
    </xf>
    <xf numFmtId="11" fontId="0" fillId="4" borderId="0" xfId="0" applyNumberFormat="1" applyFill="1"/>
    <xf numFmtId="176" fontId="0" fillId="4" borderId="0" xfId="0" applyNumberFormat="1" applyFill="1" applyAlignment="1">
      <alignment horizontal="center"/>
    </xf>
    <xf numFmtId="1" fontId="0" fillId="4" borderId="0" xfId="0" applyNumberFormat="1" applyFill="1" applyAlignment="1">
      <alignment horizontal="center"/>
    </xf>
    <xf numFmtId="0" fontId="1" fillId="4" borderId="0" xfId="0" applyFont="1" applyFill="1"/>
    <xf numFmtId="179" fontId="0" fillId="4" borderId="0" xfId="0" applyNumberFormat="1" applyFill="1"/>
    <xf numFmtId="0" fontId="9" fillId="4" borderId="0" xfId="0" applyFont="1" applyFill="1"/>
    <xf numFmtId="0" fontId="0" fillId="4" borderId="0" xfId="0" applyFill="1" applyAlignment="1">
      <alignment horizontal="center"/>
    </xf>
    <xf numFmtId="0" fontId="5" fillId="4" borderId="0" xfId="0" applyFont="1" applyFill="1" applyAlignment="1">
      <alignment horizontal="center"/>
    </xf>
    <xf numFmtId="0" fontId="1" fillId="4" borderId="0" xfId="0" applyFont="1" applyFill="1" applyAlignment="1">
      <alignment horizontal="center"/>
    </xf>
    <xf numFmtId="2" fontId="0" fillId="4" borderId="0" xfId="0" applyNumberFormat="1" applyFill="1"/>
    <xf numFmtId="176" fontId="1" fillId="4" borderId="0" xfId="0" applyNumberFormat="1" applyFont="1" applyFill="1" applyAlignment="1">
      <alignment horizontal="center"/>
    </xf>
    <xf numFmtId="176" fontId="0" fillId="4" borderId="0" xfId="0" applyNumberFormat="1" applyFill="1"/>
    <xf numFmtId="2" fontId="0" fillId="0" borderId="0" xfId="0" applyNumberFormat="1"/>
    <xf numFmtId="0" fontId="0" fillId="9" borderId="0" xfId="0" applyFill="1"/>
    <xf numFmtId="0" fontId="0" fillId="0" borderId="7" xfId="0" applyBorder="1"/>
    <xf numFmtId="177" fontId="0" fillId="4" borderId="0" xfId="0" applyNumberFormat="1" applyFill="1" applyAlignment="1">
      <alignment horizontal="center"/>
    </xf>
    <xf numFmtId="178" fontId="0" fillId="4" borderId="0" xfId="0" applyNumberFormat="1" applyFill="1" applyAlignment="1">
      <alignment horizontal="center"/>
    </xf>
    <xf numFmtId="181" fontId="0" fillId="4" borderId="0" xfId="0" applyNumberFormat="1" applyFill="1" applyAlignment="1">
      <alignment horizontal="center"/>
    </xf>
    <xf numFmtId="0" fontId="5" fillId="0" borderId="0" xfId="0" applyFont="1" applyFill="1" applyAlignment="1">
      <alignment horizontal="center"/>
    </xf>
    <xf numFmtId="0" fontId="5" fillId="15" borderId="0" xfId="0" applyFont="1" applyFill="1" applyAlignment="1">
      <alignment horizontal="center"/>
    </xf>
    <xf numFmtId="0" fontId="5" fillId="16" borderId="0" xfId="0" applyFont="1" applyFill="1" applyAlignment="1">
      <alignment horizontal="center"/>
    </xf>
    <xf numFmtId="0" fontId="5" fillId="17" borderId="0" xfId="0" applyFont="1" applyFill="1" applyAlignment="1">
      <alignment horizontal="center"/>
    </xf>
    <xf numFmtId="0" fontId="5" fillId="0" borderId="0" xfId="0" applyFont="1"/>
    <xf numFmtId="0" fontId="22" fillId="0" borderId="0" xfId="0" applyFont="1" applyBorder="1"/>
    <xf numFmtId="0" fontId="5" fillId="0" borderId="0" xfId="0" applyFont="1" applyBorder="1"/>
    <xf numFmtId="0" fontId="5" fillId="0" borderId="0" xfId="0" applyFont="1" applyBorder="1" applyAlignment="1">
      <alignment horizontal="center"/>
    </xf>
    <xf numFmtId="0" fontId="0" fillId="0" borderId="3" xfId="0" applyBorder="1"/>
    <xf numFmtId="0" fontId="0" fillId="0" borderId="4" xfId="0" applyBorder="1"/>
    <xf numFmtId="0" fontId="0" fillId="0" borderId="6" xfId="0" applyBorder="1"/>
    <xf numFmtId="0" fontId="0" fillId="15" borderId="0" xfId="0" applyFill="1" applyBorder="1"/>
    <xf numFmtId="0" fontId="0" fillId="0" borderId="0" xfId="0" applyBorder="1"/>
    <xf numFmtId="0" fontId="0" fillId="0" borderId="8" xfId="0" applyBorder="1"/>
    <xf numFmtId="0" fontId="1" fillId="0" borderId="7" xfId="0" applyFont="1" applyBorder="1"/>
    <xf numFmtId="1" fontId="0" fillId="15" borderId="0" xfId="0" applyNumberFormat="1" applyFill="1" applyBorder="1"/>
    <xf numFmtId="0" fontId="1" fillId="0" borderId="0" xfId="0" applyFont="1" applyBorder="1"/>
    <xf numFmtId="0" fontId="0" fillId="17" borderId="0" xfId="0" applyFill="1" applyBorder="1"/>
    <xf numFmtId="0" fontId="0" fillId="16" borderId="0" xfId="0" applyFill="1" applyBorder="1"/>
    <xf numFmtId="0" fontId="23" fillId="0" borderId="0" xfId="0" applyFont="1" applyBorder="1"/>
    <xf numFmtId="0" fontId="1" fillId="16" borderId="0" xfId="0" applyFont="1" applyFill="1" applyBorder="1"/>
    <xf numFmtId="0" fontId="0" fillId="0" borderId="9" xfId="0" applyBorder="1"/>
    <xf numFmtId="0" fontId="1" fillId="16" borderId="10" xfId="0" applyFont="1" applyFill="1" applyBorder="1"/>
    <xf numFmtId="0" fontId="0" fillId="0" borderId="10" xfId="0" applyBorder="1"/>
    <xf numFmtId="0" fontId="0" fillId="0" borderId="12" xfId="0" applyBorder="1"/>
    <xf numFmtId="0" fontId="24" fillId="0" borderId="3" xfId="0" applyFont="1" applyBorder="1"/>
    <xf numFmtId="0" fontId="24" fillId="0" borderId="7" xfId="0" applyFont="1" applyBorder="1"/>
    <xf numFmtId="0" fontId="24" fillId="16" borderId="0" xfId="0" applyFont="1" applyFill="1" applyBorder="1"/>
    <xf numFmtId="0" fontId="5" fillId="0" borderId="7" xfId="0" applyFont="1" applyBorder="1"/>
    <xf numFmtId="0" fontId="0" fillId="0" borderId="0" xfId="0" applyFill="1" applyBorder="1"/>
    <xf numFmtId="0" fontId="5" fillId="0" borderId="9" xfId="0" applyFont="1" applyBorder="1"/>
    <xf numFmtId="0" fontId="24" fillId="16" borderId="10" xfId="0" applyFont="1" applyFill="1" applyBorder="1"/>
    <xf numFmtId="0" fontId="24" fillId="0" borderId="0" xfId="0" applyFont="1" applyBorder="1"/>
    <xf numFmtId="0" fontId="5" fillId="0" borderId="3" xfId="0" applyFont="1" applyBorder="1"/>
    <xf numFmtId="2" fontId="24" fillId="15" borderId="4" xfId="0" applyNumberFormat="1" applyFont="1" applyFill="1" applyBorder="1"/>
    <xf numFmtId="2" fontId="24" fillId="15" borderId="0" xfId="0" applyNumberFormat="1" applyFont="1" applyFill="1" applyBorder="1"/>
    <xf numFmtId="11" fontId="0" fillId="17" borderId="0" xfId="0" applyNumberFormat="1" applyFill="1" applyBorder="1"/>
    <xf numFmtId="11" fontId="0" fillId="16" borderId="0" xfId="0" applyNumberFormat="1" applyFill="1" applyBorder="1"/>
    <xf numFmtId="0" fontId="1" fillId="0" borderId="10" xfId="0" applyFont="1" applyBorder="1"/>
    <xf numFmtId="0" fontId="0" fillId="16" borderId="4" xfId="0" applyFill="1" applyBorder="1"/>
    <xf numFmtId="0" fontId="1" fillId="0" borderId="4" xfId="0" applyFont="1" applyBorder="1"/>
    <xf numFmtId="0" fontId="24" fillId="0" borderId="9" xfId="0" applyFont="1" applyBorder="1"/>
    <xf numFmtId="0" fontId="22" fillId="0" borderId="14" xfId="0" applyFont="1" applyBorder="1"/>
    <xf numFmtId="0" fontId="0" fillId="0" borderId="15" xfId="0" applyBorder="1"/>
    <xf numFmtId="0" fontId="0" fillId="0" borderId="16" xfId="0" applyBorder="1"/>
    <xf numFmtId="0" fontId="1" fillId="0" borderId="17" xfId="0" applyFont="1" applyBorder="1"/>
    <xf numFmtId="0" fontId="0" fillId="18" borderId="0" xfId="0" applyFill="1" applyBorder="1"/>
    <xf numFmtId="0" fontId="0" fillId="0" borderId="0" xfId="0" applyFont="1" applyFill="1" applyBorder="1"/>
    <xf numFmtId="0" fontId="0" fillId="0" borderId="18" xfId="0" applyBorder="1"/>
    <xf numFmtId="0" fontId="25" fillId="0" borderId="17" xfId="0" applyFont="1" applyBorder="1"/>
    <xf numFmtId="2" fontId="25" fillId="16" borderId="0" xfId="0" applyNumberFormat="1" applyFont="1" applyFill="1" applyBorder="1"/>
    <xf numFmtId="0" fontId="25" fillId="0" borderId="0" xfId="0" applyFont="1" applyBorder="1"/>
    <xf numFmtId="0" fontId="25" fillId="19" borderId="0" xfId="0" applyFont="1" applyFill="1" applyBorder="1"/>
    <xf numFmtId="0" fontId="25" fillId="15" borderId="0" xfId="0" applyFont="1" applyFill="1" applyBorder="1"/>
    <xf numFmtId="0" fontId="25" fillId="0" borderId="17" xfId="0" applyFont="1" applyFill="1" applyBorder="1"/>
    <xf numFmtId="178" fontId="25" fillId="19" borderId="0" xfId="0" applyNumberFormat="1" applyFont="1" applyFill="1" applyBorder="1"/>
    <xf numFmtId="0" fontId="25" fillId="0" borderId="19" xfId="0" applyFont="1" applyBorder="1"/>
    <xf numFmtId="0" fontId="25" fillId="19" borderId="20" xfId="0" applyFont="1" applyFill="1" applyBorder="1"/>
    <xf numFmtId="0" fontId="25" fillId="0" borderId="20" xfId="0" applyFont="1" applyBorder="1"/>
    <xf numFmtId="0" fontId="0" fillId="0" borderId="20" xfId="0" applyBorder="1"/>
    <xf numFmtId="0" fontId="0" fillId="0" borderId="21" xfId="0" applyBorder="1"/>
    <xf numFmtId="0" fontId="1" fillId="0" borderId="3" xfId="0" applyFont="1" applyBorder="1"/>
    <xf numFmtId="0" fontId="0" fillId="0" borderId="4" xfId="0" applyBorder="1" applyAlignment="1">
      <alignment horizontal="right"/>
    </xf>
    <xf numFmtId="0" fontId="0" fillId="0" borderId="0" xfId="0" applyBorder="1" applyAlignment="1">
      <alignment horizontal="right"/>
    </xf>
    <xf numFmtId="0" fontId="26" fillId="0" borderId="0" xfId="0" applyFont="1"/>
    <xf numFmtId="2" fontId="0" fillId="0" borderId="0" xfId="0" applyNumberFormat="1" applyBorder="1" applyAlignment="1">
      <alignment horizontal="right"/>
    </xf>
    <xf numFmtId="0" fontId="0" fillId="0" borderId="10" xfId="0" applyBorder="1" applyAlignment="1">
      <alignment horizontal="right"/>
    </xf>
    <xf numFmtId="0" fontId="0" fillId="0" borderId="0" xfId="0" applyAlignment="1">
      <alignment horizontal="right"/>
    </xf>
    <xf numFmtId="0" fontId="0" fillId="17" borderId="4" xfId="0" applyNumberFormat="1" applyFill="1" applyBorder="1"/>
    <xf numFmtId="0" fontId="0" fillId="20" borderId="0" xfId="0" applyFill="1" applyBorder="1"/>
    <xf numFmtId="2" fontId="0" fillId="19" borderId="0" xfId="0" applyNumberFormat="1" applyFill="1" applyBorder="1"/>
    <xf numFmtId="176" fontId="24" fillId="16" borderId="0" xfId="0" applyNumberFormat="1" applyFont="1" applyFill="1" applyBorder="1"/>
    <xf numFmtId="180" fontId="24" fillId="16" borderId="0" xfId="0" applyNumberFormat="1" applyFont="1" applyFill="1" applyBorder="1"/>
    <xf numFmtId="2" fontId="24" fillId="16" borderId="0" xfId="0" applyNumberFormat="1" applyFont="1" applyFill="1" applyBorder="1"/>
    <xf numFmtId="11" fontId="24" fillId="16" borderId="0" xfId="0" applyNumberFormat="1" applyFont="1" applyFill="1" applyBorder="1"/>
    <xf numFmtId="176" fontId="0" fillId="16" borderId="0" xfId="0" applyNumberFormat="1" applyFill="1" applyBorder="1"/>
    <xf numFmtId="11" fontId="24" fillId="0" borderId="10" xfId="0" applyNumberFormat="1" applyFont="1" applyBorder="1"/>
    <xf numFmtId="0" fontId="24" fillId="0" borderId="0" xfId="0" applyFont="1"/>
    <xf numFmtId="11" fontId="24" fillId="0" borderId="0" xfId="0" applyNumberFormat="1" applyFont="1"/>
    <xf numFmtId="0" fontId="0" fillId="0" borderId="4" xfId="0" applyBorder="1" applyAlignment="1"/>
    <xf numFmtId="0" fontId="0" fillId="0" borderId="0" xfId="0" applyBorder="1" applyAlignment="1">
      <alignment horizontal="left"/>
    </xf>
    <xf numFmtId="2" fontId="1" fillId="0" borderId="0" xfId="0" quotePrefix="1" applyNumberFormat="1" applyFont="1" applyBorder="1"/>
    <xf numFmtId="0" fontId="1" fillId="9" borderId="0" xfId="1" applyFill="1"/>
    <xf numFmtId="0" fontId="1" fillId="9" borderId="0" xfId="1" applyFont="1" applyFill="1"/>
    <xf numFmtId="0" fontId="28" fillId="9" borderId="0" xfId="0" applyFont="1" applyFill="1"/>
    <xf numFmtId="0" fontId="29" fillId="2" borderId="0" xfId="1" applyFont="1" applyFill="1" applyAlignment="1">
      <alignment vertical="center"/>
    </xf>
    <xf numFmtId="0" fontId="1" fillId="2" borderId="0" xfId="1" applyFill="1"/>
    <xf numFmtId="0" fontId="30" fillId="14" borderId="22" xfId="1" applyFont="1" applyFill="1" applyBorder="1" applyAlignment="1">
      <alignment horizontal="center"/>
    </xf>
    <xf numFmtId="0" fontId="30" fillId="14" borderId="5" xfId="1" applyFont="1" applyFill="1" applyBorder="1" applyAlignment="1">
      <alignment horizontal="center"/>
    </xf>
    <xf numFmtId="0" fontId="30" fillId="14" borderId="5" xfId="1" applyFont="1" applyFill="1" applyBorder="1" applyAlignment="1">
      <alignment horizontal="left"/>
    </xf>
    <xf numFmtId="0" fontId="1" fillId="2" borderId="26" xfId="1" applyFill="1" applyBorder="1" applyAlignment="1">
      <alignment horizontal="center" vertical="center"/>
    </xf>
    <xf numFmtId="0" fontId="1" fillId="2" borderId="1" xfId="1" applyFill="1" applyBorder="1" applyAlignment="1">
      <alignment vertical="center" wrapText="1"/>
    </xf>
    <xf numFmtId="182" fontId="1" fillId="2" borderId="1" xfId="1" applyNumberFormat="1" applyFill="1" applyBorder="1" applyAlignment="1">
      <alignment horizontal="center" vertical="center"/>
    </xf>
    <xf numFmtId="0" fontId="1" fillId="2" borderId="28" xfId="1" applyFill="1" applyBorder="1" applyAlignment="1">
      <alignment horizontal="left" vertical="center"/>
    </xf>
    <xf numFmtId="49" fontId="1" fillId="2" borderId="1" xfId="1" applyNumberFormat="1" applyFill="1" applyBorder="1" applyAlignment="1">
      <alignment horizontal="left" vertical="center"/>
    </xf>
    <xf numFmtId="0" fontId="1" fillId="2" borderId="1" xfId="1" applyFill="1" applyBorder="1" applyAlignment="1">
      <alignment horizontal="left" vertical="center"/>
    </xf>
    <xf numFmtId="0" fontId="1" fillId="21" borderId="26" xfId="1" applyFill="1" applyBorder="1" applyAlignment="1">
      <alignment horizontal="center" vertical="center"/>
    </xf>
    <xf numFmtId="0" fontId="1" fillId="21" borderId="1" xfId="1" applyFill="1" applyBorder="1" applyAlignment="1">
      <alignment vertical="center" wrapText="1"/>
    </xf>
    <xf numFmtId="0" fontId="1" fillId="21" borderId="28" xfId="1" applyFill="1" applyBorder="1" applyAlignment="1">
      <alignment horizontal="left" vertical="center"/>
    </xf>
    <xf numFmtId="0" fontId="1" fillId="21" borderId="1" xfId="1" quotePrefix="1" applyFill="1" applyBorder="1" applyAlignment="1">
      <alignment horizontal="left" vertical="center"/>
    </xf>
    <xf numFmtId="0" fontId="1" fillId="21" borderId="1" xfId="1" applyFill="1" applyBorder="1" applyAlignment="1">
      <alignment horizontal="left" vertical="center"/>
    </xf>
    <xf numFmtId="0" fontId="1" fillId="9" borderId="26" xfId="1" applyFill="1" applyBorder="1" applyAlignment="1">
      <alignment horizontal="center" vertical="center"/>
    </xf>
    <xf numFmtId="0" fontId="1" fillId="9" borderId="1" xfId="1" applyFill="1" applyBorder="1" applyAlignment="1">
      <alignment vertical="center" wrapText="1"/>
    </xf>
    <xf numFmtId="0" fontId="1" fillId="9" borderId="28" xfId="1" applyFill="1" applyBorder="1" applyAlignment="1">
      <alignment horizontal="left" vertical="center"/>
    </xf>
    <xf numFmtId="0" fontId="1" fillId="9" borderId="1" xfId="1" quotePrefix="1" applyFill="1" applyBorder="1" applyAlignment="1">
      <alignment horizontal="left" vertical="center"/>
    </xf>
    <xf numFmtId="0" fontId="1" fillId="9" borderId="1" xfId="1" applyFill="1" applyBorder="1" applyAlignment="1">
      <alignment horizontal="left" vertical="center"/>
    </xf>
    <xf numFmtId="182" fontId="1" fillId="21" borderId="1" xfId="1" applyNumberFormat="1" applyFill="1" applyBorder="1" applyAlignment="1">
      <alignment horizontal="center" vertical="center"/>
    </xf>
    <xf numFmtId="182" fontId="1" fillId="9" borderId="1" xfId="1" applyNumberFormat="1" applyFill="1" applyBorder="1" applyAlignment="1">
      <alignment horizontal="center" vertical="center"/>
    </xf>
    <xf numFmtId="0" fontId="1" fillId="9" borderId="1" xfId="1" applyFill="1" applyBorder="1" applyAlignment="1">
      <alignment horizontal="center" vertical="center"/>
    </xf>
    <xf numFmtId="186" fontId="1" fillId="21" borderId="1" xfId="1" applyNumberFormat="1" applyFill="1" applyBorder="1" applyAlignment="1">
      <alignment horizontal="center" vertical="center"/>
    </xf>
    <xf numFmtId="0" fontId="1" fillId="22" borderId="26" xfId="1" applyFill="1" applyBorder="1" applyAlignment="1">
      <alignment horizontal="center" vertical="center"/>
    </xf>
    <xf numFmtId="0" fontId="1" fillId="22" borderId="1" xfId="1" applyFill="1" applyBorder="1" applyAlignment="1">
      <alignment vertical="center" wrapText="1"/>
    </xf>
    <xf numFmtId="189" fontId="1" fillId="22" borderId="1" xfId="1" applyNumberFormat="1" applyFill="1" applyBorder="1" applyAlignment="1">
      <alignment horizontal="center" vertical="center"/>
    </xf>
    <xf numFmtId="0" fontId="1" fillId="22" borderId="1" xfId="1" quotePrefix="1" applyFill="1" applyBorder="1" applyAlignment="1">
      <alignment horizontal="left" vertical="center"/>
    </xf>
    <xf numFmtId="0" fontId="1" fillId="22" borderId="1" xfId="1" applyFill="1" applyBorder="1" applyAlignment="1">
      <alignment horizontal="left" vertical="center"/>
    </xf>
    <xf numFmtId="189" fontId="1" fillId="9" borderId="1" xfId="1" applyNumberFormat="1" applyFill="1" applyBorder="1" applyAlignment="1">
      <alignment horizontal="center" vertical="center"/>
    </xf>
    <xf numFmtId="0" fontId="5" fillId="2" borderId="26" xfId="1" applyFont="1" applyFill="1" applyBorder="1" applyAlignment="1">
      <alignment horizontal="center" vertical="center"/>
    </xf>
    <xf numFmtId="0" fontId="5" fillId="2" borderId="1" xfId="1" applyFont="1" applyFill="1" applyBorder="1" applyAlignment="1">
      <alignment vertical="center" wrapText="1"/>
    </xf>
    <xf numFmtId="0" fontId="32" fillId="2" borderId="1" xfId="1" applyFont="1" applyFill="1" applyBorder="1" applyAlignment="1">
      <alignment horizontal="center" vertical="center"/>
    </xf>
    <xf numFmtId="0" fontId="5" fillId="2" borderId="1" xfId="1" applyFont="1" applyFill="1" applyBorder="1" applyAlignment="1">
      <alignment horizontal="left" vertical="center"/>
    </xf>
    <xf numFmtId="0" fontId="5" fillId="2" borderId="0" xfId="1" applyFont="1" applyFill="1"/>
    <xf numFmtId="0" fontId="1" fillId="2" borderId="0" xfId="0" applyFont="1" applyFill="1" applyBorder="1" applyProtection="1"/>
    <xf numFmtId="2" fontId="0" fillId="15" borderId="0" xfId="0" applyNumberFormat="1" applyFill="1" applyBorder="1"/>
    <xf numFmtId="180" fontId="0" fillId="15" borderId="0" xfId="0" applyNumberFormat="1" applyFill="1" applyBorder="1"/>
    <xf numFmtId="0" fontId="1" fillId="0" borderId="9" xfId="0" applyFont="1" applyBorder="1"/>
    <xf numFmtId="0" fontId="0" fillId="15" borderId="0" xfId="0" applyFill="1" applyBorder="1" applyAlignment="1">
      <alignment horizontal="center"/>
    </xf>
    <xf numFmtId="186" fontId="1" fillId="9" borderId="1" xfId="1" applyNumberFormat="1" applyFill="1" applyBorder="1" applyAlignment="1">
      <alignment horizontal="center" vertical="center"/>
    </xf>
    <xf numFmtId="2" fontId="26" fillId="0" borderId="0" xfId="0" applyNumberFormat="1" applyFont="1"/>
    <xf numFmtId="1" fontId="0" fillId="0" borderId="0" xfId="0" applyNumberFormat="1" applyBorder="1"/>
    <xf numFmtId="192" fontId="1" fillId="9" borderId="1" xfId="1" applyNumberFormat="1" applyFill="1" applyBorder="1" applyAlignment="1">
      <alignment horizontal="center" vertical="center"/>
    </xf>
    <xf numFmtId="176" fontId="0" fillId="15" borderId="0" xfId="0" applyNumberFormat="1" applyFill="1" applyBorder="1"/>
    <xf numFmtId="0" fontId="0" fillId="3" borderId="31" xfId="0" applyFill="1" applyBorder="1" applyAlignment="1" applyProtection="1">
      <alignment horizontal="center"/>
      <protection locked="0"/>
    </xf>
    <xf numFmtId="1" fontId="25" fillId="0" borderId="0" xfId="0" applyNumberFormat="1" applyFont="1" applyBorder="1"/>
    <xf numFmtId="1" fontId="1" fillId="21" borderId="26" xfId="1" applyNumberFormat="1" applyFill="1" applyBorder="1" applyAlignment="1">
      <alignment horizontal="center" vertical="center"/>
    </xf>
    <xf numFmtId="1" fontId="0" fillId="0" borderId="0" xfId="0" applyNumberFormat="1" applyBorder="1" applyAlignment="1">
      <alignment horizontal="right"/>
    </xf>
    <xf numFmtId="194" fontId="0" fillId="15" borderId="0" xfId="0" applyNumberFormat="1" applyFill="1" applyBorder="1"/>
    <xf numFmtId="195" fontId="0" fillId="0" borderId="0" xfId="0" applyNumberFormat="1" applyBorder="1" applyAlignment="1">
      <alignment horizontal="right"/>
    </xf>
    <xf numFmtId="196" fontId="0" fillId="0" borderId="0" xfId="0" applyNumberFormat="1" applyBorder="1" applyAlignment="1">
      <alignment horizontal="right"/>
    </xf>
    <xf numFmtId="196" fontId="0" fillId="0" borderId="7" xfId="0" applyNumberFormat="1" applyBorder="1"/>
    <xf numFmtId="178" fontId="0" fillId="0" borderId="0" xfId="0" applyNumberFormat="1" applyFont="1" applyBorder="1"/>
    <xf numFmtId="178" fontId="1" fillId="0" borderId="0" xfId="0" applyNumberFormat="1" applyFont="1"/>
    <xf numFmtId="0" fontId="26" fillId="0" borderId="0" xfId="0" applyFont="1" applyBorder="1" applyAlignment="1">
      <alignment horizontal="center"/>
    </xf>
    <xf numFmtId="0" fontId="0" fillId="0" borderId="0" xfId="0" applyBorder="1" applyAlignment="1">
      <alignment horizontal="center"/>
    </xf>
    <xf numFmtId="1" fontId="0" fillId="4" borderId="0" xfId="0" applyNumberFormat="1" applyFill="1"/>
    <xf numFmtId="1" fontId="26" fillId="0" borderId="0" xfId="0" applyNumberFormat="1" applyFont="1"/>
    <xf numFmtId="178" fontId="0" fillId="0" borderId="0" xfId="0" applyNumberFormat="1" applyBorder="1"/>
    <xf numFmtId="0" fontId="1" fillId="0" borderId="13" xfId="0" quotePrefix="1" applyFont="1" applyFill="1" applyBorder="1" applyAlignment="1">
      <alignment horizontal="center" vertical="top" wrapText="1"/>
    </xf>
    <xf numFmtId="196" fontId="0" fillId="0" borderId="0" xfId="0" applyNumberFormat="1"/>
    <xf numFmtId="195" fontId="0" fillId="0" borderId="0" xfId="0" applyNumberFormat="1"/>
    <xf numFmtId="0" fontId="0" fillId="7" borderId="30" xfId="0" applyFill="1" applyBorder="1" applyAlignment="1" applyProtection="1">
      <alignment horizontal="center"/>
      <protection locked="0"/>
    </xf>
    <xf numFmtId="0" fontId="0" fillId="2" borderId="7" xfId="0" applyFill="1" applyBorder="1" applyProtection="1"/>
    <xf numFmtId="0" fontId="1" fillId="2" borderId="0" xfId="0" applyFont="1" applyFill="1" applyProtection="1"/>
    <xf numFmtId="0" fontId="13" fillId="2" borderId="3" xfId="0" applyFont="1" applyFill="1" applyBorder="1" applyProtection="1"/>
    <xf numFmtId="0" fontId="0" fillId="2" borderId="0" xfId="0" applyFill="1" applyProtection="1"/>
    <xf numFmtId="0" fontId="13" fillId="2" borderId="7" xfId="0" applyFont="1" applyFill="1" applyBorder="1" applyProtection="1"/>
    <xf numFmtId="0" fontId="5" fillId="2" borderId="7" xfId="0" applyFont="1" applyFill="1" applyBorder="1" applyProtection="1"/>
    <xf numFmtId="0" fontId="0" fillId="12" borderId="0" xfId="0" applyFill="1" applyProtection="1"/>
    <xf numFmtId="0" fontId="0" fillId="10" borderId="0" xfId="0" applyFill="1" applyProtection="1"/>
    <xf numFmtId="0" fontId="0" fillId="0" borderId="0" xfId="0" applyProtection="1"/>
    <xf numFmtId="0" fontId="0" fillId="11" borderId="0" xfId="0" applyFill="1" applyProtection="1"/>
    <xf numFmtId="0" fontId="15" fillId="13" borderId="11" xfId="0" applyFont="1" applyFill="1" applyBorder="1" applyAlignment="1" applyProtection="1">
      <alignment horizontal="center"/>
    </xf>
    <xf numFmtId="0" fontId="10" fillId="11" borderId="0" xfId="0" applyFont="1" applyFill="1" applyProtection="1"/>
    <xf numFmtId="0" fontId="0" fillId="11" borderId="0" xfId="0" applyNumberFormat="1" applyFill="1" applyProtection="1"/>
    <xf numFmtId="0" fontId="2" fillId="13" borderId="0" xfId="0" applyFont="1" applyFill="1" applyAlignment="1" applyProtection="1">
      <alignment horizontal="center"/>
    </xf>
    <xf numFmtId="0" fontId="3" fillId="11" borderId="0" xfId="0" applyFont="1" applyFill="1" applyAlignment="1" applyProtection="1">
      <alignment horizontal="right"/>
    </xf>
    <xf numFmtId="0" fontId="4" fillId="11" borderId="0" xfId="0" applyFont="1" applyFill="1" applyAlignment="1" applyProtection="1">
      <alignment horizontal="center"/>
    </xf>
    <xf numFmtId="0" fontId="1" fillId="11" borderId="0" xfId="0" applyFont="1" applyFill="1" applyProtection="1"/>
    <xf numFmtId="0" fontId="0" fillId="5" borderId="0" xfId="0" applyFill="1" applyProtection="1"/>
    <xf numFmtId="0" fontId="0" fillId="7" borderId="0" xfId="0" applyFill="1" applyProtection="1"/>
    <xf numFmtId="0" fontId="0" fillId="7" borderId="0" xfId="0" applyNumberFormat="1" applyFill="1" applyProtection="1"/>
    <xf numFmtId="0" fontId="1" fillId="4" borderId="4" xfId="0" applyFont="1" applyFill="1" applyBorder="1" applyAlignment="1" applyProtection="1">
      <alignment horizontal="right"/>
    </xf>
    <xf numFmtId="0" fontId="1" fillId="4" borderId="0" xfId="0" applyFont="1" applyFill="1" applyBorder="1" applyAlignment="1" applyProtection="1">
      <alignment horizontal="right"/>
    </xf>
    <xf numFmtId="0" fontId="10" fillId="2" borderId="7" xfId="0" applyFont="1" applyFill="1" applyBorder="1" applyProtection="1"/>
    <xf numFmtId="0" fontId="1" fillId="0" borderId="0" xfId="0" applyFont="1" applyBorder="1" applyAlignment="1" applyProtection="1">
      <alignment horizontal="right"/>
    </xf>
    <xf numFmtId="0" fontId="1" fillId="0" borderId="0" xfId="0" applyFont="1" applyFill="1" applyBorder="1" applyAlignment="1" applyProtection="1">
      <alignment horizontal="right"/>
    </xf>
    <xf numFmtId="0" fontId="33" fillId="2" borderId="0" xfId="0" applyFont="1" applyFill="1" applyBorder="1" applyAlignment="1" applyProtection="1">
      <alignment horizontal="right"/>
    </xf>
    <xf numFmtId="0" fontId="5" fillId="4" borderId="0" xfId="0" applyFont="1" applyFill="1" applyBorder="1" applyAlignment="1" applyProtection="1">
      <alignment horizontal="right"/>
    </xf>
    <xf numFmtId="0" fontId="0" fillId="2" borderId="0" xfId="0" applyFill="1" applyBorder="1" applyProtection="1"/>
    <xf numFmtId="0" fontId="13" fillId="2" borderId="0" xfId="0" applyFont="1" applyFill="1" applyBorder="1" applyAlignment="1" applyProtection="1">
      <alignment horizontal="right" indent="1"/>
    </xf>
    <xf numFmtId="0" fontId="1" fillId="4" borderId="0" xfId="0" applyFont="1" applyFill="1" applyAlignment="1" applyProtection="1">
      <alignment horizontal="right"/>
    </xf>
    <xf numFmtId="0" fontId="0" fillId="2" borderId="9" xfId="0" applyFill="1" applyBorder="1" applyProtection="1"/>
    <xf numFmtId="0" fontId="1" fillId="4" borderId="10" xfId="0" applyFont="1" applyFill="1" applyBorder="1" applyAlignment="1" applyProtection="1">
      <alignment horizontal="right"/>
    </xf>
    <xf numFmtId="0" fontId="1" fillId="4" borderId="0" xfId="0" applyFont="1" applyFill="1" applyProtection="1"/>
    <xf numFmtId="0" fontId="1" fillId="2" borderId="0" xfId="0" applyFont="1" applyFill="1" applyBorder="1" applyAlignment="1" applyProtection="1">
      <alignment horizontal="right"/>
    </xf>
    <xf numFmtId="14" fontId="0" fillId="7" borderId="0" xfId="0" applyNumberFormat="1" applyFill="1" applyProtection="1"/>
    <xf numFmtId="0" fontId="0" fillId="2" borderId="4" xfId="0" applyFill="1" applyBorder="1" applyAlignment="1" applyProtection="1">
      <alignment horizontal="right"/>
    </xf>
    <xf numFmtId="0" fontId="0" fillId="9" borderId="7" xfId="0" applyFill="1" applyBorder="1" applyProtection="1"/>
    <xf numFmtId="0" fontId="0" fillId="2" borderId="0" xfId="0" applyFill="1" applyBorder="1" applyAlignment="1" applyProtection="1">
      <alignment horizontal="right"/>
    </xf>
    <xf numFmtId="2" fontId="0" fillId="2" borderId="0" xfId="0" applyNumberFormat="1" applyFill="1" applyBorder="1" applyAlignment="1" applyProtection="1">
      <alignment horizontal="center"/>
    </xf>
    <xf numFmtId="0" fontId="33" fillId="2" borderId="7" xfId="0" applyFont="1" applyFill="1" applyBorder="1" applyAlignment="1" applyProtection="1">
      <alignment horizontal="right"/>
    </xf>
    <xf numFmtId="0" fontId="1" fillId="2" borderId="9" xfId="0" applyFont="1" applyFill="1" applyBorder="1" applyAlignment="1" applyProtection="1">
      <alignment horizontal="right"/>
    </xf>
    <xf numFmtId="176" fontId="0" fillId="4" borderId="0" xfId="0" applyNumberFormat="1" applyFill="1" applyBorder="1" applyAlignment="1" applyProtection="1">
      <alignment horizontal="center"/>
    </xf>
    <xf numFmtId="0" fontId="0" fillId="2" borderId="29" xfId="0" applyFill="1" applyBorder="1" applyProtection="1"/>
    <xf numFmtId="49" fontId="1" fillId="4" borderId="0" xfId="0" applyNumberFormat="1" applyFont="1" applyFill="1" applyBorder="1" applyAlignment="1" applyProtection="1">
      <alignment horizontal="right" wrapText="1"/>
    </xf>
    <xf numFmtId="0" fontId="0" fillId="0" borderId="7" xfId="0" applyBorder="1" applyProtection="1"/>
    <xf numFmtId="0" fontId="1" fillId="2" borderId="7" xfId="0" applyFont="1" applyFill="1" applyBorder="1" applyProtection="1"/>
    <xf numFmtId="0" fontId="1" fillId="2" borderId="9" xfId="0" applyFont="1" applyFill="1" applyBorder="1" applyProtection="1"/>
    <xf numFmtId="0" fontId="5" fillId="2" borderId="9" xfId="0" applyFont="1" applyFill="1" applyBorder="1" applyProtection="1"/>
    <xf numFmtId="0" fontId="0" fillId="0" borderId="0" xfId="0" applyFill="1" applyBorder="1" applyAlignment="1" applyProtection="1">
      <alignment horizontal="center" vertical="center"/>
    </xf>
    <xf numFmtId="0" fontId="5" fillId="2" borderId="0" xfId="0" applyFont="1" applyFill="1" applyProtection="1"/>
    <xf numFmtId="0" fontId="0" fillId="2" borderId="4" xfId="0" applyFill="1" applyBorder="1" applyProtection="1"/>
    <xf numFmtId="0" fontId="10" fillId="9" borderId="0" xfId="0" applyFont="1" applyFill="1" applyBorder="1" applyAlignment="1" applyProtection="1">
      <alignment horizontal="left"/>
    </xf>
    <xf numFmtId="0" fontId="18" fillId="9" borderId="0" xfId="0" applyFont="1" applyFill="1" applyBorder="1" applyAlignment="1" applyProtection="1">
      <alignment horizontal="right"/>
    </xf>
    <xf numFmtId="0" fontId="20" fillId="9" borderId="0" xfId="0" applyFont="1" applyFill="1" applyBorder="1" applyAlignment="1" applyProtection="1">
      <alignment horizontal="right"/>
    </xf>
    <xf numFmtId="0" fontId="0" fillId="9" borderId="0" xfId="0" applyFill="1" applyBorder="1" applyAlignment="1" applyProtection="1">
      <alignment horizontal="right"/>
    </xf>
    <xf numFmtId="0" fontId="10" fillId="7" borderId="0" xfId="0" applyFont="1" applyFill="1" applyBorder="1" applyAlignment="1" applyProtection="1">
      <alignment horizontal="center"/>
    </xf>
    <xf numFmtId="0" fontId="10" fillId="9" borderId="0" xfId="0" applyFont="1" applyFill="1" applyBorder="1" applyProtection="1"/>
    <xf numFmtId="0" fontId="0" fillId="9" borderId="0" xfId="0" applyFont="1" applyFill="1" applyBorder="1" applyAlignment="1" applyProtection="1">
      <alignment horizontal="right"/>
    </xf>
    <xf numFmtId="0" fontId="10" fillId="7" borderId="0" xfId="0" applyFont="1" applyFill="1" applyBorder="1" applyProtection="1"/>
    <xf numFmtId="0" fontId="10" fillId="9" borderId="10" xfId="0" applyFont="1" applyFill="1" applyBorder="1" applyAlignment="1" applyProtection="1">
      <alignment horizontal="left"/>
    </xf>
    <xf numFmtId="0" fontId="0" fillId="9" borderId="0" xfId="0" applyFill="1" applyProtection="1"/>
    <xf numFmtId="0" fontId="0" fillId="7" borderId="0" xfId="0" applyFill="1" applyProtection="1">
      <protection locked="0"/>
    </xf>
    <xf numFmtId="0" fontId="1" fillId="3" borderId="32" xfId="0" applyFont="1" applyFill="1" applyBorder="1" applyAlignment="1" applyProtection="1">
      <alignment horizontal="center"/>
      <protection locked="0"/>
    </xf>
    <xf numFmtId="0" fontId="1" fillId="3" borderId="30" xfId="0" applyFont="1" applyFill="1" applyBorder="1" applyAlignment="1" applyProtection="1">
      <alignment horizontal="center"/>
      <protection locked="0"/>
    </xf>
    <xf numFmtId="0" fontId="1" fillId="3" borderId="31" xfId="0" applyFont="1" applyFill="1" applyBorder="1" applyAlignment="1" applyProtection="1">
      <alignment horizontal="center"/>
      <protection locked="0"/>
    </xf>
    <xf numFmtId="0" fontId="1" fillId="3" borderId="31" xfId="0" applyNumberFormat="1" applyFont="1" applyFill="1" applyBorder="1" applyAlignment="1" applyProtection="1">
      <alignment horizontal="center"/>
      <protection locked="0"/>
    </xf>
    <xf numFmtId="2" fontId="1" fillId="0" borderId="31" xfId="0" applyNumberFormat="1" applyFont="1" applyFill="1" applyBorder="1" applyAlignment="1" applyProtection="1">
      <alignment horizontal="center"/>
    </xf>
    <xf numFmtId="2" fontId="1" fillId="2" borderId="31" xfId="0" applyNumberFormat="1" applyFont="1" applyFill="1" applyBorder="1" applyAlignment="1" applyProtection="1">
      <alignment horizontal="center"/>
    </xf>
    <xf numFmtId="0" fontId="0" fillId="7" borderId="31" xfId="0" applyFill="1" applyBorder="1" applyAlignment="1" applyProtection="1">
      <alignment horizontal="center"/>
    </xf>
    <xf numFmtId="0" fontId="0" fillId="2" borderId="33" xfId="0" applyFill="1" applyBorder="1" applyAlignment="1" applyProtection="1">
      <alignment horizontal="center"/>
    </xf>
    <xf numFmtId="2" fontId="33" fillId="7" borderId="34" xfId="0" applyNumberFormat="1" applyFont="1" applyFill="1" applyBorder="1" applyAlignment="1" applyProtection="1">
      <alignment horizontal="center"/>
      <protection locked="0"/>
    </xf>
    <xf numFmtId="2" fontId="33" fillId="2" borderId="33" xfId="0" applyNumberFormat="1" applyFont="1" applyFill="1" applyBorder="1" applyAlignment="1" applyProtection="1">
      <alignment horizontal="center"/>
    </xf>
    <xf numFmtId="3" fontId="33" fillId="7" borderId="33" xfId="0" applyNumberFormat="1" applyFont="1" applyFill="1" applyBorder="1" applyAlignment="1" applyProtection="1">
      <alignment horizontal="center"/>
      <protection locked="0"/>
    </xf>
    <xf numFmtId="2" fontId="33" fillId="2" borderId="30" xfId="0" applyNumberFormat="1" applyFont="1" applyFill="1" applyBorder="1" applyAlignment="1" applyProtection="1">
      <alignment horizontal="center"/>
    </xf>
    <xf numFmtId="0" fontId="10" fillId="2" borderId="0" xfId="0" applyFont="1" applyFill="1" applyAlignment="1" applyProtection="1">
      <alignment horizontal="center"/>
    </xf>
    <xf numFmtId="0" fontId="13" fillId="2" borderId="0" xfId="0" applyFont="1" applyFill="1" applyBorder="1" applyAlignment="1" applyProtection="1">
      <alignment horizontal="right" indent="4"/>
    </xf>
    <xf numFmtId="176" fontId="0" fillId="2" borderId="32" xfId="0" applyNumberFormat="1" applyFill="1" applyBorder="1" applyAlignment="1" applyProtection="1">
      <alignment horizontal="center"/>
    </xf>
    <xf numFmtId="1" fontId="0" fillId="0" borderId="31" xfId="0" applyNumberFormat="1" applyFill="1" applyBorder="1" applyAlignment="1" applyProtection="1">
      <alignment horizontal="center"/>
    </xf>
    <xf numFmtId="1" fontId="0" fillId="3" borderId="31" xfId="0" applyNumberFormat="1" applyFill="1" applyBorder="1" applyAlignment="1" applyProtection="1">
      <alignment horizontal="center"/>
      <protection locked="0"/>
    </xf>
    <xf numFmtId="1" fontId="0" fillId="2" borderId="31" xfId="0" applyNumberFormat="1" applyFill="1" applyBorder="1" applyAlignment="1" applyProtection="1">
      <alignment horizontal="center"/>
    </xf>
    <xf numFmtId="1" fontId="0" fillId="7" borderId="35" xfId="0" applyNumberFormat="1" applyFill="1" applyBorder="1" applyAlignment="1" applyProtection="1">
      <alignment horizontal="center"/>
      <protection locked="0"/>
    </xf>
    <xf numFmtId="1" fontId="0" fillId="2" borderId="34" xfId="0" applyNumberFormat="1" applyFill="1" applyBorder="1" applyAlignment="1" applyProtection="1">
      <alignment horizontal="center"/>
    </xf>
    <xf numFmtId="176" fontId="0" fillId="2" borderId="35" xfId="0" applyNumberFormat="1" applyFill="1" applyBorder="1" applyAlignment="1" applyProtection="1">
      <alignment horizontal="center"/>
    </xf>
    <xf numFmtId="0" fontId="0" fillId="2" borderId="33" xfId="0" applyFill="1" applyBorder="1" applyProtection="1"/>
    <xf numFmtId="2" fontId="0" fillId="2" borderId="32" xfId="0" applyNumberFormat="1" applyFill="1" applyBorder="1" applyAlignment="1" applyProtection="1">
      <alignment horizontal="center"/>
    </xf>
    <xf numFmtId="2" fontId="1" fillId="3" borderId="31" xfId="0" applyNumberFormat="1" applyFont="1" applyFill="1" applyBorder="1" applyAlignment="1" applyProtection="1">
      <alignment horizontal="center"/>
      <protection locked="0"/>
    </xf>
    <xf numFmtId="178" fontId="1" fillId="3" borderId="35" xfId="0" applyNumberFormat="1" applyFont="1" applyFill="1" applyBorder="1" applyAlignment="1" applyProtection="1">
      <alignment horizontal="center"/>
      <protection locked="0"/>
    </xf>
    <xf numFmtId="9" fontId="0" fillId="3" borderId="32" xfId="0" applyNumberFormat="1" applyFill="1" applyBorder="1" applyAlignment="1" applyProtection="1">
      <alignment horizontal="center"/>
      <protection locked="0"/>
    </xf>
    <xf numFmtId="0" fontId="1" fillId="2" borderId="31" xfId="0" applyFont="1" applyFill="1" applyBorder="1" applyAlignment="1" applyProtection="1">
      <alignment horizontal="center"/>
    </xf>
    <xf numFmtId="2" fontId="1" fillId="9" borderId="31" xfId="0" applyNumberFormat="1" applyFont="1" applyFill="1" applyBorder="1" applyAlignment="1" applyProtection="1">
      <alignment horizontal="center"/>
    </xf>
    <xf numFmtId="177" fontId="1" fillId="2" borderId="31" xfId="0" applyNumberFormat="1" applyFont="1" applyFill="1" applyBorder="1" applyAlignment="1" applyProtection="1">
      <alignment horizontal="center"/>
    </xf>
    <xf numFmtId="178" fontId="0" fillId="3" borderId="31" xfId="0" applyNumberFormat="1" applyFill="1" applyBorder="1" applyAlignment="1" applyProtection="1">
      <alignment horizontal="center"/>
      <protection locked="0"/>
    </xf>
    <xf numFmtId="2" fontId="0" fillId="2" borderId="35" xfId="0" applyNumberFormat="1" applyFill="1" applyBorder="1" applyAlignment="1" applyProtection="1">
      <alignment horizontal="center"/>
    </xf>
    <xf numFmtId="0" fontId="0" fillId="7" borderId="32" xfId="0" applyFill="1" applyBorder="1" applyAlignment="1" applyProtection="1">
      <alignment horizontal="center"/>
      <protection locked="0"/>
    </xf>
    <xf numFmtId="1" fontId="0" fillId="6" borderId="31" xfId="0" applyNumberFormat="1" applyFill="1" applyBorder="1" applyAlignment="1" applyProtection="1">
      <alignment horizontal="center"/>
      <protection locked="0"/>
    </xf>
    <xf numFmtId="177" fontId="0" fillId="3" borderId="31" xfId="0" applyNumberFormat="1" applyFill="1" applyBorder="1" applyAlignment="1" applyProtection="1">
      <alignment horizontal="center"/>
      <protection locked="0"/>
    </xf>
    <xf numFmtId="177" fontId="1" fillId="0" borderId="35" xfId="0" applyNumberFormat="1" applyFont="1" applyFill="1" applyBorder="1" applyAlignment="1" applyProtection="1">
      <alignment horizontal="center"/>
    </xf>
    <xf numFmtId="178" fontId="0" fillId="2" borderId="31" xfId="0" applyNumberFormat="1" applyFont="1" applyFill="1" applyBorder="1" applyAlignment="1" applyProtection="1">
      <alignment horizontal="center"/>
    </xf>
    <xf numFmtId="178" fontId="0" fillId="2" borderId="31" xfId="0" applyNumberFormat="1" applyFill="1" applyBorder="1" applyAlignment="1" applyProtection="1">
      <alignment horizontal="center"/>
    </xf>
    <xf numFmtId="0" fontId="0" fillId="2" borderId="31" xfId="0" applyFill="1" applyBorder="1" applyAlignment="1" applyProtection="1">
      <alignment horizontal="center"/>
    </xf>
    <xf numFmtId="2" fontId="0" fillId="2" borderId="31" xfId="0" applyNumberFormat="1" applyFill="1" applyBorder="1" applyAlignment="1" applyProtection="1">
      <alignment horizontal="center"/>
    </xf>
    <xf numFmtId="0" fontId="0" fillId="3" borderId="32" xfId="0" applyFill="1" applyBorder="1" applyAlignment="1" applyProtection="1">
      <alignment horizontal="center"/>
      <protection locked="0"/>
    </xf>
    <xf numFmtId="2" fontId="0" fillId="7" borderId="35" xfId="0" applyNumberFormat="1" applyFill="1" applyBorder="1" applyAlignment="1" applyProtection="1">
      <alignment horizontal="center"/>
      <protection locked="0"/>
    </xf>
    <xf numFmtId="1" fontId="0" fillId="7" borderId="32" xfId="0" applyNumberFormat="1" applyFill="1" applyBorder="1" applyAlignment="1" applyProtection="1">
      <alignment horizontal="center"/>
      <protection locked="0"/>
    </xf>
    <xf numFmtId="1" fontId="0" fillId="7" borderId="31" xfId="0" applyNumberFormat="1" applyFill="1" applyBorder="1" applyAlignment="1" applyProtection="1">
      <alignment horizontal="center"/>
      <protection locked="0"/>
    </xf>
    <xf numFmtId="0" fontId="0" fillId="8" borderId="31" xfId="0" applyFill="1" applyBorder="1" applyAlignment="1" applyProtection="1">
      <alignment horizontal="center"/>
      <protection locked="0"/>
    </xf>
    <xf numFmtId="2" fontId="0" fillId="7" borderId="31" xfId="0" applyNumberFormat="1" applyFill="1" applyBorder="1" applyAlignment="1" applyProtection="1">
      <alignment horizontal="center"/>
      <protection locked="0"/>
    </xf>
    <xf numFmtId="2" fontId="0" fillId="0" borderId="31" xfId="0" applyNumberFormat="1" applyFill="1" applyBorder="1" applyAlignment="1" applyProtection="1">
      <alignment horizontal="center"/>
    </xf>
    <xf numFmtId="177" fontId="0" fillId="7" borderId="35" xfId="0" applyNumberFormat="1" applyFill="1" applyBorder="1" applyAlignment="1" applyProtection="1">
      <alignment horizontal="center"/>
      <protection locked="0"/>
    </xf>
    <xf numFmtId="178" fontId="0" fillId="7" borderId="35" xfId="0" applyNumberFormat="1" applyFill="1" applyBorder="1" applyAlignment="1" applyProtection="1">
      <alignment horizontal="center"/>
      <protection locked="0"/>
    </xf>
    <xf numFmtId="176" fontId="0" fillId="6" borderId="31" xfId="0" applyNumberFormat="1" applyFill="1" applyBorder="1" applyAlignment="1" applyProtection="1">
      <alignment horizontal="center"/>
      <protection locked="0"/>
    </xf>
    <xf numFmtId="178" fontId="0" fillId="4" borderId="35" xfId="0" applyNumberFormat="1" applyFill="1" applyBorder="1" applyAlignment="1" applyProtection="1">
      <alignment horizontal="center"/>
    </xf>
    <xf numFmtId="0" fontId="0" fillId="3" borderId="34" xfId="0" applyFill="1" applyBorder="1" applyAlignment="1" applyProtection="1">
      <alignment horizontal="center"/>
      <protection locked="0"/>
    </xf>
    <xf numFmtId="2" fontId="0" fillId="2" borderId="30" xfId="0" applyNumberFormat="1" applyFill="1" applyBorder="1" applyAlignment="1" applyProtection="1">
      <alignment horizontal="center"/>
    </xf>
    <xf numFmtId="0" fontId="0" fillId="0" borderId="31" xfId="0" applyBorder="1" applyAlignment="1" applyProtection="1">
      <alignment horizontal="center"/>
    </xf>
    <xf numFmtId="177" fontId="0" fillId="0" borderId="34" xfId="0" applyNumberFormat="1" applyBorder="1" applyAlignment="1" applyProtection="1">
      <alignment horizontal="center"/>
    </xf>
    <xf numFmtId="0" fontId="13" fillId="2" borderId="7" xfId="0" applyFont="1" applyFill="1" applyBorder="1" applyAlignment="1" applyProtection="1">
      <alignment horizontal="left" indent="6"/>
    </xf>
    <xf numFmtId="0" fontId="13" fillId="0" borderId="7" xfId="0" applyFont="1" applyBorder="1" applyAlignment="1" applyProtection="1">
      <alignment horizontal="left" indent="6"/>
    </xf>
    <xf numFmtId="0" fontId="13" fillId="2" borderId="0" xfId="0" applyFont="1" applyFill="1" applyBorder="1" applyAlignment="1" applyProtection="1">
      <alignment horizontal="right" indent="39"/>
    </xf>
    <xf numFmtId="0" fontId="13" fillId="2" borderId="0" xfId="0" applyFont="1" applyFill="1" applyBorder="1" applyAlignment="1" applyProtection="1">
      <alignment horizontal="left" indent="29"/>
    </xf>
    <xf numFmtId="0" fontId="21" fillId="14" borderId="0" xfId="0" applyFont="1" applyFill="1" applyAlignment="1">
      <alignment horizontal="center"/>
    </xf>
    <xf numFmtId="0" fontId="5" fillId="0" borderId="0" xfId="0" applyFont="1" applyAlignment="1">
      <alignment horizontal="center"/>
    </xf>
    <xf numFmtId="184" fontId="1" fillId="21" borderId="27" xfId="1" applyNumberFormat="1" applyFill="1" applyBorder="1" applyAlignment="1">
      <alignment horizontal="left" vertical="center"/>
    </xf>
    <xf numFmtId="184" fontId="1" fillId="21" borderId="2" xfId="1" applyNumberFormat="1" applyFill="1" applyBorder="1" applyAlignment="1">
      <alignment horizontal="left" vertical="center"/>
    </xf>
    <xf numFmtId="185" fontId="1" fillId="9" borderId="27" xfId="1" applyNumberFormat="1" applyFill="1" applyBorder="1" applyAlignment="1">
      <alignment horizontal="left" vertical="center"/>
    </xf>
    <xf numFmtId="185" fontId="1" fillId="9" borderId="2" xfId="1" applyNumberFormat="1" applyFill="1" applyBorder="1" applyAlignment="1">
      <alignment horizontal="left" vertical="center"/>
    </xf>
    <xf numFmtId="0" fontId="30" fillId="14" borderId="23" xfId="1" applyFont="1" applyFill="1" applyBorder="1" applyAlignment="1">
      <alignment horizontal="left"/>
    </xf>
    <xf numFmtId="0" fontId="30" fillId="14" borderId="24" xfId="1" applyFont="1" applyFill="1" applyBorder="1" applyAlignment="1">
      <alignment horizontal="left"/>
    </xf>
    <xf numFmtId="0" fontId="30" fillId="14" borderId="25" xfId="1" applyFont="1" applyFill="1" applyBorder="1" applyAlignment="1">
      <alignment horizontal="left"/>
    </xf>
    <xf numFmtId="183" fontId="1" fillId="2" borderId="27" xfId="1" applyNumberFormat="1" applyFill="1" applyBorder="1" applyAlignment="1">
      <alignment horizontal="left" vertical="center"/>
    </xf>
    <xf numFmtId="183" fontId="1" fillId="2" borderId="2" xfId="1" applyNumberFormat="1" applyFill="1" applyBorder="1" applyAlignment="1">
      <alignment horizontal="left" vertical="center"/>
    </xf>
    <xf numFmtId="193" fontId="1" fillId="21" borderId="27" xfId="1" applyNumberFormat="1" applyFill="1" applyBorder="1" applyAlignment="1">
      <alignment horizontal="left" vertical="center"/>
    </xf>
    <xf numFmtId="193" fontId="1" fillId="21" borderId="2" xfId="1" applyNumberFormat="1" applyFill="1" applyBorder="1" applyAlignment="1">
      <alignment horizontal="left" vertical="center"/>
    </xf>
    <xf numFmtId="183" fontId="1" fillId="9" borderId="27" xfId="1" applyNumberFormat="1" applyFill="1" applyBorder="1" applyAlignment="1">
      <alignment horizontal="left" vertical="center"/>
    </xf>
    <xf numFmtId="183" fontId="1" fillId="9" borderId="2" xfId="1" applyNumberFormat="1" applyFill="1" applyBorder="1" applyAlignment="1">
      <alignment horizontal="left" vertical="center"/>
    </xf>
    <xf numFmtId="184" fontId="1" fillId="9" borderId="27" xfId="1" applyNumberFormat="1" applyFill="1" applyBorder="1" applyAlignment="1">
      <alignment horizontal="left" vertical="center"/>
    </xf>
    <xf numFmtId="184" fontId="1" fillId="9" borderId="2" xfId="1" applyNumberFormat="1" applyFill="1" applyBorder="1" applyAlignment="1">
      <alignment horizontal="left" vertical="center"/>
    </xf>
    <xf numFmtId="183" fontId="1" fillId="21" borderId="27" xfId="1" applyNumberFormat="1" applyFill="1" applyBorder="1" applyAlignment="1">
      <alignment horizontal="left" vertical="center"/>
    </xf>
    <xf numFmtId="183" fontId="1" fillId="21" borderId="2" xfId="1" applyNumberFormat="1" applyFill="1" applyBorder="1" applyAlignment="1">
      <alignment horizontal="left" vertical="center"/>
    </xf>
    <xf numFmtId="0" fontId="5" fillId="2" borderId="27" xfId="1" applyFont="1" applyFill="1" applyBorder="1" applyAlignment="1">
      <alignment horizontal="left" vertical="center"/>
    </xf>
    <xf numFmtId="0" fontId="5" fillId="2" borderId="2" xfId="1" applyFont="1" applyFill="1" applyBorder="1" applyAlignment="1">
      <alignment horizontal="left" vertical="center"/>
    </xf>
    <xf numFmtId="0" fontId="5" fillId="2" borderId="28" xfId="1" applyFont="1" applyFill="1" applyBorder="1" applyAlignment="1">
      <alignment horizontal="left" vertical="center"/>
    </xf>
    <xf numFmtId="190" fontId="1" fillId="9" borderId="27" xfId="1" applyNumberFormat="1" applyFill="1" applyBorder="1" applyAlignment="1">
      <alignment horizontal="left" vertical="center"/>
    </xf>
    <xf numFmtId="190" fontId="1" fillId="9" borderId="2" xfId="1" applyNumberFormat="1" applyFill="1" applyBorder="1" applyAlignment="1">
      <alignment horizontal="left" vertical="center"/>
    </xf>
    <xf numFmtId="190" fontId="1" fillId="9" borderId="28" xfId="1" applyNumberFormat="1" applyFill="1" applyBorder="1" applyAlignment="1">
      <alignment horizontal="left" vertical="center"/>
    </xf>
    <xf numFmtId="190" fontId="1" fillId="22" borderId="27" xfId="1" applyNumberFormat="1" applyFill="1" applyBorder="1" applyAlignment="1">
      <alignment horizontal="left" vertical="center"/>
    </xf>
    <xf numFmtId="190" fontId="1" fillId="22" borderId="2" xfId="1" applyNumberFormat="1" applyFill="1" applyBorder="1" applyAlignment="1">
      <alignment horizontal="left" vertical="center"/>
    </xf>
    <xf numFmtId="190" fontId="1" fillId="22" borderId="28" xfId="1" applyNumberFormat="1" applyFill="1" applyBorder="1" applyAlignment="1">
      <alignment horizontal="left" vertical="center"/>
    </xf>
    <xf numFmtId="191" fontId="1" fillId="9" borderId="27" xfId="1" applyNumberFormat="1" applyFill="1" applyBorder="1" applyAlignment="1">
      <alignment horizontal="left" vertical="center"/>
    </xf>
    <xf numFmtId="191" fontId="1" fillId="9" borderId="2" xfId="1" applyNumberFormat="1" applyFill="1" applyBorder="1" applyAlignment="1">
      <alignment horizontal="left" vertical="center"/>
    </xf>
    <xf numFmtId="187" fontId="1" fillId="21" borderId="27" xfId="1" applyNumberFormat="1" applyFill="1" applyBorder="1" applyAlignment="1">
      <alignment horizontal="left" vertical="center"/>
    </xf>
    <xf numFmtId="187" fontId="1" fillId="21" borderId="2" xfId="1" applyNumberFormat="1" applyFill="1" applyBorder="1" applyAlignment="1">
      <alignment horizontal="left" vertical="center"/>
    </xf>
    <xf numFmtId="187" fontId="1" fillId="21" borderId="28" xfId="1" applyNumberFormat="1" applyFill="1" applyBorder="1" applyAlignment="1">
      <alignment horizontal="left" vertical="center"/>
    </xf>
    <xf numFmtId="188" fontId="1" fillId="9" borderId="27" xfId="1" quotePrefix="1" applyNumberFormat="1" applyFill="1" applyBorder="1" applyAlignment="1">
      <alignment horizontal="left" vertical="center"/>
    </xf>
    <xf numFmtId="188" fontId="1" fillId="9" borderId="2" xfId="1" applyNumberFormat="1" applyFill="1" applyBorder="1" applyAlignment="1">
      <alignment horizontal="left" vertical="center"/>
    </xf>
    <xf numFmtId="188" fontId="1" fillId="9" borderId="28" xfId="1" applyNumberFormat="1" applyFill="1" applyBorder="1" applyAlignment="1">
      <alignment horizontal="left" vertical="center"/>
    </xf>
  </cellXfs>
  <cellStyles count="2">
    <cellStyle name="Normal 2" xfId="1"/>
    <cellStyle name="一般" xfId="0" builtinId="0"/>
  </cellStyles>
  <dxfs count="1">
    <dxf>
      <font>
        <strike val="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Modular Gain/Phase</a:t>
            </a:r>
          </a:p>
        </c:rich>
      </c:tx>
      <c:layout>
        <c:manualLayout>
          <c:xMode val="edge"/>
          <c:yMode val="edge"/>
          <c:x val="0.37213455887735153"/>
          <c:y val="3.4383869955186899E-2"/>
        </c:manualLayout>
      </c:layout>
      <c:overlay val="0"/>
      <c:spPr>
        <a:noFill/>
        <a:ln w="25400">
          <a:noFill/>
        </a:ln>
      </c:spPr>
    </c:title>
    <c:autoTitleDeleted val="0"/>
    <c:plotArea>
      <c:layout>
        <c:manualLayout>
          <c:layoutTarget val="inner"/>
          <c:xMode val="edge"/>
          <c:yMode val="edge"/>
          <c:x val="0.11570074233993521"/>
          <c:y val="0.18412507730209327"/>
          <c:w val="0.72745179379246627"/>
          <c:h val="0.6418074123101537"/>
        </c:manualLayout>
      </c:layout>
      <c:scatterChart>
        <c:scatterStyle val="lineMarker"/>
        <c:varyColors val="0"/>
        <c:ser>
          <c:idx val="1"/>
          <c:order val="0"/>
          <c:tx>
            <c:v>Gain</c:v>
          </c:tx>
          <c:marker>
            <c:symbol val="none"/>
          </c:marker>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VOUT1'!$E$2:$E$24</c:f>
              <c:numCache>
                <c:formatCode>0.0</c:formatCode>
                <c:ptCount val="23"/>
                <c:pt idx="0">
                  <c:v>18.695703621060218</c:v>
                </c:pt>
                <c:pt idx="1">
                  <c:v>18.69417089116261</c:v>
                </c:pt>
                <c:pt idx="2">
                  <c:v>18.689574355041632</c:v>
                </c:pt>
                <c:pt idx="3">
                  <c:v>18.681918967526215</c:v>
                </c:pt>
                <c:pt idx="4">
                  <c:v>18.666628796030803</c:v>
                </c:pt>
                <c:pt idx="5">
                  <c:v>18.620922234679451</c:v>
                </c:pt>
                <c:pt idx="6">
                  <c:v>18.545285381546396</c:v>
                </c:pt>
                <c:pt idx="7">
                  <c:v>18.395997339854819</c:v>
                </c:pt>
                <c:pt idx="8">
                  <c:v>17.963225973618179</c:v>
                </c:pt>
                <c:pt idx="9">
                  <c:v>17.287549507620966</c:v>
                </c:pt>
                <c:pt idx="10">
                  <c:v>16.078872004287355</c:v>
                </c:pt>
                <c:pt idx="11">
                  <c:v>13.23677512339934</c:v>
                </c:pt>
                <c:pt idx="12">
                  <c:v>9.9560783427976176</c:v>
                </c:pt>
                <c:pt idx="13">
                  <c:v>5.7984808656211273</c:v>
                </c:pt>
                <c:pt idx="14">
                  <c:v>-0.5337954126417721</c:v>
                </c:pt>
                <c:pt idx="15">
                  <c:v>-5.5054379966155951</c:v>
                </c:pt>
                <c:pt idx="16">
                  <c:v>-10.301179083057887</c:v>
                </c:pt>
                <c:pt idx="17">
                  <c:v>-16.14078427551593</c:v>
                </c:pt>
                <c:pt idx="18">
                  <c:v>-20.342382399318325</c:v>
                </c:pt>
                <c:pt idx="19">
                  <c:v>-24.71048950095966</c:v>
                </c:pt>
                <c:pt idx="20">
                  <c:v>-26.198510971198374</c:v>
                </c:pt>
                <c:pt idx="21">
                  <c:v>-31.126509422043156</c:v>
                </c:pt>
                <c:pt idx="22">
                  <c:v>-36.472036949044679</c:v>
                </c:pt>
              </c:numCache>
            </c:numRef>
          </c:yVal>
          <c:smooth val="0"/>
        </c:ser>
        <c:dLbls>
          <c:showLegendKey val="0"/>
          <c:showVal val="0"/>
          <c:showCatName val="0"/>
          <c:showSerName val="0"/>
          <c:showPercent val="0"/>
          <c:showBubbleSize val="0"/>
        </c:dLbls>
        <c:axId val="374011704"/>
        <c:axId val="374012096"/>
      </c:scatterChart>
      <c:scatterChart>
        <c:scatterStyle val="lineMarker"/>
        <c:varyColors val="0"/>
        <c:ser>
          <c:idx val="0"/>
          <c:order val="1"/>
          <c:tx>
            <c:v>Phase</c:v>
          </c:tx>
          <c:marker>
            <c:symbol val="none"/>
          </c:marker>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VOUT1'!$F$2:$F$24</c:f>
              <c:numCache>
                <c:formatCode>0.0</c:formatCode>
                <c:ptCount val="23"/>
                <c:pt idx="0">
                  <c:v>-1.0191048425387549E-2</c:v>
                </c:pt>
                <c:pt idx="1">
                  <c:v>-2.0382096201051515E-2</c:v>
                </c:pt>
                <c:pt idx="2">
                  <c:v>-5.0955229132471358E-2</c:v>
                </c:pt>
                <c:pt idx="3">
                  <c:v>-0.10191037704968119</c:v>
                </c:pt>
                <c:pt idx="4">
                  <c:v>-0.20382010438191839</c:v>
                </c:pt>
                <c:pt idx="5">
                  <c:v>-0.50953889142010311</c:v>
                </c:pt>
                <c:pt idx="6">
                  <c:v>-1.0189965867483957</c:v>
                </c:pt>
                <c:pt idx="7">
                  <c:v>-2.0373440690410867</c:v>
                </c:pt>
                <c:pt idx="8">
                  <c:v>-5.0820525533774807</c:v>
                </c:pt>
                <c:pt idx="9">
                  <c:v>-10.084781391750935</c:v>
                </c:pt>
                <c:pt idx="10">
                  <c:v>-19.576440747889816</c:v>
                </c:pt>
                <c:pt idx="11">
                  <c:v>-41.590950818839119</c:v>
                </c:pt>
                <c:pt idx="12">
                  <c:v>-60.458975482650686</c:v>
                </c:pt>
                <c:pt idx="13">
                  <c:v>-73.82295014655908</c:v>
                </c:pt>
                <c:pt idx="14">
                  <c:v>-82.335587625252046</c:v>
                </c:pt>
                <c:pt idx="15">
                  <c:v>-84.390898347300251</c:v>
                </c:pt>
                <c:pt idx="16">
                  <c:v>-84.49108906376766</c:v>
                </c:pt>
                <c:pt idx="17">
                  <c:v>-87.428888783690596</c:v>
                </c:pt>
                <c:pt idx="18">
                  <c:v>-98.126032363501054</c:v>
                </c:pt>
                <c:pt idx="19">
                  <c:v>-116.11467350381893</c:v>
                </c:pt>
                <c:pt idx="20">
                  <c:v>-122.98236967356789</c:v>
                </c:pt>
                <c:pt idx="21">
                  <c:v>-144.44227369516969</c:v>
                </c:pt>
                <c:pt idx="22">
                  <c:v>-160.66600689851865</c:v>
                </c:pt>
              </c:numCache>
            </c:numRef>
          </c:yVal>
          <c:smooth val="0"/>
        </c:ser>
        <c:dLbls>
          <c:showLegendKey val="0"/>
          <c:showVal val="0"/>
          <c:showCatName val="0"/>
          <c:showSerName val="0"/>
          <c:showPercent val="0"/>
          <c:showBubbleSize val="0"/>
        </c:dLbls>
        <c:axId val="374010528"/>
        <c:axId val="374010920"/>
      </c:scatterChart>
      <c:valAx>
        <c:axId val="374011704"/>
        <c:scaling>
          <c:logBase val="10"/>
          <c:orientation val="minMax"/>
          <c:max val="1000000"/>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00" b="1" i="0" u="none" strike="noStrike" baseline="0">
                    <a:solidFill>
                      <a:srgbClr val="000000"/>
                    </a:solidFill>
                    <a:latin typeface="Arial"/>
                    <a:ea typeface="Arial"/>
                    <a:cs typeface="Arial"/>
                  </a:defRPr>
                </a:pPr>
                <a:r>
                  <a:rPr lang="en-US"/>
                  <a:t>Frequency(Hz)</a:t>
                </a:r>
              </a:p>
            </c:rich>
          </c:tx>
          <c:layout>
            <c:manualLayout>
              <c:xMode val="edge"/>
              <c:yMode val="edge"/>
              <c:x val="0.3928784599136263"/>
              <c:y val="0.8943217593983957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zh-TW"/>
          </a:p>
        </c:txPr>
        <c:crossAx val="374012096"/>
        <c:crossesAt val="-60"/>
        <c:crossBetween val="midCat"/>
        <c:majorUnit val="10"/>
        <c:minorUnit val="10"/>
      </c:valAx>
      <c:valAx>
        <c:axId val="374012096"/>
        <c:scaling>
          <c:orientation val="minMax"/>
          <c:max val="40"/>
          <c:min val="-40"/>
        </c:scaling>
        <c:delete val="0"/>
        <c:axPos val="l"/>
        <c:majorGridlines>
          <c:spPr>
            <a:ln w="3175">
              <a:solidFill>
                <a:srgbClr val="000000"/>
              </a:solidFill>
              <a:prstDash val="solid"/>
            </a:ln>
          </c:spPr>
        </c:majorGridlines>
        <c:title>
          <c:tx>
            <c:rich>
              <a:bodyPr/>
              <a:lstStyle/>
              <a:p>
                <a:pPr>
                  <a:defRPr sz="1100" b="1" i="0" u="none" strike="noStrike" baseline="0">
                    <a:solidFill>
                      <a:srgbClr val="0000FF"/>
                    </a:solidFill>
                    <a:latin typeface="Arial"/>
                    <a:ea typeface="Arial"/>
                    <a:cs typeface="Arial"/>
                  </a:defRPr>
                </a:pPr>
                <a:r>
                  <a:rPr lang="en-US"/>
                  <a:t>Gain (dB)</a:t>
                </a:r>
              </a:p>
            </c:rich>
          </c:tx>
          <c:layout>
            <c:manualLayout>
              <c:xMode val="edge"/>
              <c:yMode val="edge"/>
              <c:x val="2.4691574907718207E-2"/>
              <c:y val="0.43266534431287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zh-TW"/>
          </a:p>
        </c:txPr>
        <c:crossAx val="374011704"/>
        <c:crossesAt val="1"/>
        <c:crossBetween val="midCat"/>
        <c:minorUnit val="4"/>
      </c:valAx>
      <c:valAx>
        <c:axId val="374010920"/>
        <c:scaling>
          <c:orientation val="minMax"/>
          <c:max val="180"/>
          <c:min val="-180"/>
        </c:scaling>
        <c:delete val="0"/>
        <c:axPos val="r"/>
        <c:numFmt formatCode="0.0" sourceLinked="1"/>
        <c:majorTickMark val="out"/>
        <c:minorTickMark val="none"/>
        <c:tickLblPos val="nextTo"/>
        <c:crossAx val="374010528"/>
        <c:crosses val="max"/>
        <c:crossBetween val="midCat"/>
      </c:valAx>
      <c:valAx>
        <c:axId val="374010528"/>
        <c:scaling>
          <c:logBase val="10"/>
          <c:orientation val="minMax"/>
        </c:scaling>
        <c:delete val="1"/>
        <c:axPos val="b"/>
        <c:numFmt formatCode="General" sourceLinked="1"/>
        <c:majorTickMark val="out"/>
        <c:minorTickMark val="none"/>
        <c:tickLblPos val="nextTo"/>
        <c:crossAx val="374010920"/>
        <c:crosses val="autoZero"/>
        <c:crossBetween val="midCat"/>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zh-TW"/>
    </a:p>
  </c:txPr>
  <c:printSettings>
    <c:headerFooter alignWithMargins="0"/>
    <c:pageMargins b="1" l="0.75000000000000122" r="0.750000000000001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Error Amplifier Gain/Phase</a:t>
            </a:r>
          </a:p>
        </c:rich>
      </c:tx>
      <c:layout>
        <c:manualLayout>
          <c:xMode val="edge"/>
          <c:yMode val="edge"/>
          <c:x val="0.32391789176641939"/>
          <c:y val="3.4285483545326068E-2"/>
        </c:manualLayout>
      </c:layout>
      <c:overlay val="0"/>
      <c:spPr>
        <a:noFill/>
        <a:ln w="25400">
          <a:noFill/>
        </a:ln>
      </c:spPr>
    </c:title>
    <c:autoTitleDeleted val="0"/>
    <c:plotArea>
      <c:layout>
        <c:manualLayout>
          <c:layoutTarget val="inner"/>
          <c:xMode val="edge"/>
          <c:yMode val="edge"/>
          <c:x val="0.12202023669650523"/>
          <c:y val="0.18469696650864414"/>
          <c:w val="0.75681599189141935"/>
          <c:h val="0.64643938278025448"/>
        </c:manualLayout>
      </c:layout>
      <c:scatterChart>
        <c:scatterStyle val="lineMarker"/>
        <c:varyColors val="0"/>
        <c:ser>
          <c:idx val="0"/>
          <c:order val="0"/>
          <c:tx>
            <c:v>Frequency</c:v>
          </c:tx>
          <c:marker>
            <c:symbol val="none"/>
          </c:marker>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VOUT1'!$I$2:$I$24</c:f>
              <c:numCache>
                <c:formatCode>0.0</c:formatCode>
                <c:ptCount val="23"/>
                <c:pt idx="0">
                  <c:v>74.850111825306044</c:v>
                </c:pt>
                <c:pt idx="1">
                  <c:v>68.831773055594724</c:v>
                </c:pt>
                <c:pt idx="2">
                  <c:v>60.879752783226103</c:v>
                </c:pt>
                <c:pt idx="3">
                  <c:v>70.815046841770211</c:v>
                </c:pt>
                <c:pt idx="4">
                  <c:v>64.798044819198637</c:v>
                </c:pt>
                <c:pt idx="5">
                  <c:v>56.850029384552123</c:v>
                </c:pt>
                <c:pt idx="6">
                  <c:v>50.847374331967089</c:v>
                </c:pt>
                <c:pt idx="7">
                  <c:v>44.862553300500423</c:v>
                </c:pt>
                <c:pt idx="8">
                  <c:v>37.010213900128157</c:v>
                </c:pt>
                <c:pt idx="9">
                  <c:v>31.16419926596841</c:v>
                </c:pt>
                <c:pt idx="10">
                  <c:v>25.482582537240322</c:v>
                </c:pt>
                <c:pt idx="11">
                  <c:v>18.467919706817231</c:v>
                </c:pt>
                <c:pt idx="12">
                  <c:v>13.823383682954653</c:v>
                </c:pt>
                <c:pt idx="13">
                  <c:v>10.034931694974734</c:v>
                </c:pt>
                <c:pt idx="14">
                  <c:v>6.5816025021749569</c:v>
                </c:pt>
                <c:pt idx="15">
                  <c:v>5.038817391611591</c:v>
                </c:pt>
                <c:pt idx="16">
                  <c:v>4.1507878298693326</c:v>
                </c:pt>
                <c:pt idx="17">
                  <c:v>3.570843255808783</c:v>
                </c:pt>
                <c:pt idx="18">
                  <c:v>3.3685921128824408</c:v>
                </c:pt>
                <c:pt idx="19">
                  <c:v>3.2656726467634449</c:v>
                </c:pt>
                <c:pt idx="20">
                  <c:v>3.2449416005049549</c:v>
                </c:pt>
                <c:pt idx="21">
                  <c:v>3.2033304754205738</c:v>
                </c:pt>
                <c:pt idx="22">
                  <c:v>3.1881720294142117</c:v>
                </c:pt>
              </c:numCache>
            </c:numRef>
          </c:yVal>
          <c:smooth val="0"/>
        </c:ser>
        <c:dLbls>
          <c:showLegendKey val="0"/>
          <c:showVal val="0"/>
          <c:showCatName val="0"/>
          <c:showSerName val="0"/>
          <c:showPercent val="0"/>
          <c:showBubbleSize val="0"/>
        </c:dLbls>
        <c:axId val="374007000"/>
        <c:axId val="374005824"/>
      </c:scatterChart>
      <c:scatterChart>
        <c:scatterStyle val="lineMarker"/>
        <c:varyColors val="0"/>
        <c:ser>
          <c:idx val="1"/>
          <c:order val="1"/>
          <c:tx>
            <c:v>Phanse</c:v>
          </c:tx>
          <c:marker>
            <c:symbol val="none"/>
          </c:marker>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VOUT1'!$L$2:$L$24</c:f>
              <c:numCache>
                <c:formatCode>0</c:formatCode>
                <c:ptCount val="23"/>
                <c:pt idx="0">
                  <c:v>-0.35999517318363372</c:v>
                </c:pt>
                <c:pt idx="1">
                  <c:v>-0.71996138824625555</c:v>
                </c:pt>
                <c:pt idx="2">
                  <c:v>-1.7993969948945387</c:v>
                </c:pt>
                <c:pt idx="3">
                  <c:v>-3.5951846082325316</c:v>
                </c:pt>
                <c:pt idx="4">
                  <c:v>-7.1617507110890122</c:v>
                </c:pt>
                <c:pt idx="5">
                  <c:v>-17.430404560234312</c:v>
                </c:pt>
                <c:pt idx="6">
                  <c:v>-32.077598359054967</c:v>
                </c:pt>
                <c:pt idx="7">
                  <c:v>-51.208494963379984</c:v>
                </c:pt>
                <c:pt idx="8">
                  <c:v>-71.292417637745956</c:v>
                </c:pt>
                <c:pt idx="9">
                  <c:v>-78.677227684390388</c:v>
                </c:pt>
                <c:pt idx="10">
                  <c:v>-80.779755342066963</c:v>
                </c:pt>
                <c:pt idx="11">
                  <c:v>-76.518415542009421</c:v>
                </c:pt>
                <c:pt idx="12">
                  <c:v>-66.614446245236124</c:v>
                </c:pt>
                <c:pt idx="13">
                  <c:v>-49.914755332795664</c:v>
                </c:pt>
                <c:pt idx="14">
                  <c:v>-25.590511421142267</c:v>
                </c:pt>
                <c:pt idx="15">
                  <c:v>-13.480505387393777</c:v>
                </c:pt>
                <c:pt idx="16">
                  <c:v>-6.8366761215766729</c:v>
                </c:pt>
                <c:pt idx="17">
                  <c:v>-2.7458284281570684</c:v>
                </c:pt>
                <c:pt idx="18">
                  <c:v>-1.3737178776031556</c:v>
                </c:pt>
                <c:pt idx="19">
                  <c:v>-0.68695952825564177</c:v>
                </c:pt>
                <c:pt idx="20">
                  <c:v>-0.54957728202468559</c:v>
                </c:pt>
                <c:pt idx="21">
                  <c:v>-0.27479508109807682</c:v>
                </c:pt>
                <c:pt idx="22">
                  <c:v>-0.13739834560192321</c:v>
                </c:pt>
              </c:numCache>
            </c:numRef>
          </c:yVal>
          <c:smooth val="0"/>
        </c:ser>
        <c:dLbls>
          <c:showLegendKey val="0"/>
          <c:showVal val="0"/>
          <c:showCatName val="0"/>
          <c:showSerName val="0"/>
          <c:showPercent val="0"/>
          <c:showBubbleSize val="0"/>
        </c:dLbls>
        <c:axId val="374010136"/>
        <c:axId val="374008568"/>
      </c:scatterChart>
      <c:valAx>
        <c:axId val="374007000"/>
        <c:scaling>
          <c:logBase val="10"/>
          <c:orientation val="minMax"/>
          <c:max val="1000000"/>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00" b="1" i="0" u="none" strike="noStrike" baseline="0">
                    <a:solidFill>
                      <a:srgbClr val="000000"/>
                    </a:solidFill>
                    <a:latin typeface="Arial"/>
                    <a:ea typeface="Arial"/>
                    <a:cs typeface="Arial"/>
                  </a:defRPr>
                </a:pPr>
                <a:r>
                  <a:rPr lang="en-US"/>
                  <a:t>Frequency(Hz)</a:t>
                </a:r>
              </a:p>
            </c:rich>
          </c:tx>
          <c:layout>
            <c:manualLayout>
              <c:xMode val="edge"/>
              <c:yMode val="edge"/>
              <c:x val="0.42709222763339549"/>
              <c:y val="0.89709967023352843"/>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zh-TW"/>
          </a:p>
        </c:txPr>
        <c:crossAx val="374005824"/>
        <c:crossesAt val="-120"/>
        <c:crossBetween val="midCat"/>
        <c:majorUnit val="10"/>
        <c:minorUnit val="10"/>
      </c:valAx>
      <c:valAx>
        <c:axId val="374005824"/>
        <c:scaling>
          <c:orientation val="minMax"/>
          <c:max val="80"/>
          <c:min val="-80"/>
        </c:scaling>
        <c:delete val="0"/>
        <c:axPos val="l"/>
        <c:majorGridlines>
          <c:spPr>
            <a:ln w="3175">
              <a:solidFill>
                <a:srgbClr val="000000"/>
              </a:solidFill>
              <a:prstDash val="solid"/>
            </a:ln>
          </c:spPr>
        </c:majorGridlines>
        <c:title>
          <c:tx>
            <c:rich>
              <a:bodyPr/>
              <a:lstStyle/>
              <a:p>
                <a:pPr>
                  <a:defRPr sz="1100" b="1" i="0" u="none" strike="noStrike" baseline="0">
                    <a:solidFill>
                      <a:srgbClr val="0000FF"/>
                    </a:solidFill>
                    <a:latin typeface="Arial"/>
                    <a:ea typeface="Arial"/>
                    <a:cs typeface="Arial"/>
                  </a:defRPr>
                </a:pPr>
                <a:r>
                  <a:rPr lang="en-US"/>
                  <a:t>Gain (dB)</a:t>
                </a:r>
              </a:p>
            </c:rich>
          </c:tx>
          <c:layout>
            <c:manualLayout>
              <c:xMode val="edge"/>
              <c:yMode val="edge"/>
              <c:x val="2.6365360399314249E-2"/>
              <c:y val="0.4314284945151086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zh-TW"/>
          </a:p>
        </c:txPr>
        <c:crossAx val="374007000"/>
        <c:crossesAt val="1"/>
        <c:crossBetween val="midCat"/>
        <c:majorUnit val="20"/>
        <c:minorUnit val="8"/>
      </c:valAx>
      <c:valAx>
        <c:axId val="374008568"/>
        <c:scaling>
          <c:orientation val="minMax"/>
          <c:max val="180"/>
          <c:min val="-180"/>
        </c:scaling>
        <c:delete val="0"/>
        <c:axPos val="r"/>
        <c:numFmt formatCode="0" sourceLinked="1"/>
        <c:majorTickMark val="out"/>
        <c:minorTickMark val="none"/>
        <c:tickLblPos val="nextTo"/>
        <c:crossAx val="374010136"/>
        <c:crosses val="max"/>
        <c:crossBetween val="midCat"/>
        <c:majorUnit val="45"/>
      </c:valAx>
      <c:valAx>
        <c:axId val="374010136"/>
        <c:scaling>
          <c:logBase val="10"/>
          <c:orientation val="minMax"/>
        </c:scaling>
        <c:delete val="1"/>
        <c:axPos val="b"/>
        <c:numFmt formatCode="General" sourceLinked="1"/>
        <c:majorTickMark val="out"/>
        <c:minorTickMark val="none"/>
        <c:tickLblPos val="nextTo"/>
        <c:crossAx val="374008568"/>
        <c:crosses val="autoZero"/>
        <c:crossBetween val="midCat"/>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zh-TW"/>
    </a:p>
  </c:txPr>
  <c:printSettings>
    <c:headerFooter alignWithMargins="0"/>
    <c:pageMargins b="1" l="0.75000000000000122" r="0.750000000000001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V</a:t>
            </a:r>
            <a:r>
              <a:rPr lang="en-US" baseline="-25000"/>
              <a:t>OUT1</a:t>
            </a:r>
            <a:r>
              <a:rPr lang="en-US"/>
              <a:t> Loop Gain and Phase</a:t>
            </a:r>
          </a:p>
        </c:rich>
      </c:tx>
      <c:layout>
        <c:manualLayout>
          <c:xMode val="edge"/>
          <c:yMode val="edge"/>
          <c:x val="0.36790566724246954"/>
          <c:y val="3.9485833501581531E-2"/>
        </c:manualLayout>
      </c:layout>
      <c:overlay val="0"/>
      <c:spPr>
        <a:noFill/>
        <a:ln w="25400">
          <a:noFill/>
        </a:ln>
      </c:spPr>
    </c:title>
    <c:autoTitleDeleted val="0"/>
    <c:plotArea>
      <c:layout>
        <c:manualLayout>
          <c:layoutTarget val="inner"/>
          <c:xMode val="edge"/>
          <c:yMode val="edge"/>
          <c:x val="7.8359704317191969E-2"/>
          <c:y val="0.18733549460162477"/>
          <c:w val="0.75387439670677792"/>
          <c:h val="0.63588527040833198"/>
        </c:manualLayout>
      </c:layout>
      <c:scatterChart>
        <c:scatterStyle val="lineMarker"/>
        <c:varyColors val="0"/>
        <c:ser>
          <c:idx val="1"/>
          <c:order val="0"/>
          <c:tx>
            <c:v>Loop Gain</c:v>
          </c:tx>
          <c:marker>
            <c:symbol val="none"/>
          </c:marker>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VOUT1'!$M$2:$M$24</c:f>
              <c:numCache>
                <c:formatCode>0.0</c:formatCode>
                <c:ptCount val="23"/>
                <c:pt idx="0">
                  <c:v>93.545815446366262</c:v>
                </c:pt>
                <c:pt idx="1">
                  <c:v>87.525943946757337</c:v>
                </c:pt>
                <c:pt idx="2">
                  <c:v>79.569327138267738</c:v>
                </c:pt>
                <c:pt idx="3">
                  <c:v>89.496965809296427</c:v>
                </c:pt>
                <c:pt idx="4">
                  <c:v>83.464673615229444</c:v>
                </c:pt>
                <c:pt idx="5">
                  <c:v>75.47095161923157</c:v>
                </c:pt>
                <c:pt idx="6">
                  <c:v>69.392659713513481</c:v>
                </c:pt>
                <c:pt idx="7">
                  <c:v>63.258550640355239</c:v>
                </c:pt>
                <c:pt idx="8">
                  <c:v>54.973439873746337</c:v>
                </c:pt>
                <c:pt idx="9">
                  <c:v>48.451748773589372</c:v>
                </c:pt>
                <c:pt idx="10">
                  <c:v>41.561454541527681</c:v>
                </c:pt>
                <c:pt idx="11">
                  <c:v>31.704694830216571</c:v>
                </c:pt>
                <c:pt idx="12">
                  <c:v>23.77946202575227</c:v>
                </c:pt>
                <c:pt idx="13">
                  <c:v>15.83341256059586</c:v>
                </c:pt>
                <c:pt idx="14">
                  <c:v>6.047807089533185</c:v>
                </c:pt>
                <c:pt idx="15">
                  <c:v>-0.46662060500400404</c:v>
                </c:pt>
                <c:pt idx="16">
                  <c:v>-6.1503912531885545</c:v>
                </c:pt>
                <c:pt idx="17">
                  <c:v>-12.569941019707148</c:v>
                </c:pt>
                <c:pt idx="18">
                  <c:v>-16.973790286435886</c:v>
                </c:pt>
                <c:pt idx="19">
                  <c:v>-21.444816854196215</c:v>
                </c:pt>
                <c:pt idx="20">
                  <c:v>-22.953569370693419</c:v>
                </c:pt>
                <c:pt idx="21">
                  <c:v>-27.923178946622581</c:v>
                </c:pt>
                <c:pt idx="22">
                  <c:v>-33.283864919630467</c:v>
                </c:pt>
              </c:numCache>
            </c:numRef>
          </c:yVal>
          <c:smooth val="0"/>
        </c:ser>
        <c:dLbls>
          <c:showLegendKey val="0"/>
          <c:showVal val="0"/>
          <c:showCatName val="0"/>
          <c:showSerName val="0"/>
          <c:showPercent val="0"/>
          <c:showBubbleSize val="0"/>
        </c:dLbls>
        <c:axId val="374006216"/>
        <c:axId val="374006608"/>
      </c:scatterChart>
      <c:scatterChart>
        <c:scatterStyle val="lineMarker"/>
        <c:varyColors val="0"/>
        <c:ser>
          <c:idx val="0"/>
          <c:order val="1"/>
          <c:tx>
            <c:v>Loop Phase</c:v>
          </c:tx>
          <c:marker>
            <c:symbol val="none"/>
          </c:marker>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VOUT1'!$N$2:$N$24</c:f>
              <c:numCache>
                <c:formatCode>0.0</c:formatCode>
                <c:ptCount val="23"/>
                <c:pt idx="0">
                  <c:v>-0.37018622160902126</c:v>
                </c:pt>
                <c:pt idx="1">
                  <c:v>-0.74034348444730702</c:v>
                </c:pt>
                <c:pt idx="2">
                  <c:v>-1.8503522240270101</c:v>
                </c:pt>
                <c:pt idx="3">
                  <c:v>-3.6970949852822126</c:v>
                </c:pt>
                <c:pt idx="4">
                  <c:v>-7.3655708154709307</c:v>
                </c:pt>
                <c:pt idx="5">
                  <c:v>-17.939943451654415</c:v>
                </c:pt>
                <c:pt idx="6">
                  <c:v>-33.096594945803361</c:v>
                </c:pt>
                <c:pt idx="7">
                  <c:v>-53.245839032421074</c:v>
                </c:pt>
                <c:pt idx="8">
                  <c:v>-76.374470191123436</c:v>
                </c:pt>
                <c:pt idx="9">
                  <c:v>-88.762009076141325</c:v>
                </c:pt>
                <c:pt idx="10">
                  <c:v>-100.35619608995678</c:v>
                </c:pt>
                <c:pt idx="11">
                  <c:v>-118.10936636084854</c:v>
                </c:pt>
                <c:pt idx="12">
                  <c:v>-127.07342172788681</c:v>
                </c:pt>
                <c:pt idx="13">
                  <c:v>-123.73770547935474</c:v>
                </c:pt>
                <c:pt idx="14">
                  <c:v>-107.92609904639431</c:v>
                </c:pt>
                <c:pt idx="15">
                  <c:v>-97.871403734694027</c:v>
                </c:pt>
                <c:pt idx="16">
                  <c:v>-91.327765185344333</c:v>
                </c:pt>
                <c:pt idx="17">
                  <c:v>-90.174717211847664</c:v>
                </c:pt>
                <c:pt idx="18">
                  <c:v>-99.499750241104209</c:v>
                </c:pt>
                <c:pt idx="19">
                  <c:v>-116.80163303207458</c:v>
                </c:pt>
                <c:pt idx="20">
                  <c:v>-123.53194695559257</c:v>
                </c:pt>
                <c:pt idx="21">
                  <c:v>-144.71706877626775</c:v>
                </c:pt>
                <c:pt idx="22">
                  <c:v>-160.80340524412057</c:v>
                </c:pt>
              </c:numCache>
            </c:numRef>
          </c:yVal>
          <c:smooth val="0"/>
        </c:ser>
        <c:dLbls>
          <c:showLegendKey val="0"/>
          <c:showVal val="0"/>
          <c:showCatName val="0"/>
          <c:showSerName val="0"/>
          <c:showPercent val="0"/>
          <c:showBubbleSize val="0"/>
        </c:dLbls>
        <c:axId val="409918344"/>
        <c:axId val="372051616"/>
      </c:scatterChart>
      <c:valAx>
        <c:axId val="374006216"/>
        <c:scaling>
          <c:logBase val="10"/>
          <c:orientation val="minMax"/>
          <c:max val="1000000"/>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00" b="1" i="0" u="none" strike="noStrike" baseline="0">
                    <a:solidFill>
                      <a:srgbClr val="000000"/>
                    </a:solidFill>
                    <a:latin typeface="Arial"/>
                    <a:ea typeface="Arial"/>
                    <a:cs typeface="Arial"/>
                  </a:defRPr>
                </a:pPr>
                <a:r>
                  <a:rPr lang="en-US"/>
                  <a:t>Frequency(Hz)</a:t>
                </a:r>
              </a:p>
            </c:rich>
          </c:tx>
          <c:layout>
            <c:manualLayout>
              <c:xMode val="edge"/>
              <c:yMode val="edge"/>
              <c:x val="0.40382884171780009"/>
              <c:y val="0.9023767413688673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zh-TW"/>
          </a:p>
        </c:txPr>
        <c:crossAx val="374006608"/>
        <c:crossesAt val="-100"/>
        <c:crossBetween val="midCat"/>
        <c:majorUnit val="10"/>
        <c:minorUnit val="10"/>
      </c:valAx>
      <c:valAx>
        <c:axId val="374006608"/>
        <c:scaling>
          <c:orientation val="minMax"/>
          <c:max val="80"/>
          <c:min val="-80"/>
        </c:scaling>
        <c:delete val="0"/>
        <c:axPos val="l"/>
        <c:majorGridlines>
          <c:spPr>
            <a:ln w="3175">
              <a:solidFill>
                <a:srgbClr val="000000"/>
              </a:solidFill>
              <a:prstDash val="solid"/>
            </a:ln>
          </c:spPr>
        </c:majorGridlines>
        <c:title>
          <c:tx>
            <c:rich>
              <a:bodyPr/>
              <a:lstStyle/>
              <a:p>
                <a:pPr>
                  <a:defRPr sz="1100" b="1" i="0" u="none" strike="noStrike" baseline="0">
                    <a:solidFill>
                      <a:srgbClr val="0000FF"/>
                    </a:solidFill>
                    <a:latin typeface="Arial"/>
                    <a:ea typeface="Arial"/>
                    <a:cs typeface="Arial"/>
                  </a:defRPr>
                </a:pPr>
                <a:r>
                  <a:rPr lang="en-US"/>
                  <a:t>Gain (dB)</a:t>
                </a:r>
              </a:p>
            </c:rich>
          </c:tx>
          <c:layout>
            <c:manualLayout>
              <c:xMode val="edge"/>
              <c:yMode val="edge"/>
              <c:x val="1.1620902703447398E-2"/>
              <c:y val="0.4142488727370616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zh-TW"/>
          </a:p>
        </c:txPr>
        <c:crossAx val="374006216"/>
        <c:crossesAt val="1"/>
        <c:crossBetween val="midCat"/>
        <c:majorUnit val="20"/>
      </c:valAx>
      <c:valAx>
        <c:axId val="372051616"/>
        <c:scaling>
          <c:orientation val="minMax"/>
          <c:max val="180"/>
          <c:min val="-180"/>
        </c:scaling>
        <c:delete val="0"/>
        <c:axPos val="r"/>
        <c:numFmt formatCode="0.0" sourceLinked="1"/>
        <c:majorTickMark val="out"/>
        <c:minorTickMark val="none"/>
        <c:tickLblPos val="nextTo"/>
        <c:crossAx val="409918344"/>
        <c:crosses val="max"/>
        <c:crossBetween val="midCat"/>
        <c:majorUnit val="45"/>
      </c:valAx>
      <c:valAx>
        <c:axId val="409918344"/>
        <c:scaling>
          <c:logBase val="10"/>
          <c:orientation val="minMax"/>
        </c:scaling>
        <c:delete val="1"/>
        <c:axPos val="b"/>
        <c:numFmt formatCode="General" sourceLinked="1"/>
        <c:majorTickMark val="out"/>
        <c:minorTickMark val="none"/>
        <c:tickLblPos val="nextTo"/>
        <c:crossAx val="372051616"/>
        <c:crosses val="autoZero"/>
        <c:crossBetween val="midCat"/>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zh-TW"/>
    </a:p>
  </c:txPr>
  <c:printSettings>
    <c:headerFooter alignWithMargins="0"/>
    <c:pageMargins b="1" l="0.75000000000000122" r="0.750000000000001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V</a:t>
            </a:r>
            <a:r>
              <a:rPr lang="en-US" baseline="-25000"/>
              <a:t>OUT1</a:t>
            </a:r>
            <a:r>
              <a:rPr lang="en-US"/>
              <a:t> Loop Gain and Phase</a:t>
            </a:r>
          </a:p>
        </c:rich>
      </c:tx>
      <c:layout>
        <c:manualLayout>
          <c:xMode val="edge"/>
          <c:yMode val="edge"/>
          <c:x val="0.36790566724246954"/>
          <c:y val="3.9485833501581531E-2"/>
        </c:manualLayout>
      </c:layout>
      <c:overlay val="0"/>
      <c:spPr>
        <a:noFill/>
        <a:ln w="25400">
          <a:noFill/>
        </a:ln>
      </c:spPr>
    </c:title>
    <c:autoTitleDeleted val="0"/>
    <c:plotArea>
      <c:layout>
        <c:manualLayout>
          <c:layoutTarget val="inner"/>
          <c:xMode val="edge"/>
          <c:yMode val="edge"/>
          <c:x val="7.8359704317191969E-2"/>
          <c:y val="0.18733549460162477"/>
          <c:w val="0.75387439670677792"/>
          <c:h val="0.63588527040833198"/>
        </c:manualLayout>
      </c:layout>
      <c:scatterChart>
        <c:scatterStyle val="lineMarker"/>
        <c:varyColors val="0"/>
        <c:ser>
          <c:idx val="1"/>
          <c:order val="0"/>
          <c:tx>
            <c:v>Loop Gain</c:v>
          </c:tx>
          <c:marker>
            <c:symbol val="none"/>
          </c:marker>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VOUT1'!$M$2:$M$24</c:f>
              <c:numCache>
                <c:formatCode>0.0</c:formatCode>
                <c:ptCount val="23"/>
                <c:pt idx="0">
                  <c:v>93.545815446366262</c:v>
                </c:pt>
                <c:pt idx="1">
                  <c:v>87.525943946757337</c:v>
                </c:pt>
                <c:pt idx="2">
                  <c:v>79.569327138267738</c:v>
                </c:pt>
                <c:pt idx="3">
                  <c:v>89.496965809296427</c:v>
                </c:pt>
                <c:pt idx="4">
                  <c:v>83.464673615229444</c:v>
                </c:pt>
                <c:pt idx="5">
                  <c:v>75.47095161923157</c:v>
                </c:pt>
                <c:pt idx="6">
                  <c:v>69.392659713513481</c:v>
                </c:pt>
                <c:pt idx="7">
                  <c:v>63.258550640355239</c:v>
                </c:pt>
                <c:pt idx="8">
                  <c:v>54.973439873746337</c:v>
                </c:pt>
                <c:pt idx="9">
                  <c:v>48.451748773589372</c:v>
                </c:pt>
                <c:pt idx="10">
                  <c:v>41.561454541527681</c:v>
                </c:pt>
                <c:pt idx="11">
                  <c:v>31.704694830216571</c:v>
                </c:pt>
                <c:pt idx="12">
                  <c:v>23.77946202575227</c:v>
                </c:pt>
                <c:pt idx="13">
                  <c:v>15.83341256059586</c:v>
                </c:pt>
                <c:pt idx="14">
                  <c:v>6.047807089533185</c:v>
                </c:pt>
                <c:pt idx="15">
                  <c:v>-0.46662060500400404</c:v>
                </c:pt>
                <c:pt idx="16">
                  <c:v>-6.1503912531885545</c:v>
                </c:pt>
                <c:pt idx="17">
                  <c:v>-12.569941019707148</c:v>
                </c:pt>
                <c:pt idx="18">
                  <c:v>-16.973790286435886</c:v>
                </c:pt>
                <c:pt idx="19">
                  <c:v>-21.444816854196215</c:v>
                </c:pt>
                <c:pt idx="20">
                  <c:v>-22.953569370693419</c:v>
                </c:pt>
                <c:pt idx="21">
                  <c:v>-27.923178946622581</c:v>
                </c:pt>
                <c:pt idx="22">
                  <c:v>-33.283864919630467</c:v>
                </c:pt>
              </c:numCache>
            </c:numRef>
          </c:yVal>
          <c:smooth val="0"/>
        </c:ser>
        <c:dLbls>
          <c:showLegendKey val="0"/>
          <c:showVal val="0"/>
          <c:showCatName val="0"/>
          <c:showSerName val="0"/>
          <c:showPercent val="0"/>
          <c:showBubbleSize val="0"/>
        </c:dLbls>
        <c:axId val="409917560"/>
        <c:axId val="409918736"/>
      </c:scatterChart>
      <c:scatterChart>
        <c:scatterStyle val="lineMarker"/>
        <c:varyColors val="0"/>
        <c:ser>
          <c:idx val="0"/>
          <c:order val="1"/>
          <c:tx>
            <c:v>Loop Phase</c:v>
          </c:tx>
          <c:marker>
            <c:symbol val="none"/>
          </c:marker>
          <c:xVal>
            <c:numRef>
              <c:f>'Bode_Plot VOUT1'!$C$2:$C$24</c:f>
              <c:numCache>
                <c:formatCode>General</c:formatCode>
                <c:ptCount val="23"/>
                <c:pt idx="0">
                  <c:v>0.1</c:v>
                </c:pt>
                <c:pt idx="1">
                  <c:v>0.2</c:v>
                </c:pt>
                <c:pt idx="2">
                  <c:v>0.5</c:v>
                </c:pt>
                <c:pt idx="3">
                  <c:v>1</c:v>
                </c:pt>
                <c:pt idx="4">
                  <c:v>2</c:v>
                </c:pt>
                <c:pt idx="5">
                  <c:v>5</c:v>
                </c:pt>
                <c:pt idx="6">
                  <c:v>10</c:v>
                </c:pt>
                <c:pt idx="7">
                  <c:v>20</c:v>
                </c:pt>
                <c:pt idx="8">
                  <c:v>50</c:v>
                </c:pt>
                <c:pt idx="9">
                  <c:v>100</c:v>
                </c:pt>
                <c:pt idx="10">
                  <c:v>200</c:v>
                </c:pt>
                <c:pt idx="11">
                  <c:v>500</c:v>
                </c:pt>
                <c:pt idx="12">
                  <c:v>1000</c:v>
                </c:pt>
                <c:pt idx="13">
                  <c:v>2000</c:v>
                </c:pt>
                <c:pt idx="14">
                  <c:v>5000</c:v>
                </c:pt>
                <c:pt idx="15">
                  <c:v>10000</c:v>
                </c:pt>
                <c:pt idx="16">
                  <c:v>20000</c:v>
                </c:pt>
                <c:pt idx="17">
                  <c:v>50000</c:v>
                </c:pt>
                <c:pt idx="18">
                  <c:v>100000</c:v>
                </c:pt>
                <c:pt idx="19">
                  <c:v>200000</c:v>
                </c:pt>
                <c:pt idx="20">
                  <c:v>250000</c:v>
                </c:pt>
                <c:pt idx="21">
                  <c:v>500000</c:v>
                </c:pt>
                <c:pt idx="22">
                  <c:v>1000000</c:v>
                </c:pt>
              </c:numCache>
            </c:numRef>
          </c:xVal>
          <c:yVal>
            <c:numRef>
              <c:f>'Bode_Plot VOUT1'!$N$2:$N$24</c:f>
              <c:numCache>
                <c:formatCode>0.0</c:formatCode>
                <c:ptCount val="23"/>
                <c:pt idx="0">
                  <c:v>-0.37018622160902126</c:v>
                </c:pt>
                <c:pt idx="1">
                  <c:v>-0.74034348444730702</c:v>
                </c:pt>
                <c:pt idx="2">
                  <c:v>-1.8503522240270101</c:v>
                </c:pt>
                <c:pt idx="3">
                  <c:v>-3.6970949852822126</c:v>
                </c:pt>
                <c:pt idx="4">
                  <c:v>-7.3655708154709307</c:v>
                </c:pt>
                <c:pt idx="5">
                  <c:v>-17.939943451654415</c:v>
                </c:pt>
                <c:pt idx="6">
                  <c:v>-33.096594945803361</c:v>
                </c:pt>
                <c:pt idx="7">
                  <c:v>-53.245839032421074</c:v>
                </c:pt>
                <c:pt idx="8">
                  <c:v>-76.374470191123436</c:v>
                </c:pt>
                <c:pt idx="9">
                  <c:v>-88.762009076141325</c:v>
                </c:pt>
                <c:pt idx="10">
                  <c:v>-100.35619608995678</c:v>
                </c:pt>
                <c:pt idx="11">
                  <c:v>-118.10936636084854</c:v>
                </c:pt>
                <c:pt idx="12">
                  <c:v>-127.07342172788681</c:v>
                </c:pt>
                <c:pt idx="13">
                  <c:v>-123.73770547935474</c:v>
                </c:pt>
                <c:pt idx="14">
                  <c:v>-107.92609904639431</c:v>
                </c:pt>
                <c:pt idx="15">
                  <c:v>-97.871403734694027</c:v>
                </c:pt>
                <c:pt idx="16">
                  <c:v>-91.327765185344333</c:v>
                </c:pt>
                <c:pt idx="17">
                  <c:v>-90.174717211847664</c:v>
                </c:pt>
                <c:pt idx="18">
                  <c:v>-99.499750241104209</c:v>
                </c:pt>
                <c:pt idx="19">
                  <c:v>-116.80163303207458</c:v>
                </c:pt>
                <c:pt idx="20">
                  <c:v>-123.53194695559257</c:v>
                </c:pt>
                <c:pt idx="21">
                  <c:v>-144.71706877626775</c:v>
                </c:pt>
                <c:pt idx="22">
                  <c:v>-160.80340524412057</c:v>
                </c:pt>
              </c:numCache>
            </c:numRef>
          </c:yVal>
          <c:smooth val="0"/>
        </c:ser>
        <c:dLbls>
          <c:showLegendKey val="0"/>
          <c:showVal val="0"/>
          <c:showCatName val="0"/>
          <c:showSerName val="0"/>
          <c:showPercent val="0"/>
          <c:showBubbleSize val="0"/>
        </c:dLbls>
        <c:axId val="409919912"/>
        <c:axId val="409921088"/>
      </c:scatterChart>
      <c:valAx>
        <c:axId val="409917560"/>
        <c:scaling>
          <c:logBase val="10"/>
          <c:orientation val="minMax"/>
          <c:max val="1000000"/>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00" b="1" i="0" u="none" strike="noStrike" baseline="0">
                    <a:solidFill>
                      <a:srgbClr val="000000"/>
                    </a:solidFill>
                    <a:latin typeface="Arial"/>
                    <a:ea typeface="Arial"/>
                    <a:cs typeface="Arial"/>
                  </a:defRPr>
                </a:pPr>
                <a:r>
                  <a:rPr lang="en-US"/>
                  <a:t>Frequency(Hz)</a:t>
                </a:r>
              </a:p>
            </c:rich>
          </c:tx>
          <c:layout>
            <c:manualLayout>
              <c:xMode val="edge"/>
              <c:yMode val="edge"/>
              <c:x val="0.40382884171780009"/>
              <c:y val="0.90237674136886736"/>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zh-TW"/>
          </a:p>
        </c:txPr>
        <c:crossAx val="409918736"/>
        <c:crossesAt val="-100"/>
        <c:crossBetween val="midCat"/>
        <c:majorUnit val="10"/>
        <c:minorUnit val="10"/>
      </c:valAx>
      <c:valAx>
        <c:axId val="409918736"/>
        <c:scaling>
          <c:orientation val="minMax"/>
          <c:max val="80"/>
          <c:min val="-80"/>
        </c:scaling>
        <c:delete val="0"/>
        <c:axPos val="l"/>
        <c:majorGridlines>
          <c:spPr>
            <a:ln w="3175">
              <a:solidFill>
                <a:srgbClr val="000000"/>
              </a:solidFill>
              <a:prstDash val="solid"/>
            </a:ln>
          </c:spPr>
        </c:majorGridlines>
        <c:title>
          <c:tx>
            <c:rich>
              <a:bodyPr/>
              <a:lstStyle/>
              <a:p>
                <a:pPr>
                  <a:defRPr sz="1100" b="1" i="0" u="none" strike="noStrike" baseline="0">
                    <a:solidFill>
                      <a:srgbClr val="0000FF"/>
                    </a:solidFill>
                    <a:latin typeface="Arial"/>
                    <a:ea typeface="Arial"/>
                    <a:cs typeface="Arial"/>
                  </a:defRPr>
                </a:pPr>
                <a:r>
                  <a:rPr lang="en-US"/>
                  <a:t>Gain (dB)</a:t>
                </a:r>
              </a:p>
            </c:rich>
          </c:tx>
          <c:layout>
            <c:manualLayout>
              <c:xMode val="edge"/>
              <c:yMode val="edge"/>
              <c:x val="1.1620902703447398E-2"/>
              <c:y val="0.4142488727370616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zh-TW"/>
          </a:p>
        </c:txPr>
        <c:crossAx val="409917560"/>
        <c:crossesAt val="1"/>
        <c:crossBetween val="midCat"/>
        <c:majorUnit val="20"/>
      </c:valAx>
      <c:valAx>
        <c:axId val="409921088"/>
        <c:scaling>
          <c:orientation val="minMax"/>
          <c:max val="180"/>
          <c:min val="-180"/>
        </c:scaling>
        <c:delete val="0"/>
        <c:axPos val="r"/>
        <c:numFmt formatCode="0.0" sourceLinked="1"/>
        <c:majorTickMark val="out"/>
        <c:minorTickMark val="none"/>
        <c:tickLblPos val="nextTo"/>
        <c:crossAx val="409919912"/>
        <c:crosses val="max"/>
        <c:crossBetween val="midCat"/>
        <c:majorUnit val="45"/>
      </c:valAx>
      <c:valAx>
        <c:axId val="409919912"/>
        <c:scaling>
          <c:logBase val="10"/>
          <c:orientation val="minMax"/>
        </c:scaling>
        <c:delete val="1"/>
        <c:axPos val="b"/>
        <c:numFmt formatCode="General" sourceLinked="1"/>
        <c:majorTickMark val="out"/>
        <c:minorTickMark val="none"/>
        <c:tickLblPos val="nextTo"/>
        <c:crossAx val="409921088"/>
        <c:crosses val="autoZero"/>
        <c:crossBetween val="midCat"/>
      </c:valAx>
      <c:spPr>
        <a:solidFill>
          <a:srgbClr val="FFFFFF"/>
        </a:solid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zh-TW"/>
    </a:p>
  </c:txPr>
  <c:printSettings>
    <c:headerFooter alignWithMargins="0"/>
    <c:pageMargins b="1" l="0.75000000000000122" r="0.750000000000001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533400</xdr:colOff>
      <xdr:row>25</xdr:row>
      <xdr:rowOff>95250</xdr:rowOff>
    </xdr:from>
    <xdr:to>
      <xdr:col>12</xdr:col>
      <xdr:colOff>66675</xdr:colOff>
      <xdr:row>48</xdr:row>
      <xdr:rowOff>114300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323850</xdr:colOff>
      <xdr:row>25</xdr:row>
      <xdr:rowOff>104775</xdr:rowOff>
    </xdr:from>
    <xdr:to>
      <xdr:col>22</xdr:col>
      <xdr:colOff>381000</xdr:colOff>
      <xdr:row>48</xdr:row>
      <xdr:rowOff>95250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552450</xdr:colOff>
      <xdr:row>50</xdr:row>
      <xdr:rowOff>0</xdr:rowOff>
    </xdr:from>
    <xdr:to>
      <xdr:col>17</xdr:col>
      <xdr:colOff>133350</xdr:colOff>
      <xdr:row>72</xdr:row>
      <xdr:rowOff>152400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572030</xdr:colOff>
      <xdr:row>14</xdr:row>
      <xdr:rowOff>98335</xdr:rowOff>
    </xdr:from>
    <xdr:to>
      <xdr:col>18</xdr:col>
      <xdr:colOff>137160</xdr:colOff>
      <xdr:row>16</xdr:row>
      <xdr:rowOff>99060</xdr:rowOff>
    </xdr:to>
    <xdr:sp macro="" textlink="">
      <xdr:nvSpPr>
        <xdr:cNvPr id="10" name="TextBox 9"/>
        <xdr:cNvSpPr txBox="1">
          <a:spLocks noChangeArrowheads="1"/>
        </xdr:cNvSpPr>
      </xdr:nvSpPr>
      <xdr:spPr bwMode="auto">
        <a:xfrm>
          <a:off x="18753350" y="2750095"/>
          <a:ext cx="3222730" cy="427445"/>
        </a:xfrm>
        <a:prstGeom prst="rect">
          <a:avLst/>
        </a:prstGeom>
        <a:solidFill>
          <a:srgbClr val="FFFFFF"/>
        </a:solidFill>
        <a:ln w="9525">
          <a:noFill/>
          <a:miter lim="800000"/>
          <a:headEnd/>
          <a:tailEnd/>
        </a:ln>
      </xdr:spPr>
      <xdr:txBody>
        <a:bodyPr vertOverflow="clip" wrap="square" lIns="36576" tIns="32004" rIns="0" bIns="0" anchor="t" upright="1"/>
        <a:lstStyle/>
        <a:p>
          <a:pPr algn="ctr" rtl="0">
            <a:defRPr sz="1000"/>
          </a:pPr>
          <a:r>
            <a:rPr lang="en-US" sz="1800" b="1" i="0" u="none" strike="noStrike" baseline="0">
              <a:solidFill>
                <a:srgbClr val="0000FF"/>
              </a:solidFill>
              <a:latin typeface="Arial Black" panose="020B0A04020102020204" pitchFamily="34" charset="0"/>
            </a:rPr>
            <a:t>Schematic</a:t>
          </a:r>
        </a:p>
      </xdr:txBody>
    </xdr:sp>
    <xdr:clientData/>
  </xdr:twoCellAnchor>
  <xdr:twoCellAnchor editAs="oneCell">
    <xdr:from>
      <xdr:col>5</xdr:col>
      <xdr:colOff>513080</xdr:colOff>
      <xdr:row>15</xdr:row>
      <xdr:rowOff>60960</xdr:rowOff>
    </xdr:from>
    <xdr:to>
      <xdr:col>28</xdr:col>
      <xdr:colOff>264745</xdr:colOff>
      <xdr:row>55</xdr:row>
      <xdr:rowOff>83286</xdr:rowOff>
    </xdr:to>
    <xdr:pic>
      <xdr:nvPicPr>
        <xdr:cNvPr id="40" name="Picture 3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6366" y="2945674"/>
          <a:ext cx="14294979" cy="8153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352876</xdr:colOff>
      <xdr:row>64</xdr:row>
      <xdr:rowOff>115569</xdr:rowOff>
    </xdr:from>
    <xdr:to>
      <xdr:col>17</xdr:col>
      <xdr:colOff>22462</xdr:colOff>
      <xdr:row>83</xdr:row>
      <xdr:rowOff>53432</xdr:rowOff>
    </xdr:to>
    <xdr:pic>
      <xdr:nvPicPr>
        <xdr:cNvPr id="16" name="Picture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74962" y="12264026"/>
          <a:ext cx="7507300" cy="3808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6350</xdr:colOff>
      <xdr:row>85</xdr:row>
      <xdr:rowOff>158750</xdr:rowOff>
    </xdr:from>
    <xdr:to>
      <xdr:col>15</xdr:col>
      <xdr:colOff>468630</xdr:colOff>
      <xdr:row>112</xdr:row>
      <xdr:rowOff>167640</xdr:rowOff>
    </xdr:to>
    <xdr:graphicFrame macro="">
      <xdr:nvGraphicFramePr>
        <xdr:cNvPr id="1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438150</xdr:colOff>
      <xdr:row>1</xdr:row>
      <xdr:rowOff>19050</xdr:rowOff>
    </xdr:from>
    <xdr:to>
      <xdr:col>25</xdr:col>
      <xdr:colOff>495300</xdr:colOff>
      <xdr:row>4</xdr:row>
      <xdr:rowOff>95250</xdr:rowOff>
    </xdr:to>
    <xdr:sp macro="" textlink="">
      <xdr:nvSpPr>
        <xdr:cNvPr id="5" name="TextBox 4"/>
        <xdr:cNvSpPr txBox="1"/>
      </xdr:nvSpPr>
      <xdr:spPr>
        <a:xfrm>
          <a:off x="8267700" y="209550"/>
          <a:ext cx="15830550" cy="6477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000" b="1">
              <a:solidFill>
                <a:schemeClr val="bg1"/>
              </a:solidFill>
            </a:rPr>
            <a:t>LM5141 Synchronous Buck Controller</a:t>
          </a:r>
          <a:r>
            <a:rPr lang="en-US" sz="4000" b="1" baseline="0">
              <a:solidFill>
                <a:schemeClr val="bg1"/>
              </a:solidFill>
            </a:rPr>
            <a:t> Design Tool</a:t>
          </a:r>
          <a:r>
            <a:rPr lang="en-US" sz="4000" b="1">
              <a:solidFill>
                <a:schemeClr val="bg1"/>
              </a:solidFill>
            </a:rPr>
            <a:t> </a:t>
          </a:r>
        </a:p>
      </xdr:txBody>
    </xdr:sp>
    <xdr:clientData/>
  </xdr:twoCellAnchor>
  <xdr:oneCellAnchor>
    <xdr:from>
      <xdr:col>2</xdr:col>
      <xdr:colOff>38100</xdr:colOff>
      <xdr:row>8</xdr:row>
      <xdr:rowOff>167640</xdr:rowOff>
    </xdr:from>
    <xdr:ext cx="766391" cy="200660"/>
    <xdr:sp macro="" textlink="">
      <xdr:nvSpPr>
        <xdr:cNvPr id="11" name="TextBox 10"/>
        <xdr:cNvSpPr txBox="1"/>
      </xdr:nvSpPr>
      <xdr:spPr>
        <a:xfrm>
          <a:off x="8788400" y="1602740"/>
          <a:ext cx="766391" cy="200660"/>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twoCellAnchor>
    <xdr:from>
      <xdr:col>2</xdr:col>
      <xdr:colOff>967740</xdr:colOff>
      <xdr:row>8</xdr:row>
      <xdr:rowOff>33020</xdr:rowOff>
    </xdr:from>
    <xdr:to>
      <xdr:col>7</xdr:col>
      <xdr:colOff>866140</xdr:colOff>
      <xdr:row>10</xdr:row>
      <xdr:rowOff>93980</xdr:rowOff>
    </xdr:to>
    <xdr:sp macro="" textlink="">
      <xdr:nvSpPr>
        <xdr:cNvPr id="12" name="TextBox 11"/>
        <xdr:cNvSpPr txBox="1"/>
      </xdr:nvSpPr>
      <xdr:spPr>
        <a:xfrm>
          <a:off x="10073640" y="1468120"/>
          <a:ext cx="3238500" cy="416560"/>
        </a:xfrm>
        <a:prstGeom prst="rect">
          <a:avLst/>
        </a:prstGeom>
        <a:solidFill>
          <a:schemeClr val="bg1">
            <a:lumMod val="5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solidFill>
                <a:schemeClr val="bg1"/>
              </a:solidFill>
              <a:latin typeface="Arial" panose="020B0604020202020204" pitchFamily="34" charset="0"/>
              <a:cs typeface="Arial" panose="020B0604020202020204" pitchFamily="34" charset="0"/>
            </a:rPr>
            <a:t>=Input Box</a:t>
          </a:r>
        </a:p>
      </xdr:txBody>
    </xdr:sp>
    <xdr:clientData/>
  </xdr:twoCellAnchor>
  <xdr:twoCellAnchor>
    <xdr:from>
      <xdr:col>28</xdr:col>
      <xdr:colOff>84177</xdr:colOff>
      <xdr:row>27</xdr:row>
      <xdr:rowOff>131356</xdr:rowOff>
    </xdr:from>
    <xdr:to>
      <xdr:col>29</xdr:col>
      <xdr:colOff>2897</xdr:colOff>
      <xdr:row>28</xdr:row>
      <xdr:rowOff>82678</xdr:rowOff>
    </xdr:to>
    <xdr:sp macro="" textlink="'Variable Management'!B8">
      <xdr:nvSpPr>
        <xdr:cNvPr id="32" name="Text Box 268"/>
        <xdr:cNvSpPr txBox="1">
          <a:spLocks noChangeArrowheads="1" noTextEdit="1"/>
        </xdr:cNvSpPr>
      </xdr:nvSpPr>
      <xdr:spPr bwMode="auto">
        <a:xfrm>
          <a:off x="28151177" y="5351056"/>
          <a:ext cx="528320" cy="218022"/>
        </a:xfrm>
        <a:prstGeom prst="rect">
          <a:avLst/>
        </a:prstGeom>
        <a:noFill/>
        <a:ln w="9525">
          <a:noFill/>
          <a:miter lim="800000"/>
          <a:headEnd/>
          <a:tailEnd/>
        </a:ln>
      </xdr:spPr>
      <xdr:txBody>
        <a:bodyPr vertOverflow="clip" wrap="square" lIns="27432" tIns="22860" rIns="0" bIns="0" anchor="ctr" upright="1"/>
        <a:lstStyle/>
        <a:p>
          <a:pPr algn="ctr" rtl="0">
            <a:defRPr sz="1000"/>
          </a:pPr>
          <a:fld id="{D02052EA-24D6-4BD4-B19B-749590664206}" type="TxLink">
            <a:rPr lang="en-US" sz="1600" b="1" i="0" u="none" strike="noStrike">
              <a:solidFill>
                <a:srgbClr val="FF0000"/>
              </a:solidFill>
              <a:latin typeface="Arial" panose="020B0604020202020204" pitchFamily="34" charset="0"/>
              <a:cs typeface="Arial" panose="020B0604020202020204" pitchFamily="34" charset="0"/>
            </a:rPr>
            <a:pPr algn="ctr" rtl="0">
              <a:defRPr sz="1000"/>
            </a:pPr>
            <a:t>6.6V</a:t>
          </a:fld>
          <a:endParaRPr lang="el-GR" sz="1600" b="1" i="0" strike="noStrike">
            <a:solidFill>
              <a:srgbClr val="FF0000"/>
            </a:solidFill>
            <a:latin typeface="Arial" pitchFamily="34" charset="0"/>
            <a:cs typeface="Arial" pitchFamily="34" charset="0"/>
          </a:endParaRPr>
        </a:p>
      </xdr:txBody>
    </xdr:sp>
    <xdr:clientData/>
  </xdr:twoCellAnchor>
  <xdr:twoCellAnchor>
    <xdr:from>
      <xdr:col>28</xdr:col>
      <xdr:colOff>111390</xdr:colOff>
      <xdr:row>28</xdr:row>
      <xdr:rowOff>140066</xdr:rowOff>
    </xdr:from>
    <xdr:to>
      <xdr:col>29</xdr:col>
      <xdr:colOff>30110</xdr:colOff>
      <xdr:row>29</xdr:row>
      <xdr:rowOff>114610</xdr:rowOff>
    </xdr:to>
    <xdr:sp macro="" textlink="'Variable Management'!B10">
      <xdr:nvSpPr>
        <xdr:cNvPr id="34" name="Text Box 268"/>
        <xdr:cNvSpPr txBox="1">
          <a:spLocks noChangeArrowheads="1" noTextEdit="1"/>
        </xdr:cNvSpPr>
      </xdr:nvSpPr>
      <xdr:spPr bwMode="auto">
        <a:xfrm>
          <a:off x="28178390" y="5626466"/>
          <a:ext cx="528320" cy="203144"/>
        </a:xfrm>
        <a:prstGeom prst="rect">
          <a:avLst/>
        </a:prstGeom>
        <a:noFill/>
        <a:ln w="9525">
          <a:noFill/>
          <a:miter lim="800000"/>
          <a:headEnd/>
          <a:tailEnd/>
        </a:ln>
      </xdr:spPr>
      <xdr:txBody>
        <a:bodyPr vertOverflow="clip" wrap="square" lIns="27432" tIns="22860" rIns="0" bIns="0" anchor="ctr" upright="1"/>
        <a:lstStyle/>
        <a:p>
          <a:pPr algn="ctr" rtl="0">
            <a:defRPr sz="1000"/>
          </a:pPr>
          <a:fld id="{B86878CF-D723-4014-9912-38E86A44C186}" type="TxLink">
            <a:rPr lang="en-US" sz="1600" b="1" i="0" u="none" strike="noStrike">
              <a:solidFill>
                <a:srgbClr val="FF0000"/>
              </a:solidFill>
              <a:latin typeface="Arial" panose="020B0604020202020204" pitchFamily="34" charset="0"/>
              <a:cs typeface="Arial" panose="020B0604020202020204" pitchFamily="34" charset="0"/>
            </a:rPr>
            <a:pPr algn="ctr" rtl="0">
              <a:defRPr sz="1000"/>
            </a:pPr>
            <a:t>3A</a:t>
          </a:fld>
          <a:endParaRPr lang="el-GR" sz="1600" b="1" i="0" strike="noStrike">
            <a:solidFill>
              <a:srgbClr val="FF0000"/>
            </a:solidFill>
            <a:latin typeface="Arial" pitchFamily="34" charset="0"/>
            <a:cs typeface="Arial" pitchFamily="34" charset="0"/>
          </a:endParaRPr>
        </a:p>
      </xdr:txBody>
    </xdr:sp>
    <xdr:clientData/>
  </xdr:twoCellAnchor>
  <xdr:twoCellAnchor>
    <xdr:from>
      <xdr:col>5</xdr:col>
      <xdr:colOff>424543</xdr:colOff>
      <xdr:row>17</xdr:row>
      <xdr:rowOff>17780</xdr:rowOff>
    </xdr:from>
    <xdr:to>
      <xdr:col>7</xdr:col>
      <xdr:colOff>628480</xdr:colOff>
      <xdr:row>18</xdr:row>
      <xdr:rowOff>128395</xdr:rowOff>
    </xdr:to>
    <xdr:sp macro="" textlink="'Variable Management'!B7">
      <xdr:nvSpPr>
        <xdr:cNvPr id="36" name="Text Box 268"/>
        <xdr:cNvSpPr txBox="1">
          <a:spLocks noChangeArrowheads="1" noTextEdit="1"/>
        </xdr:cNvSpPr>
      </xdr:nvSpPr>
      <xdr:spPr bwMode="auto">
        <a:xfrm>
          <a:off x="13955486" y="3294380"/>
          <a:ext cx="1423137" cy="295672"/>
        </a:xfrm>
        <a:prstGeom prst="rect">
          <a:avLst/>
        </a:prstGeom>
        <a:noFill/>
        <a:ln w="9525">
          <a:noFill/>
          <a:miter lim="800000"/>
          <a:headEnd/>
          <a:tailEnd/>
        </a:ln>
      </xdr:spPr>
      <xdr:txBody>
        <a:bodyPr vertOverflow="clip" wrap="square" lIns="27432" tIns="22860" rIns="0" bIns="0" anchor="ctr" upright="1"/>
        <a:lstStyle/>
        <a:p>
          <a:pPr algn="ctr" rtl="0">
            <a:defRPr sz="1000"/>
          </a:pPr>
          <a:fld id="{7E06BDE4-32C2-4DB5-A390-FE7268F29E52}" type="TxLink">
            <a:rPr lang="en-US" sz="1400" b="1" i="0" u="none" strike="noStrike">
              <a:solidFill>
                <a:srgbClr val="FF0000"/>
              </a:solidFill>
              <a:latin typeface="Arial" panose="020B0604020202020204" pitchFamily="34" charset="0"/>
              <a:cs typeface="Arial" panose="020B0604020202020204" pitchFamily="34" charset="0"/>
            </a:rPr>
            <a:pPr algn="ctr" rtl="0">
              <a:defRPr sz="1000"/>
            </a:pPr>
            <a:t>12V VIN(nom)</a:t>
          </a:fld>
          <a:endParaRPr lang="el-GR" sz="1400" b="1" i="0" strike="noStrike">
            <a:solidFill>
              <a:srgbClr val="FF0000"/>
            </a:solidFill>
            <a:latin typeface="Arial" pitchFamily="34" charset="0"/>
            <a:cs typeface="Arial" pitchFamily="34" charset="0"/>
          </a:endParaRPr>
        </a:p>
      </xdr:txBody>
    </xdr:sp>
    <xdr:clientData/>
  </xdr:twoCellAnchor>
  <xdr:twoCellAnchor>
    <xdr:from>
      <xdr:col>22</xdr:col>
      <xdr:colOff>80924</xdr:colOff>
      <xdr:row>31</xdr:row>
      <xdr:rowOff>12700</xdr:rowOff>
    </xdr:from>
    <xdr:to>
      <xdr:col>23</xdr:col>
      <xdr:colOff>317500</xdr:colOff>
      <xdr:row>32</xdr:row>
      <xdr:rowOff>25347</xdr:rowOff>
    </xdr:to>
    <xdr:sp macro="" textlink="'Variable Management'!B24">
      <xdr:nvSpPr>
        <xdr:cNvPr id="38" name="Text Box 268"/>
        <xdr:cNvSpPr txBox="1">
          <a:spLocks noChangeArrowheads="1" noTextEdit="1"/>
        </xdr:cNvSpPr>
      </xdr:nvSpPr>
      <xdr:spPr bwMode="auto">
        <a:xfrm>
          <a:off x="24490324" y="6197600"/>
          <a:ext cx="846176" cy="215847"/>
        </a:xfrm>
        <a:prstGeom prst="rect">
          <a:avLst/>
        </a:prstGeom>
        <a:noFill/>
        <a:ln w="9525">
          <a:noFill/>
          <a:miter lim="800000"/>
          <a:headEnd/>
          <a:tailEnd/>
        </a:ln>
      </xdr:spPr>
      <xdr:txBody>
        <a:bodyPr vertOverflow="clip" wrap="square" lIns="27432" tIns="22860" rIns="0" bIns="0" anchor="ctr" upright="1"/>
        <a:lstStyle/>
        <a:p>
          <a:pPr algn="ctr" rtl="0">
            <a:defRPr sz="1000"/>
          </a:pPr>
          <a:fld id="{DDD844DB-0B34-48CD-BFC7-0B780D7E30D3}" type="TxLink">
            <a:rPr lang="en-US" sz="1400" b="0" i="0" u="none" strike="noStrike">
              <a:solidFill>
                <a:srgbClr val="000000"/>
              </a:solidFill>
              <a:latin typeface="Arial Black" panose="020B0A04020102020204" pitchFamily="34" charset="0"/>
              <a:cs typeface="Arial" panose="020B0604020202020204" pitchFamily="34" charset="0"/>
            </a:rPr>
            <a:pPr algn="ctr" rtl="0">
              <a:defRPr sz="1000"/>
            </a:pPr>
            <a:t>6.8µH</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24</xdr:col>
      <xdr:colOff>194863</xdr:colOff>
      <xdr:row>31</xdr:row>
      <xdr:rowOff>49489</xdr:rowOff>
    </xdr:from>
    <xdr:to>
      <xdr:col>25</xdr:col>
      <xdr:colOff>220264</xdr:colOff>
      <xdr:row>32</xdr:row>
      <xdr:rowOff>24089</xdr:rowOff>
    </xdr:to>
    <xdr:sp macro="" textlink="'Variable Management'!C26">
      <xdr:nvSpPr>
        <xdr:cNvPr id="44" name="Text Box 268"/>
        <xdr:cNvSpPr txBox="1">
          <a:spLocks noChangeArrowheads="1" noTextEdit="1"/>
        </xdr:cNvSpPr>
      </xdr:nvSpPr>
      <xdr:spPr bwMode="auto">
        <a:xfrm>
          <a:off x="25823463" y="6234389"/>
          <a:ext cx="635001" cy="177800"/>
        </a:xfrm>
        <a:prstGeom prst="rect">
          <a:avLst/>
        </a:prstGeom>
        <a:noFill/>
        <a:ln w="9525">
          <a:noFill/>
          <a:miter lim="800000"/>
          <a:headEnd/>
          <a:tailEnd/>
        </a:ln>
      </xdr:spPr>
      <xdr:txBody>
        <a:bodyPr vertOverflow="clip" wrap="square" lIns="27432" tIns="22860" rIns="0" bIns="0" anchor="ctr" upright="1"/>
        <a:lstStyle/>
        <a:p>
          <a:pPr algn="ctr" rtl="0">
            <a:defRPr sz="1000"/>
          </a:pPr>
          <a:fld id="{CA8583DD-2BB9-4024-8B2C-6A93951DD0DA}" type="TxLink">
            <a:rPr lang="en-US" sz="1400" b="1" i="0" u="none" strike="noStrike">
              <a:solidFill>
                <a:srgbClr val="000000"/>
              </a:solidFill>
              <a:latin typeface="Arial Black" panose="020B0A04020102020204" pitchFamily="34" charset="0"/>
              <a:cs typeface="Arial" panose="020B0604020202020204" pitchFamily="34" charset="0"/>
            </a:rPr>
            <a:pPr algn="ctr" rtl="0">
              <a:defRPr sz="1000"/>
            </a:pPr>
            <a:t>10mΩ</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18</xdr:col>
      <xdr:colOff>362141</xdr:colOff>
      <xdr:row>47</xdr:row>
      <xdr:rowOff>16832</xdr:rowOff>
    </xdr:from>
    <xdr:to>
      <xdr:col>19</xdr:col>
      <xdr:colOff>387542</xdr:colOff>
      <xdr:row>48</xdr:row>
      <xdr:rowOff>5946</xdr:rowOff>
    </xdr:to>
    <xdr:sp macro="" textlink="'Variable Management'!B72">
      <xdr:nvSpPr>
        <xdr:cNvPr id="47" name="Text Box 268"/>
        <xdr:cNvSpPr txBox="1">
          <a:spLocks noChangeArrowheads="1" noTextEdit="1"/>
        </xdr:cNvSpPr>
      </xdr:nvSpPr>
      <xdr:spPr bwMode="auto">
        <a:xfrm>
          <a:off x="22333141" y="9275132"/>
          <a:ext cx="635001" cy="192314"/>
        </a:xfrm>
        <a:prstGeom prst="rect">
          <a:avLst/>
        </a:prstGeom>
        <a:noFill/>
        <a:ln w="9525">
          <a:noFill/>
          <a:miter lim="800000"/>
          <a:headEnd/>
          <a:tailEnd/>
        </a:ln>
      </xdr:spPr>
      <xdr:txBody>
        <a:bodyPr vertOverflow="clip" wrap="square" lIns="27432" tIns="22860" rIns="0" bIns="0" anchor="ctr" upright="1"/>
        <a:lstStyle/>
        <a:p>
          <a:pPr algn="ctr" rtl="0">
            <a:defRPr sz="1000"/>
          </a:pPr>
          <a:fld id="{E075A221-FE56-48CB-BAA4-889CD26B8EAE}" type="TxLink">
            <a:rPr lang="en-US" sz="1400" b="0" i="0" u="none" strike="noStrike">
              <a:solidFill>
                <a:srgbClr val="000000"/>
              </a:solidFill>
              <a:latin typeface="Arial Black" panose="020B0A04020102020204" pitchFamily="34" charset="0"/>
              <a:cs typeface="Arial" panose="020B0604020202020204" pitchFamily="34" charset="0"/>
            </a:rPr>
            <a:pPr algn="ctr" rtl="0">
              <a:defRPr sz="1000"/>
            </a:pPr>
            <a:t>6.6kΩ</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19</xdr:col>
      <xdr:colOff>412941</xdr:colOff>
      <xdr:row>47</xdr:row>
      <xdr:rowOff>24089</xdr:rowOff>
    </xdr:from>
    <xdr:to>
      <xdr:col>20</xdr:col>
      <xdr:colOff>605980</xdr:colOff>
      <xdr:row>47</xdr:row>
      <xdr:rowOff>199573</xdr:rowOff>
    </xdr:to>
    <xdr:sp macro="" textlink="'Variable Management'!B74">
      <xdr:nvSpPr>
        <xdr:cNvPr id="49" name="Text Box 268"/>
        <xdr:cNvSpPr txBox="1">
          <a:spLocks noChangeArrowheads="1" noTextEdit="1"/>
        </xdr:cNvSpPr>
      </xdr:nvSpPr>
      <xdr:spPr bwMode="auto">
        <a:xfrm>
          <a:off x="22993541" y="9282389"/>
          <a:ext cx="802639" cy="175484"/>
        </a:xfrm>
        <a:prstGeom prst="rect">
          <a:avLst/>
        </a:prstGeom>
        <a:noFill/>
        <a:ln w="9525">
          <a:noFill/>
          <a:miter lim="800000"/>
          <a:headEnd/>
          <a:tailEnd/>
        </a:ln>
      </xdr:spPr>
      <xdr:txBody>
        <a:bodyPr vertOverflow="clip" wrap="square" lIns="27432" tIns="22860" rIns="0" bIns="0" anchor="ctr" upright="1"/>
        <a:lstStyle/>
        <a:p>
          <a:pPr algn="ctr" rtl="0">
            <a:defRPr sz="1000"/>
          </a:pPr>
          <a:fld id="{7E07B85F-0172-4CD9-97CE-DFE7CCFA6B5B}" type="TxLink">
            <a:rPr lang="en-US" sz="1400" b="0" i="0" u="none" strike="noStrike">
              <a:solidFill>
                <a:srgbClr val="000000"/>
              </a:solidFill>
              <a:latin typeface="Arial Black" panose="020B0A04020102020204" pitchFamily="34" charset="0"/>
              <a:cs typeface="Arial" panose="020B0604020202020204" pitchFamily="34" charset="0"/>
            </a:rPr>
            <a:pPr algn="ctr" rtl="0">
              <a:defRPr sz="1000"/>
            </a:pPr>
            <a:t>0.01µF</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7</xdr:col>
      <xdr:colOff>287381</xdr:colOff>
      <xdr:row>33</xdr:row>
      <xdr:rowOff>95933</xdr:rowOff>
    </xdr:from>
    <xdr:to>
      <xdr:col>7</xdr:col>
      <xdr:colOff>1090020</xdr:colOff>
      <xdr:row>34</xdr:row>
      <xdr:rowOff>114300</xdr:rowOff>
    </xdr:to>
    <xdr:sp macro="" textlink="'Variable Management'!B67">
      <xdr:nvSpPr>
        <xdr:cNvPr id="52" name="Text Box 268"/>
        <xdr:cNvSpPr txBox="1">
          <a:spLocks noChangeArrowheads="1" noTextEdit="1"/>
        </xdr:cNvSpPr>
      </xdr:nvSpPr>
      <xdr:spPr bwMode="auto">
        <a:xfrm>
          <a:off x="15032081" y="6674533"/>
          <a:ext cx="802639" cy="208867"/>
        </a:xfrm>
        <a:prstGeom prst="rect">
          <a:avLst/>
        </a:prstGeom>
        <a:noFill/>
        <a:ln w="9525">
          <a:noFill/>
          <a:miter lim="800000"/>
          <a:headEnd/>
          <a:tailEnd/>
        </a:ln>
      </xdr:spPr>
      <xdr:txBody>
        <a:bodyPr vertOverflow="clip" wrap="square" lIns="27432" tIns="22860" rIns="0" bIns="0" anchor="ctr" upright="1"/>
        <a:lstStyle/>
        <a:p>
          <a:pPr algn="ctr" rtl="0">
            <a:defRPr sz="1000"/>
          </a:pPr>
          <a:fld id="{57D4379A-5934-44A7-B9F4-3B0A6364B302}" type="TxLink">
            <a:rPr lang="en-US" sz="1400" b="0" i="0" u="none" strike="noStrike">
              <a:solidFill>
                <a:srgbClr val="000000"/>
              </a:solidFill>
              <a:latin typeface="Arial Black" panose="020B0A04020102020204" pitchFamily="34" charset="0"/>
              <a:cs typeface="Arial" panose="020B0604020202020204" pitchFamily="34" charset="0"/>
            </a:rPr>
            <a:pPr algn="ctr" rtl="0">
              <a:defRPr sz="1000"/>
            </a:pPr>
            <a:t>0.068µF</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5</xdr:col>
      <xdr:colOff>171635</xdr:colOff>
      <xdr:row>33</xdr:row>
      <xdr:rowOff>65002</xdr:rowOff>
    </xdr:from>
    <xdr:to>
      <xdr:col>6</xdr:col>
      <xdr:colOff>364674</xdr:colOff>
      <xdr:row>34</xdr:row>
      <xdr:rowOff>101600</xdr:rowOff>
    </xdr:to>
    <xdr:sp macro="" textlink="'Variable Management'!B76">
      <xdr:nvSpPr>
        <xdr:cNvPr id="53" name="Text Box 268"/>
        <xdr:cNvSpPr txBox="1">
          <a:spLocks noChangeArrowheads="1" noTextEdit="1"/>
        </xdr:cNvSpPr>
      </xdr:nvSpPr>
      <xdr:spPr bwMode="auto">
        <a:xfrm>
          <a:off x="13697135" y="6643602"/>
          <a:ext cx="802639" cy="227098"/>
        </a:xfrm>
        <a:prstGeom prst="rect">
          <a:avLst/>
        </a:prstGeom>
        <a:noFill/>
        <a:ln w="9525">
          <a:noFill/>
          <a:miter lim="800000"/>
          <a:headEnd/>
          <a:tailEnd/>
        </a:ln>
      </xdr:spPr>
      <xdr:txBody>
        <a:bodyPr vertOverflow="clip" wrap="square" lIns="27432" tIns="22860" rIns="0" bIns="0" anchor="ctr" upright="1"/>
        <a:lstStyle/>
        <a:p>
          <a:pPr algn="ctr" rtl="0">
            <a:defRPr sz="1000"/>
          </a:pPr>
          <a:fld id="{2FE59A12-7ADB-4DEE-AF49-E95538234A68}" type="TxLink">
            <a:rPr lang="en-US" sz="1400" b="0" i="0" u="none" strike="noStrike">
              <a:solidFill>
                <a:srgbClr val="000000"/>
              </a:solidFill>
              <a:latin typeface="Arial Black" panose="020B0A04020102020204" pitchFamily="34" charset="0"/>
              <a:cs typeface="Arial" panose="020B0604020202020204" pitchFamily="34" charset="0"/>
            </a:rPr>
            <a:pPr algn="ctr" rtl="0">
              <a:defRPr sz="1000"/>
            </a:pPr>
            <a:t>0.1µF</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28</xdr:col>
      <xdr:colOff>450393</xdr:colOff>
      <xdr:row>33</xdr:row>
      <xdr:rowOff>176265</xdr:rowOff>
    </xdr:from>
    <xdr:to>
      <xdr:col>29</xdr:col>
      <xdr:colOff>294818</xdr:colOff>
      <xdr:row>34</xdr:row>
      <xdr:rowOff>155400</xdr:rowOff>
    </xdr:to>
    <xdr:sp macro="" textlink="'Variable Management'!D44">
      <xdr:nvSpPr>
        <xdr:cNvPr id="57" name="Text Box 268"/>
        <xdr:cNvSpPr txBox="1">
          <a:spLocks noChangeArrowheads="1" noTextEdit="1"/>
        </xdr:cNvSpPr>
      </xdr:nvSpPr>
      <xdr:spPr bwMode="auto">
        <a:xfrm>
          <a:off x="28517393" y="6754865"/>
          <a:ext cx="454025" cy="169635"/>
        </a:xfrm>
        <a:prstGeom prst="rect">
          <a:avLst/>
        </a:prstGeom>
        <a:noFill/>
        <a:ln w="9525">
          <a:noFill/>
          <a:miter lim="800000"/>
          <a:headEnd/>
          <a:tailEnd/>
        </a:ln>
      </xdr:spPr>
      <xdr:txBody>
        <a:bodyPr vertOverflow="clip" wrap="square" lIns="27432" tIns="22860" rIns="0" bIns="0" anchor="ctr" upright="1"/>
        <a:lstStyle/>
        <a:p>
          <a:pPr algn="ctr" rtl="0">
            <a:defRPr sz="1000"/>
          </a:pPr>
          <a:fld id="{A37AD18C-8433-4007-8CEF-4AAFA8508C5F}" type="TxLink">
            <a:rPr lang="en-US" sz="1200" b="1" i="0" u="none" strike="noStrike">
              <a:solidFill>
                <a:srgbClr val="000000"/>
              </a:solidFill>
              <a:latin typeface="Arial Black" panose="020B0A04020102020204" pitchFamily="34" charset="0"/>
              <a:cs typeface="Arial" panose="020B0604020202020204" pitchFamily="34" charset="0"/>
            </a:rPr>
            <a:pPr algn="ctr" rtl="0">
              <a:defRPr sz="1000"/>
            </a:pPr>
            <a:t>1</a:t>
          </a:fld>
          <a:endParaRPr lang="el-GR" sz="12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27</xdr:col>
      <xdr:colOff>398411</xdr:colOff>
      <xdr:row>32</xdr:row>
      <xdr:rowOff>70582</xdr:rowOff>
    </xdr:from>
    <xdr:to>
      <xdr:col>28</xdr:col>
      <xdr:colOff>608869</xdr:colOff>
      <xdr:row>33</xdr:row>
      <xdr:rowOff>114300</xdr:rowOff>
    </xdr:to>
    <xdr:sp macro="" textlink="">
      <xdr:nvSpPr>
        <xdr:cNvPr id="58" name="TextBox 57"/>
        <xdr:cNvSpPr txBox="1"/>
      </xdr:nvSpPr>
      <xdr:spPr>
        <a:xfrm>
          <a:off x="27855811" y="6458682"/>
          <a:ext cx="820058" cy="234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Black" panose="020B0A04020102020204" pitchFamily="34" charset="0"/>
            </a:rPr>
            <a:t>82µF</a:t>
          </a:r>
          <a:r>
            <a:rPr lang="en-US" sz="1200" baseline="0">
              <a:latin typeface="Arial Black" panose="020B0A04020102020204" pitchFamily="34" charset="0"/>
            </a:rPr>
            <a:t> X</a:t>
          </a:r>
          <a:endParaRPr lang="en-US" sz="1200">
            <a:latin typeface="Arial Black" panose="020B0A04020102020204" pitchFamily="34" charset="0"/>
          </a:endParaRPr>
        </a:p>
      </xdr:txBody>
    </xdr:sp>
    <xdr:clientData/>
  </xdr:twoCellAnchor>
  <xdr:twoCellAnchor>
    <xdr:from>
      <xdr:col>27</xdr:col>
      <xdr:colOff>453747</xdr:colOff>
      <xdr:row>33</xdr:row>
      <xdr:rowOff>117845</xdr:rowOff>
    </xdr:from>
    <xdr:to>
      <xdr:col>29</xdr:col>
      <xdr:colOff>61862</xdr:colOff>
      <xdr:row>35</xdr:row>
      <xdr:rowOff>49265</xdr:rowOff>
    </xdr:to>
    <xdr:sp macro="" textlink="">
      <xdr:nvSpPr>
        <xdr:cNvPr id="61" name="TextBox 60"/>
        <xdr:cNvSpPr txBox="1"/>
      </xdr:nvSpPr>
      <xdr:spPr>
        <a:xfrm>
          <a:off x="27911147" y="6696445"/>
          <a:ext cx="827315" cy="337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Black" panose="020B0A04020102020204" pitchFamily="34" charset="0"/>
            </a:rPr>
            <a:t>47µF</a:t>
          </a:r>
          <a:r>
            <a:rPr lang="en-US" sz="1200" baseline="0">
              <a:latin typeface="Arial Black" panose="020B0A04020102020204" pitchFamily="34" charset="0"/>
            </a:rPr>
            <a:t> X</a:t>
          </a:r>
          <a:endParaRPr lang="en-US" sz="1200">
            <a:latin typeface="Arial Black" panose="020B0A04020102020204" pitchFamily="34" charset="0"/>
          </a:endParaRPr>
        </a:p>
      </xdr:txBody>
    </xdr:sp>
    <xdr:clientData/>
  </xdr:twoCellAnchor>
  <xdr:twoCellAnchor>
    <xdr:from>
      <xdr:col>28</xdr:col>
      <xdr:colOff>434697</xdr:colOff>
      <xdr:row>32</xdr:row>
      <xdr:rowOff>68315</xdr:rowOff>
    </xdr:from>
    <xdr:to>
      <xdr:col>29</xdr:col>
      <xdr:colOff>286379</xdr:colOff>
      <xdr:row>33</xdr:row>
      <xdr:rowOff>152400</xdr:rowOff>
    </xdr:to>
    <xdr:sp macro="" textlink="'Variable Management'!D46">
      <xdr:nvSpPr>
        <xdr:cNvPr id="62" name="Text Box 268"/>
        <xdr:cNvSpPr txBox="1">
          <a:spLocks noChangeArrowheads="1" noTextEdit="1"/>
        </xdr:cNvSpPr>
      </xdr:nvSpPr>
      <xdr:spPr bwMode="auto">
        <a:xfrm>
          <a:off x="28501697" y="6456415"/>
          <a:ext cx="461282" cy="274585"/>
        </a:xfrm>
        <a:prstGeom prst="rect">
          <a:avLst/>
        </a:prstGeom>
        <a:noFill/>
        <a:ln w="9525">
          <a:noFill/>
          <a:miter lim="800000"/>
          <a:headEnd/>
          <a:tailEnd/>
        </a:ln>
      </xdr:spPr>
      <xdr:txBody>
        <a:bodyPr vertOverflow="clip" wrap="square" lIns="27432" tIns="22860" rIns="0" bIns="0" anchor="ctr" upright="1"/>
        <a:lstStyle/>
        <a:p>
          <a:pPr algn="ctr" rtl="0">
            <a:defRPr sz="1000"/>
          </a:pPr>
          <a:fld id="{E5A39025-991C-4D31-8C62-FC410813E62E}" type="TxLink">
            <a:rPr lang="en-US" sz="1100" b="0" i="0" u="none" strike="noStrike">
              <a:solidFill>
                <a:srgbClr val="000000"/>
              </a:solidFill>
              <a:latin typeface="Arial Black" panose="020B0A04020102020204" pitchFamily="34" charset="0"/>
              <a:cs typeface="Arial" panose="020B0604020202020204" pitchFamily="34" charset="0"/>
            </a:rPr>
            <a:pPr algn="ctr" rtl="0">
              <a:defRPr sz="1000"/>
            </a:pPr>
            <a:t>1</a:t>
          </a:fld>
          <a:endParaRPr lang="el-GR" sz="11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33</xdr:col>
      <xdr:colOff>353064</xdr:colOff>
      <xdr:row>16</xdr:row>
      <xdr:rowOff>137160</xdr:rowOff>
    </xdr:from>
    <xdr:to>
      <xdr:col>34</xdr:col>
      <xdr:colOff>204746</xdr:colOff>
      <xdr:row>20</xdr:row>
      <xdr:rowOff>21046</xdr:rowOff>
    </xdr:to>
    <xdr:sp macro="" textlink="'Variable Management'!D47">
      <xdr:nvSpPr>
        <xdr:cNvPr id="64" name="Text Box 268"/>
        <xdr:cNvSpPr txBox="1">
          <a:spLocks noChangeArrowheads="1" noTextEdit="1"/>
        </xdr:cNvSpPr>
      </xdr:nvSpPr>
      <xdr:spPr bwMode="auto">
        <a:xfrm>
          <a:off x="31366464" y="3228703"/>
          <a:ext cx="461282" cy="635000"/>
        </a:xfrm>
        <a:prstGeom prst="rect">
          <a:avLst/>
        </a:prstGeom>
        <a:noFill/>
        <a:ln w="9525">
          <a:noFill/>
          <a:miter lim="800000"/>
          <a:headEnd/>
          <a:tailEnd/>
        </a:ln>
      </xdr:spPr>
      <xdr:txBody>
        <a:bodyPr vertOverflow="clip" wrap="square" lIns="27432" tIns="22860" rIns="0" bIns="0" anchor="ctr" upright="1"/>
        <a:lstStyle/>
        <a:p>
          <a:pPr algn="ctr" rtl="0">
            <a:defRPr sz="1000"/>
          </a:pPr>
          <a:fld id="{1E76BF07-53B6-4500-A961-683FBD159C87}" type="TxLink">
            <a:rPr lang="en-US" sz="1100" b="0" i="0" u="none" strike="noStrike">
              <a:solidFill>
                <a:srgbClr val="000000"/>
              </a:solidFill>
              <a:latin typeface="Arial Black" panose="020B0A04020102020204" pitchFamily="34" charset="0"/>
              <a:cs typeface="Arial" panose="020B0604020202020204" pitchFamily="34" charset="0"/>
            </a:rPr>
            <a:pPr algn="ctr" rtl="0">
              <a:defRPr sz="1000"/>
            </a:pPr>
            <a:t>#REF!</a:t>
          </a:fld>
          <a:endParaRPr lang="el-GR" sz="11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9</xdr:col>
      <xdr:colOff>565767</xdr:colOff>
      <xdr:row>19</xdr:row>
      <xdr:rowOff>90887</xdr:rowOff>
    </xdr:from>
    <xdr:to>
      <xdr:col>10</xdr:col>
      <xdr:colOff>606045</xdr:colOff>
      <xdr:row>20</xdr:row>
      <xdr:rowOff>103951</xdr:rowOff>
    </xdr:to>
    <xdr:sp macro="" textlink="'Variable Management'!D58">
      <xdr:nvSpPr>
        <xdr:cNvPr id="69" name="Text Box 268"/>
        <xdr:cNvSpPr txBox="1">
          <a:spLocks noChangeArrowheads="1" noTextEdit="1"/>
        </xdr:cNvSpPr>
      </xdr:nvSpPr>
      <xdr:spPr bwMode="auto">
        <a:xfrm>
          <a:off x="17057624" y="3737601"/>
          <a:ext cx="649878" cy="198121"/>
        </a:xfrm>
        <a:prstGeom prst="rect">
          <a:avLst/>
        </a:prstGeom>
        <a:noFill/>
        <a:ln w="9525">
          <a:noFill/>
          <a:miter lim="800000"/>
          <a:headEnd/>
          <a:tailEnd/>
        </a:ln>
      </xdr:spPr>
      <xdr:txBody>
        <a:bodyPr vertOverflow="clip" wrap="square" lIns="27432" tIns="22860" rIns="0" bIns="0" anchor="ctr" upright="1"/>
        <a:lstStyle/>
        <a:p>
          <a:pPr algn="ctr" rtl="0">
            <a:defRPr sz="1000"/>
          </a:pPr>
          <a:fld id="{1AA21EDF-5E2B-409E-B747-C4758D43C097}" type="TxLink">
            <a:rPr lang="en-US" sz="1200" b="1" i="0" u="none" strike="noStrike">
              <a:solidFill>
                <a:srgbClr val="000000"/>
              </a:solidFill>
              <a:latin typeface="Arial Black" panose="020B0A04020102020204" pitchFamily="34" charset="0"/>
              <a:cs typeface="Arial"/>
            </a:rPr>
            <a:pPr algn="ctr" rtl="0">
              <a:defRPr sz="1000"/>
            </a:pPr>
            <a:t>37</a:t>
          </a:fld>
          <a:endParaRPr lang="el-GR" sz="12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8</xdr:col>
      <xdr:colOff>538194</xdr:colOff>
      <xdr:row>19</xdr:row>
      <xdr:rowOff>41036</xdr:rowOff>
    </xdr:from>
    <xdr:to>
      <xdr:col>10</xdr:col>
      <xdr:colOff>136331</xdr:colOff>
      <xdr:row>21</xdr:row>
      <xdr:rowOff>2937</xdr:rowOff>
    </xdr:to>
    <xdr:sp macro="" textlink="">
      <xdr:nvSpPr>
        <xdr:cNvPr id="70" name="TextBox 69"/>
        <xdr:cNvSpPr txBox="1"/>
      </xdr:nvSpPr>
      <xdr:spPr>
        <a:xfrm>
          <a:off x="16413194" y="3609736"/>
          <a:ext cx="817337" cy="3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Black" panose="020B0A04020102020204" pitchFamily="34" charset="0"/>
            </a:rPr>
            <a:t>2.2µF</a:t>
          </a:r>
          <a:r>
            <a:rPr lang="en-US" sz="1200" baseline="0">
              <a:latin typeface="Arial Black" panose="020B0A04020102020204" pitchFamily="34" charset="0"/>
            </a:rPr>
            <a:t> X</a:t>
          </a:r>
          <a:endParaRPr lang="en-US" sz="1200">
            <a:latin typeface="Arial Black" panose="020B0A04020102020204" pitchFamily="34" charset="0"/>
          </a:endParaRPr>
        </a:p>
      </xdr:txBody>
    </xdr:sp>
    <xdr:clientData/>
  </xdr:twoCellAnchor>
  <xdr:twoCellAnchor>
    <xdr:from>
      <xdr:col>19</xdr:col>
      <xdr:colOff>0</xdr:colOff>
      <xdr:row>23</xdr:row>
      <xdr:rowOff>114300</xdr:rowOff>
    </xdr:from>
    <xdr:to>
      <xdr:col>20</xdr:col>
      <xdr:colOff>193039</xdr:colOff>
      <xdr:row>24</xdr:row>
      <xdr:rowOff>73884</xdr:rowOff>
    </xdr:to>
    <xdr:sp macro="" textlink="'Variable Management'!B76">
      <xdr:nvSpPr>
        <xdr:cNvPr id="66" name="Text Box 268"/>
        <xdr:cNvSpPr txBox="1">
          <a:spLocks noChangeArrowheads="1" noTextEdit="1"/>
        </xdr:cNvSpPr>
      </xdr:nvSpPr>
      <xdr:spPr bwMode="auto">
        <a:xfrm>
          <a:off x="22275800" y="5461000"/>
          <a:ext cx="802639" cy="175484"/>
        </a:xfrm>
        <a:prstGeom prst="rect">
          <a:avLst/>
        </a:prstGeom>
        <a:noFill/>
        <a:ln w="9525">
          <a:noFill/>
          <a:miter lim="800000"/>
          <a:headEnd/>
          <a:tailEnd/>
        </a:ln>
      </xdr:spPr>
      <xdr:txBody>
        <a:bodyPr vertOverflow="clip" wrap="square" lIns="27432" tIns="22860" rIns="0" bIns="0" anchor="ctr" upright="1"/>
        <a:lstStyle/>
        <a:p>
          <a:pPr algn="ctr" rtl="0">
            <a:defRPr sz="1000"/>
          </a:pPr>
          <a:fld id="{28784683-E51D-4DC1-9A01-5A7A0F150260}" type="TxLink">
            <a:rPr lang="en-US" sz="1200" b="0" i="0" u="none" strike="noStrike">
              <a:solidFill>
                <a:srgbClr val="000000"/>
              </a:solidFill>
              <a:latin typeface="Arial Black" panose="020B0A04020102020204" pitchFamily="34" charset="0"/>
              <a:cs typeface="Arial" panose="020B0604020202020204" pitchFamily="34" charset="0"/>
            </a:rPr>
            <a:pPr algn="ctr" rtl="0">
              <a:defRPr sz="1000"/>
            </a:pPr>
            <a:t>0.1µF</a:t>
          </a:fld>
          <a:endParaRPr lang="el-GR" sz="12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16</xdr:col>
      <xdr:colOff>480060</xdr:colOff>
      <xdr:row>53</xdr:row>
      <xdr:rowOff>127000</xdr:rowOff>
    </xdr:from>
    <xdr:to>
      <xdr:col>18</xdr:col>
      <xdr:colOff>63499</xdr:colOff>
      <xdr:row>54</xdr:row>
      <xdr:rowOff>86584</xdr:rowOff>
    </xdr:to>
    <xdr:sp macro="" textlink="'Variable Management'!B76">
      <xdr:nvSpPr>
        <xdr:cNvPr id="67" name="Text Box 268"/>
        <xdr:cNvSpPr txBox="1">
          <a:spLocks noChangeArrowheads="1" noTextEdit="1"/>
        </xdr:cNvSpPr>
      </xdr:nvSpPr>
      <xdr:spPr bwMode="auto">
        <a:xfrm>
          <a:off x="21231860" y="10528300"/>
          <a:ext cx="802639" cy="175484"/>
        </a:xfrm>
        <a:prstGeom prst="rect">
          <a:avLst/>
        </a:prstGeom>
        <a:noFill/>
        <a:ln w="9525">
          <a:noFill/>
          <a:miter lim="800000"/>
          <a:headEnd/>
          <a:tailEnd/>
        </a:ln>
      </xdr:spPr>
      <xdr:txBody>
        <a:bodyPr vertOverflow="clip" wrap="square" lIns="27432" tIns="22860" rIns="0" bIns="0" anchor="ctr" upright="1"/>
        <a:lstStyle/>
        <a:p>
          <a:pPr algn="ctr" rtl="0">
            <a:defRPr sz="1000"/>
          </a:pPr>
          <a:fld id="{28784683-E51D-4DC1-9A01-5A7A0F150260}" type="TxLink">
            <a:rPr lang="en-US" sz="1200" b="0" i="0" u="none" strike="noStrike">
              <a:solidFill>
                <a:srgbClr val="000000"/>
              </a:solidFill>
              <a:latin typeface="Arial Black" panose="020B0A04020102020204" pitchFamily="34" charset="0"/>
              <a:cs typeface="Arial" panose="020B0604020202020204" pitchFamily="34" charset="0"/>
            </a:rPr>
            <a:pPr algn="ctr" rtl="0">
              <a:defRPr sz="1000"/>
            </a:pPr>
            <a:t>0.1µF</a:t>
          </a:fld>
          <a:endParaRPr lang="el-GR" sz="12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8</xdr:col>
      <xdr:colOff>355600</xdr:colOff>
      <xdr:row>33</xdr:row>
      <xdr:rowOff>101600</xdr:rowOff>
    </xdr:from>
    <xdr:to>
      <xdr:col>10</xdr:col>
      <xdr:colOff>170543</xdr:colOff>
      <xdr:row>34</xdr:row>
      <xdr:rowOff>112486</xdr:rowOff>
    </xdr:to>
    <xdr:sp macro="" textlink="'Variable Management'!B15">
      <xdr:nvSpPr>
        <xdr:cNvPr id="29" name="Text Box 268"/>
        <xdr:cNvSpPr txBox="1">
          <a:spLocks noChangeArrowheads="1" noTextEdit="1"/>
        </xdr:cNvSpPr>
      </xdr:nvSpPr>
      <xdr:spPr bwMode="auto">
        <a:xfrm>
          <a:off x="16230600" y="6680200"/>
          <a:ext cx="1034143" cy="201386"/>
        </a:xfrm>
        <a:prstGeom prst="rect">
          <a:avLst/>
        </a:prstGeom>
        <a:noFill/>
        <a:ln w="9525">
          <a:noFill/>
          <a:miter lim="800000"/>
          <a:headEnd/>
          <a:tailEnd/>
        </a:ln>
      </xdr:spPr>
      <xdr:txBody>
        <a:bodyPr vertOverflow="clip" wrap="square" lIns="27432" tIns="22860" rIns="0" bIns="0" anchor="ctr" upright="1"/>
        <a:lstStyle/>
        <a:p>
          <a:pPr algn="ctr" rtl="0">
            <a:defRPr sz="1000"/>
          </a:pPr>
          <a:fld id="{7955A3FB-3DC0-41E2-BC1D-E1AA62782123}" type="TxLink">
            <a:rPr lang="en-US" sz="1400" b="1" i="0" u="none" strike="noStrike">
              <a:solidFill>
                <a:srgbClr val="000000"/>
              </a:solidFill>
              <a:latin typeface="Arial"/>
              <a:cs typeface="Arial"/>
            </a:rPr>
            <a:pPr algn="ctr" rtl="0">
              <a:defRPr sz="1000"/>
            </a:pPr>
            <a:t>0.0082µF</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15</xdr:col>
      <xdr:colOff>409525</xdr:colOff>
      <xdr:row>49</xdr:row>
      <xdr:rowOff>181621</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120" y="1097280"/>
          <a:ext cx="14293165" cy="8045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364311</xdr:colOff>
      <xdr:row>19</xdr:row>
      <xdr:rowOff>148773</xdr:rowOff>
    </xdr:from>
    <xdr:to>
      <xdr:col>16</xdr:col>
      <xdr:colOff>386083</xdr:colOff>
      <xdr:row>20</xdr:row>
      <xdr:rowOff>169038</xdr:rowOff>
    </xdr:to>
    <xdr:sp macro="" textlink="'Variable Management'!B8">
      <xdr:nvSpPr>
        <xdr:cNvPr id="22" name="Text Box 268"/>
        <xdr:cNvSpPr txBox="1">
          <a:spLocks noChangeArrowheads="1" noTextEdit="1"/>
        </xdr:cNvSpPr>
      </xdr:nvSpPr>
      <xdr:spPr bwMode="auto">
        <a:xfrm>
          <a:off x="15941768" y="3664859"/>
          <a:ext cx="631372" cy="205322"/>
        </a:xfrm>
        <a:prstGeom prst="rect">
          <a:avLst/>
        </a:prstGeom>
        <a:noFill/>
        <a:ln w="9525">
          <a:noFill/>
          <a:miter lim="800000"/>
          <a:headEnd/>
          <a:tailEnd/>
        </a:ln>
      </xdr:spPr>
      <xdr:txBody>
        <a:bodyPr vertOverflow="clip" wrap="square" lIns="27432" tIns="22860" rIns="0" bIns="0" anchor="ctr" upright="1"/>
        <a:lstStyle/>
        <a:p>
          <a:pPr algn="ctr" rtl="0">
            <a:defRPr sz="1000"/>
          </a:pPr>
          <a:fld id="{D02052EA-24D6-4BD4-B19B-749590664206}" type="TxLink">
            <a:rPr lang="en-US" sz="1600" b="1" i="0" u="none" strike="noStrike">
              <a:solidFill>
                <a:srgbClr val="FF0000"/>
              </a:solidFill>
              <a:latin typeface="Arial" panose="020B0604020202020204" pitchFamily="34" charset="0"/>
              <a:cs typeface="Arial" panose="020B0604020202020204" pitchFamily="34" charset="0"/>
            </a:rPr>
            <a:pPr algn="ctr" rtl="0">
              <a:defRPr sz="1000"/>
            </a:pPr>
            <a:t>6.6V</a:t>
          </a:fld>
          <a:endParaRPr lang="el-GR" sz="1600" b="1" i="0" strike="noStrike">
            <a:solidFill>
              <a:srgbClr val="FF0000"/>
            </a:solidFill>
            <a:latin typeface="Arial" pitchFamily="34" charset="0"/>
            <a:cs typeface="Arial" pitchFamily="34" charset="0"/>
          </a:endParaRPr>
        </a:p>
      </xdr:txBody>
    </xdr:sp>
    <xdr:clientData/>
  </xdr:twoCellAnchor>
  <xdr:twoCellAnchor>
    <xdr:from>
      <xdr:col>15</xdr:col>
      <xdr:colOff>353424</xdr:colOff>
      <xdr:row>20</xdr:row>
      <xdr:rowOff>165466</xdr:rowOff>
    </xdr:from>
    <xdr:to>
      <xdr:col>16</xdr:col>
      <xdr:colOff>375196</xdr:colOff>
      <xdr:row>22</xdr:row>
      <xdr:rowOff>8655</xdr:rowOff>
    </xdr:to>
    <xdr:sp macro="" textlink="'Variable Management'!B10">
      <xdr:nvSpPr>
        <xdr:cNvPr id="23" name="Text Box 268"/>
        <xdr:cNvSpPr txBox="1">
          <a:spLocks noChangeArrowheads="1" noTextEdit="1"/>
        </xdr:cNvSpPr>
      </xdr:nvSpPr>
      <xdr:spPr bwMode="auto">
        <a:xfrm>
          <a:off x="15930881" y="3866609"/>
          <a:ext cx="631372" cy="213303"/>
        </a:xfrm>
        <a:prstGeom prst="rect">
          <a:avLst/>
        </a:prstGeom>
        <a:noFill/>
        <a:ln w="9525">
          <a:noFill/>
          <a:miter lim="800000"/>
          <a:headEnd/>
          <a:tailEnd/>
        </a:ln>
      </xdr:spPr>
      <xdr:txBody>
        <a:bodyPr vertOverflow="clip" wrap="square" lIns="27432" tIns="22860" rIns="0" bIns="0" anchor="ctr" upright="1"/>
        <a:lstStyle/>
        <a:p>
          <a:pPr algn="ctr" rtl="0">
            <a:defRPr sz="1000"/>
          </a:pPr>
          <a:fld id="{B86878CF-D723-4014-9912-38E86A44C186}" type="TxLink">
            <a:rPr lang="en-US" sz="1600" b="1" i="0" u="none" strike="noStrike">
              <a:solidFill>
                <a:srgbClr val="FF0000"/>
              </a:solidFill>
              <a:latin typeface="Arial" panose="020B0604020202020204" pitchFamily="34" charset="0"/>
              <a:cs typeface="Arial" panose="020B0604020202020204" pitchFamily="34" charset="0"/>
            </a:rPr>
            <a:pPr algn="ctr" rtl="0">
              <a:defRPr sz="1000"/>
            </a:pPr>
            <a:t>3A</a:t>
          </a:fld>
          <a:endParaRPr lang="el-GR" sz="1600" b="1" i="0" strike="noStrike">
            <a:solidFill>
              <a:srgbClr val="FF0000"/>
            </a:solidFill>
            <a:latin typeface="Arial" pitchFamily="34" charset="0"/>
            <a:cs typeface="Arial" pitchFamily="34" charset="0"/>
          </a:endParaRPr>
        </a:p>
      </xdr:txBody>
    </xdr:sp>
    <xdr:clientData/>
  </xdr:twoCellAnchor>
  <xdr:twoCellAnchor>
    <xdr:from>
      <xdr:col>2</xdr:col>
      <xdr:colOff>443419</xdr:colOff>
      <xdr:row>7</xdr:row>
      <xdr:rowOff>165827</xdr:rowOff>
    </xdr:from>
    <xdr:to>
      <xdr:col>2</xdr:col>
      <xdr:colOff>1315003</xdr:colOff>
      <xdr:row>9</xdr:row>
      <xdr:rowOff>71427</xdr:rowOff>
    </xdr:to>
    <xdr:sp macro="" textlink="'Variable Management'!B7">
      <xdr:nvSpPr>
        <xdr:cNvPr id="24" name="Text Box 268"/>
        <xdr:cNvSpPr txBox="1">
          <a:spLocks noChangeArrowheads="1" noTextEdit="1"/>
        </xdr:cNvSpPr>
      </xdr:nvSpPr>
      <xdr:spPr bwMode="auto">
        <a:xfrm>
          <a:off x="2163362" y="1461227"/>
          <a:ext cx="871584" cy="275714"/>
        </a:xfrm>
        <a:prstGeom prst="rect">
          <a:avLst/>
        </a:prstGeom>
        <a:noFill/>
        <a:ln w="9525">
          <a:noFill/>
          <a:miter lim="800000"/>
          <a:headEnd/>
          <a:tailEnd/>
        </a:ln>
      </xdr:spPr>
      <xdr:txBody>
        <a:bodyPr vertOverflow="clip" wrap="square" lIns="27432" tIns="22860" rIns="0" bIns="0" anchor="ctr" upright="1"/>
        <a:lstStyle/>
        <a:p>
          <a:pPr algn="ctr" rtl="0">
            <a:defRPr sz="1000"/>
          </a:pPr>
          <a:fld id="{7E06BDE4-32C2-4DB5-A390-FE7268F29E52}" type="TxLink">
            <a:rPr lang="en-US" sz="1600" b="1" i="0" u="none" strike="noStrike">
              <a:solidFill>
                <a:srgbClr val="FF0000"/>
              </a:solidFill>
              <a:latin typeface="Arial" panose="020B0604020202020204" pitchFamily="34" charset="0"/>
              <a:cs typeface="Arial" panose="020B0604020202020204" pitchFamily="34" charset="0"/>
            </a:rPr>
            <a:pPr algn="ctr" rtl="0">
              <a:defRPr sz="1000"/>
            </a:pPr>
            <a:t>12V VIN(nom)</a:t>
          </a:fld>
          <a:endParaRPr lang="el-GR" sz="1600" b="1" i="0" strike="noStrike">
            <a:solidFill>
              <a:srgbClr val="FF0000"/>
            </a:solidFill>
            <a:latin typeface="Arial" pitchFamily="34" charset="0"/>
            <a:cs typeface="Arial" pitchFamily="34" charset="0"/>
          </a:endParaRPr>
        </a:p>
      </xdr:txBody>
    </xdr:sp>
    <xdr:clientData/>
  </xdr:twoCellAnchor>
  <xdr:twoCellAnchor>
    <xdr:from>
      <xdr:col>9</xdr:col>
      <xdr:colOff>1062059</xdr:colOff>
      <xdr:row>24</xdr:row>
      <xdr:rowOff>25404</xdr:rowOff>
    </xdr:from>
    <xdr:to>
      <xdr:col>10</xdr:col>
      <xdr:colOff>427058</xdr:colOff>
      <xdr:row>25</xdr:row>
      <xdr:rowOff>69979</xdr:rowOff>
    </xdr:to>
    <xdr:sp macro="" textlink="'Variable Management'!B24">
      <xdr:nvSpPr>
        <xdr:cNvPr id="25" name="Text Box 268"/>
        <xdr:cNvSpPr txBox="1">
          <a:spLocks noChangeArrowheads="1" noTextEdit="1"/>
        </xdr:cNvSpPr>
      </xdr:nvSpPr>
      <xdr:spPr bwMode="auto">
        <a:xfrm>
          <a:off x="12328773" y="4466775"/>
          <a:ext cx="551542" cy="229633"/>
        </a:xfrm>
        <a:prstGeom prst="rect">
          <a:avLst/>
        </a:prstGeom>
        <a:noFill/>
        <a:ln w="9525">
          <a:noFill/>
          <a:miter lim="800000"/>
          <a:headEnd/>
          <a:tailEnd/>
        </a:ln>
      </xdr:spPr>
      <xdr:txBody>
        <a:bodyPr vertOverflow="clip" wrap="square" lIns="27432" tIns="22860" rIns="0" bIns="0" anchor="ctr" upright="1"/>
        <a:lstStyle/>
        <a:p>
          <a:pPr algn="ctr" rtl="0">
            <a:defRPr sz="1000"/>
          </a:pPr>
          <a:fld id="{D9B4E27E-54EE-4988-9124-755BB7F50A59}" type="TxLink">
            <a:rPr lang="en-US" sz="1400" b="1" i="0" u="none" strike="noStrike">
              <a:solidFill>
                <a:sysClr val="windowText" lastClr="000000"/>
              </a:solidFill>
              <a:latin typeface="Arial" panose="020B0604020202020204" pitchFamily="34" charset="0"/>
              <a:cs typeface="Arial" panose="020B0604020202020204" pitchFamily="34" charset="0"/>
            </a:rPr>
            <a:pPr algn="ctr" rtl="0">
              <a:defRPr sz="1000"/>
            </a:pPr>
            <a:t>6.8µH</a:t>
          </a:fld>
          <a:endParaRPr lang="el-GR" sz="1400" b="1" i="0" strike="noStrike">
            <a:solidFill>
              <a:sysClr val="windowText" lastClr="000000"/>
            </a:solidFill>
            <a:latin typeface="Arial" pitchFamily="34" charset="0"/>
            <a:cs typeface="Arial" pitchFamily="34" charset="0"/>
          </a:endParaRPr>
        </a:p>
      </xdr:txBody>
    </xdr:sp>
    <xdr:clientData/>
  </xdr:twoCellAnchor>
  <xdr:twoCellAnchor>
    <xdr:from>
      <xdr:col>11</xdr:col>
      <xdr:colOff>415482</xdr:colOff>
      <xdr:row>24</xdr:row>
      <xdr:rowOff>3407</xdr:rowOff>
    </xdr:from>
    <xdr:to>
      <xdr:col>12</xdr:col>
      <xdr:colOff>440883</xdr:colOff>
      <xdr:row>25</xdr:row>
      <xdr:rowOff>8849</xdr:rowOff>
    </xdr:to>
    <xdr:sp macro="" textlink="'Variable Management'!C26">
      <xdr:nvSpPr>
        <xdr:cNvPr id="31" name="Text Box 268"/>
        <xdr:cNvSpPr txBox="1">
          <a:spLocks noChangeArrowheads="1" noTextEdit="1"/>
        </xdr:cNvSpPr>
      </xdr:nvSpPr>
      <xdr:spPr bwMode="auto">
        <a:xfrm>
          <a:off x="13554539" y="4444778"/>
          <a:ext cx="635001" cy="190500"/>
        </a:xfrm>
        <a:prstGeom prst="rect">
          <a:avLst/>
        </a:prstGeom>
        <a:noFill/>
        <a:ln w="9525">
          <a:noFill/>
          <a:miter lim="800000"/>
          <a:headEnd/>
          <a:tailEnd/>
        </a:ln>
      </xdr:spPr>
      <xdr:txBody>
        <a:bodyPr vertOverflow="clip" wrap="square" lIns="27432" tIns="22860" rIns="0" bIns="0" anchor="ctr" upright="1"/>
        <a:lstStyle/>
        <a:p>
          <a:pPr algn="ctr" rtl="0">
            <a:defRPr sz="1000"/>
          </a:pPr>
          <a:fld id="{9E45DB0D-D596-4C45-8067-4AD9A1F63933}" type="TxLink">
            <a:rPr lang="en-US" sz="1600" b="1" i="0" u="none" strike="noStrike">
              <a:solidFill>
                <a:srgbClr val="000000"/>
              </a:solidFill>
              <a:latin typeface="Calibri"/>
              <a:cs typeface="Arial" panose="020B0604020202020204" pitchFamily="34" charset="0"/>
            </a:rPr>
            <a:pPr algn="ctr" rtl="0">
              <a:defRPr sz="1000"/>
            </a:pPr>
            <a:t>10mΩ</a:t>
          </a:fld>
          <a:endParaRPr lang="el-GR" sz="16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3</xdr:col>
      <xdr:colOff>417653</xdr:colOff>
      <xdr:row>10</xdr:row>
      <xdr:rowOff>84322</xdr:rowOff>
    </xdr:from>
    <xdr:to>
      <xdr:col>3</xdr:col>
      <xdr:colOff>1067531</xdr:colOff>
      <xdr:row>11</xdr:row>
      <xdr:rowOff>97385</xdr:rowOff>
    </xdr:to>
    <xdr:sp macro="" textlink="'Variable Management'!D58">
      <xdr:nvSpPr>
        <xdr:cNvPr id="33" name="Text Box 268"/>
        <xdr:cNvSpPr txBox="1">
          <a:spLocks noChangeArrowheads="1" noTextEdit="1"/>
        </xdr:cNvSpPr>
      </xdr:nvSpPr>
      <xdr:spPr bwMode="auto">
        <a:xfrm>
          <a:off x="4684853" y="1934893"/>
          <a:ext cx="649878" cy="198121"/>
        </a:xfrm>
        <a:prstGeom prst="rect">
          <a:avLst/>
        </a:prstGeom>
        <a:noFill/>
        <a:ln w="9525">
          <a:noFill/>
          <a:miter lim="800000"/>
          <a:headEnd/>
          <a:tailEnd/>
        </a:ln>
      </xdr:spPr>
      <xdr:txBody>
        <a:bodyPr vertOverflow="clip" wrap="square" lIns="27432" tIns="22860" rIns="0" bIns="0" anchor="ctr" upright="1"/>
        <a:lstStyle/>
        <a:p>
          <a:pPr algn="ctr" rtl="0">
            <a:defRPr sz="1000"/>
          </a:pPr>
          <a:fld id="{1AA21EDF-5E2B-409E-B747-C4758D43C097}" type="TxLink">
            <a:rPr lang="en-US" sz="1100" b="1" i="0" u="none" strike="noStrike">
              <a:solidFill>
                <a:srgbClr val="000000"/>
              </a:solidFill>
              <a:latin typeface="Arial Black" panose="020B0A04020102020204" pitchFamily="34" charset="0"/>
              <a:cs typeface="Arial"/>
            </a:rPr>
            <a:pPr algn="ctr" rtl="0">
              <a:defRPr sz="1000"/>
            </a:pPr>
            <a:t>37</a:t>
          </a:fld>
          <a:endParaRPr lang="el-GR" sz="11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8</xdr:col>
      <xdr:colOff>43153</xdr:colOff>
      <xdr:row>40</xdr:row>
      <xdr:rowOff>113351</xdr:rowOff>
    </xdr:from>
    <xdr:to>
      <xdr:col>8</xdr:col>
      <xdr:colOff>679968</xdr:colOff>
      <xdr:row>41</xdr:row>
      <xdr:rowOff>107909</xdr:rowOff>
    </xdr:to>
    <xdr:sp macro="" textlink="'Variable Management'!B72">
      <xdr:nvSpPr>
        <xdr:cNvPr id="34" name="Text Box 268"/>
        <xdr:cNvSpPr txBox="1">
          <a:spLocks noChangeArrowheads="1" noTextEdit="1"/>
        </xdr:cNvSpPr>
      </xdr:nvSpPr>
      <xdr:spPr bwMode="auto">
        <a:xfrm>
          <a:off x="10068896" y="7515637"/>
          <a:ext cx="636815" cy="179615"/>
        </a:xfrm>
        <a:prstGeom prst="rect">
          <a:avLst/>
        </a:prstGeom>
        <a:noFill/>
        <a:ln w="9525">
          <a:noFill/>
          <a:miter lim="800000"/>
          <a:headEnd/>
          <a:tailEnd/>
        </a:ln>
      </xdr:spPr>
      <xdr:txBody>
        <a:bodyPr vertOverflow="clip" wrap="square" lIns="27432" tIns="22860" rIns="0" bIns="0" anchor="ctr" upright="1"/>
        <a:lstStyle/>
        <a:p>
          <a:pPr algn="ctr" rtl="0">
            <a:defRPr sz="1000"/>
          </a:pPr>
          <a:fld id="{E075A221-FE56-48CB-BAA4-889CD26B8EAE}" type="TxLink">
            <a:rPr lang="en-US" sz="1400" b="0" i="0" u="none" strike="noStrike">
              <a:solidFill>
                <a:srgbClr val="000000"/>
              </a:solidFill>
              <a:latin typeface="Arial Black" panose="020B0A04020102020204" pitchFamily="34" charset="0"/>
              <a:cs typeface="Arial" panose="020B0604020202020204" pitchFamily="34" charset="0"/>
            </a:rPr>
            <a:pPr algn="ctr" rtl="0">
              <a:defRPr sz="1000"/>
            </a:pPr>
            <a:t>6.6kΩ</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2</xdr:col>
      <xdr:colOff>988401</xdr:colOff>
      <xdr:row>26</xdr:row>
      <xdr:rowOff>136937</xdr:rowOff>
    </xdr:from>
    <xdr:to>
      <xdr:col>2</xdr:col>
      <xdr:colOff>1854539</xdr:colOff>
      <xdr:row>27</xdr:row>
      <xdr:rowOff>121922</xdr:rowOff>
    </xdr:to>
    <xdr:sp macro="" textlink="'Variable Management'!B74">
      <xdr:nvSpPr>
        <xdr:cNvPr id="36" name="Text Box 268"/>
        <xdr:cNvSpPr txBox="1">
          <a:spLocks noChangeArrowheads="1" noTextEdit="1"/>
        </xdr:cNvSpPr>
      </xdr:nvSpPr>
      <xdr:spPr bwMode="auto">
        <a:xfrm>
          <a:off x="2708344" y="4948423"/>
          <a:ext cx="866138" cy="170042"/>
        </a:xfrm>
        <a:prstGeom prst="rect">
          <a:avLst/>
        </a:prstGeom>
        <a:noFill/>
        <a:ln w="9525">
          <a:noFill/>
          <a:miter lim="800000"/>
          <a:headEnd/>
          <a:tailEnd/>
        </a:ln>
      </xdr:spPr>
      <xdr:txBody>
        <a:bodyPr vertOverflow="clip" wrap="square" lIns="27432" tIns="22860" rIns="0" bIns="0" anchor="ctr" upright="1"/>
        <a:lstStyle/>
        <a:p>
          <a:pPr algn="ctr" rtl="0">
            <a:defRPr sz="1000"/>
          </a:pPr>
          <a:fld id="{7E07B85F-0172-4CD9-97CE-DFE7CCFA6B5B}" type="TxLink">
            <a:rPr lang="en-US" sz="1400" b="0" i="0" u="none" strike="noStrike">
              <a:solidFill>
                <a:srgbClr val="000000"/>
              </a:solidFill>
              <a:latin typeface="Arial Black" panose="020B0A04020102020204" pitchFamily="34" charset="0"/>
              <a:cs typeface="Arial" panose="020B0604020202020204" pitchFamily="34" charset="0"/>
            </a:rPr>
            <a:pPr algn="ctr" rtl="0">
              <a:defRPr sz="1000"/>
            </a:pPr>
            <a:t>0.01µF</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1</xdr:col>
      <xdr:colOff>653115</xdr:colOff>
      <xdr:row>26</xdr:row>
      <xdr:rowOff>111541</xdr:rowOff>
    </xdr:from>
    <xdr:to>
      <xdr:col>2</xdr:col>
      <xdr:colOff>439754</xdr:colOff>
      <xdr:row>27</xdr:row>
      <xdr:rowOff>101511</xdr:rowOff>
    </xdr:to>
    <xdr:sp macro="" textlink="'Variable Management'!B67">
      <xdr:nvSpPr>
        <xdr:cNvPr id="38" name="Text Box 268"/>
        <xdr:cNvSpPr txBox="1">
          <a:spLocks noChangeArrowheads="1" noTextEdit="1"/>
        </xdr:cNvSpPr>
      </xdr:nvSpPr>
      <xdr:spPr bwMode="auto">
        <a:xfrm>
          <a:off x="1349801" y="4923027"/>
          <a:ext cx="809896" cy="175027"/>
        </a:xfrm>
        <a:prstGeom prst="rect">
          <a:avLst/>
        </a:prstGeom>
        <a:noFill/>
        <a:ln w="9525">
          <a:noFill/>
          <a:miter lim="800000"/>
          <a:headEnd/>
          <a:tailEnd/>
        </a:ln>
      </xdr:spPr>
      <xdr:txBody>
        <a:bodyPr vertOverflow="clip" wrap="square" lIns="27432" tIns="22860" rIns="0" bIns="0" anchor="ctr" upright="1"/>
        <a:lstStyle/>
        <a:p>
          <a:pPr algn="ctr" rtl="0">
            <a:defRPr sz="1000"/>
          </a:pPr>
          <a:fld id="{57D4379A-5934-44A7-B9F4-3B0A6364B302}" type="TxLink">
            <a:rPr lang="en-US" sz="1400" b="0" i="0" u="none" strike="noStrike">
              <a:solidFill>
                <a:srgbClr val="000000"/>
              </a:solidFill>
              <a:latin typeface="Arial Black" panose="020B0A04020102020204" pitchFamily="34" charset="0"/>
              <a:cs typeface="Arial" panose="020B0604020202020204" pitchFamily="34" charset="0"/>
            </a:rPr>
            <a:pPr algn="ctr" rtl="0">
              <a:defRPr sz="1000"/>
            </a:pPr>
            <a:t>0.068µF</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8</xdr:col>
      <xdr:colOff>732580</xdr:colOff>
      <xdr:row>40</xdr:row>
      <xdr:rowOff>140116</xdr:rowOff>
    </xdr:from>
    <xdr:to>
      <xdr:col>9</xdr:col>
      <xdr:colOff>300056</xdr:colOff>
      <xdr:row>41</xdr:row>
      <xdr:rowOff>124282</xdr:rowOff>
    </xdr:to>
    <xdr:sp macro="" textlink="'Variable Management'!B76">
      <xdr:nvSpPr>
        <xdr:cNvPr id="40" name="Text Box 268"/>
        <xdr:cNvSpPr txBox="1">
          <a:spLocks noChangeArrowheads="1" noTextEdit="1"/>
        </xdr:cNvSpPr>
      </xdr:nvSpPr>
      <xdr:spPr bwMode="auto">
        <a:xfrm>
          <a:off x="10758323" y="7542402"/>
          <a:ext cx="808447" cy="169223"/>
        </a:xfrm>
        <a:prstGeom prst="rect">
          <a:avLst/>
        </a:prstGeom>
        <a:noFill/>
        <a:ln w="9525">
          <a:noFill/>
          <a:miter lim="800000"/>
          <a:headEnd/>
          <a:tailEnd/>
        </a:ln>
      </xdr:spPr>
      <xdr:txBody>
        <a:bodyPr vertOverflow="clip" wrap="square" lIns="27432" tIns="22860" rIns="0" bIns="0" anchor="ctr" upright="1"/>
        <a:lstStyle/>
        <a:p>
          <a:pPr algn="ctr" rtl="0">
            <a:defRPr sz="1000"/>
          </a:pPr>
          <a:fld id="{2FE59A12-7ADB-4DEE-AF49-E95538234A68}" type="TxLink">
            <a:rPr lang="en-US" sz="1400" b="0" i="0" u="none" strike="noStrike">
              <a:solidFill>
                <a:srgbClr val="000000"/>
              </a:solidFill>
              <a:latin typeface="Arial Black" panose="020B0A04020102020204" pitchFamily="34" charset="0"/>
              <a:cs typeface="Arial" panose="020B0604020202020204" pitchFamily="34" charset="0"/>
            </a:rPr>
            <a:pPr algn="ctr" rtl="0">
              <a:defRPr sz="1000"/>
            </a:pPr>
            <a:t>0.1µF</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16</xdr:col>
      <xdr:colOff>141061</xdr:colOff>
      <xdr:row>25</xdr:row>
      <xdr:rowOff>151493</xdr:rowOff>
    </xdr:from>
    <xdr:to>
      <xdr:col>16</xdr:col>
      <xdr:colOff>602343</xdr:colOff>
      <xdr:row>26</xdr:row>
      <xdr:rowOff>137886</xdr:rowOff>
    </xdr:to>
    <xdr:sp macro="" textlink="'Variable Management'!D44">
      <xdr:nvSpPr>
        <xdr:cNvPr id="52" name="Text Box 268"/>
        <xdr:cNvSpPr txBox="1">
          <a:spLocks noChangeArrowheads="1" noTextEdit="1"/>
        </xdr:cNvSpPr>
      </xdr:nvSpPr>
      <xdr:spPr bwMode="auto">
        <a:xfrm>
          <a:off x="16328118" y="4777922"/>
          <a:ext cx="461282" cy="171450"/>
        </a:xfrm>
        <a:prstGeom prst="rect">
          <a:avLst/>
        </a:prstGeom>
        <a:noFill/>
        <a:ln w="9525">
          <a:noFill/>
          <a:miter lim="800000"/>
          <a:headEnd/>
          <a:tailEnd/>
        </a:ln>
      </xdr:spPr>
      <xdr:txBody>
        <a:bodyPr vertOverflow="clip" wrap="square" lIns="27432" tIns="22860" rIns="0" bIns="0" anchor="ctr" upright="1"/>
        <a:lstStyle/>
        <a:p>
          <a:pPr algn="ctr" rtl="0">
            <a:defRPr sz="1000"/>
          </a:pPr>
          <a:fld id="{A37AD18C-8433-4007-8CEF-4AAFA8508C5F}" type="TxLink">
            <a:rPr lang="en-US" sz="1200" b="1" i="0" u="none" strike="noStrike">
              <a:solidFill>
                <a:srgbClr val="000000"/>
              </a:solidFill>
              <a:latin typeface="Arial Black" panose="020B0A04020102020204" pitchFamily="34" charset="0"/>
              <a:cs typeface="Arial" panose="020B0604020202020204" pitchFamily="34" charset="0"/>
            </a:rPr>
            <a:pPr algn="ctr" rtl="0">
              <a:defRPr sz="1000"/>
            </a:pPr>
            <a:t>1</a:t>
          </a:fld>
          <a:endParaRPr lang="el-GR" sz="12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15</xdr:col>
      <xdr:colOff>131533</xdr:colOff>
      <xdr:row>25</xdr:row>
      <xdr:rowOff>96610</xdr:rowOff>
    </xdr:from>
    <xdr:to>
      <xdr:col>16</xdr:col>
      <xdr:colOff>341084</xdr:colOff>
      <xdr:row>27</xdr:row>
      <xdr:rowOff>51254</xdr:rowOff>
    </xdr:to>
    <xdr:sp macro="" textlink="">
      <xdr:nvSpPr>
        <xdr:cNvPr id="43" name="TextBox 42"/>
        <xdr:cNvSpPr txBox="1"/>
      </xdr:nvSpPr>
      <xdr:spPr>
        <a:xfrm>
          <a:off x="15708990" y="4723039"/>
          <a:ext cx="819151" cy="3247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Black" panose="020B0A04020102020204" pitchFamily="34" charset="0"/>
            </a:rPr>
            <a:t>82µF</a:t>
          </a:r>
          <a:r>
            <a:rPr lang="en-US" sz="1200" baseline="0">
              <a:latin typeface="Arial Black" panose="020B0A04020102020204" pitchFamily="34" charset="0"/>
            </a:rPr>
            <a:t> X</a:t>
          </a:r>
          <a:endParaRPr lang="en-US" sz="1200">
            <a:latin typeface="Arial Black" panose="020B0A04020102020204" pitchFamily="34" charset="0"/>
          </a:endParaRPr>
        </a:p>
      </xdr:txBody>
    </xdr:sp>
    <xdr:clientData/>
  </xdr:twoCellAnchor>
  <xdr:twoCellAnchor>
    <xdr:from>
      <xdr:col>15</xdr:col>
      <xdr:colOff>176166</xdr:colOff>
      <xdr:row>27</xdr:row>
      <xdr:rowOff>19409</xdr:rowOff>
    </xdr:from>
    <xdr:to>
      <xdr:col>16</xdr:col>
      <xdr:colOff>315686</xdr:colOff>
      <xdr:row>28</xdr:row>
      <xdr:rowOff>159110</xdr:rowOff>
    </xdr:to>
    <xdr:sp macro="" textlink="">
      <xdr:nvSpPr>
        <xdr:cNvPr id="62" name="TextBox 61"/>
        <xdr:cNvSpPr txBox="1"/>
      </xdr:nvSpPr>
      <xdr:spPr>
        <a:xfrm>
          <a:off x="15753623" y="5015952"/>
          <a:ext cx="749120" cy="3247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Black" panose="020B0A04020102020204" pitchFamily="34" charset="0"/>
            </a:rPr>
            <a:t>47µF</a:t>
          </a:r>
          <a:r>
            <a:rPr lang="en-US" sz="1200" baseline="0">
              <a:latin typeface="Arial Black" panose="020B0A04020102020204" pitchFamily="34" charset="0"/>
            </a:rPr>
            <a:t> X</a:t>
          </a:r>
          <a:endParaRPr lang="en-US" sz="1200">
            <a:latin typeface="Arial Black" panose="020B0A04020102020204" pitchFamily="34" charset="0"/>
          </a:endParaRPr>
        </a:p>
      </xdr:txBody>
    </xdr:sp>
    <xdr:clientData/>
  </xdr:twoCellAnchor>
  <xdr:twoCellAnchor>
    <xdr:from>
      <xdr:col>16</xdr:col>
      <xdr:colOff>203563</xdr:colOff>
      <xdr:row>27</xdr:row>
      <xdr:rowOff>70027</xdr:rowOff>
    </xdr:from>
    <xdr:to>
      <xdr:col>17</xdr:col>
      <xdr:colOff>55245</xdr:colOff>
      <xdr:row>28</xdr:row>
      <xdr:rowOff>54243</xdr:rowOff>
    </xdr:to>
    <xdr:sp macro="" textlink="'Variable Management'!D46">
      <xdr:nvSpPr>
        <xdr:cNvPr id="63" name="Text Box 268"/>
        <xdr:cNvSpPr txBox="1">
          <a:spLocks noChangeArrowheads="1" noTextEdit="1"/>
        </xdr:cNvSpPr>
      </xdr:nvSpPr>
      <xdr:spPr bwMode="auto">
        <a:xfrm>
          <a:off x="16390620" y="5066570"/>
          <a:ext cx="461282" cy="169273"/>
        </a:xfrm>
        <a:prstGeom prst="rect">
          <a:avLst/>
        </a:prstGeom>
        <a:noFill/>
        <a:ln w="9525">
          <a:noFill/>
          <a:miter lim="800000"/>
          <a:headEnd/>
          <a:tailEnd/>
        </a:ln>
      </xdr:spPr>
      <xdr:txBody>
        <a:bodyPr vertOverflow="clip" wrap="square" lIns="27432" tIns="22860" rIns="0" bIns="0" anchor="ctr" upright="1"/>
        <a:lstStyle/>
        <a:p>
          <a:pPr algn="ctr" rtl="0">
            <a:defRPr sz="1000"/>
          </a:pPr>
          <a:fld id="{E5A39025-991C-4D31-8C62-FC410813E62E}" type="TxLink">
            <a:rPr lang="en-US" sz="1100" b="0" i="0" u="none" strike="noStrike">
              <a:solidFill>
                <a:srgbClr val="000000"/>
              </a:solidFill>
              <a:latin typeface="Arial Black" panose="020B0A04020102020204" pitchFamily="34" charset="0"/>
              <a:cs typeface="Arial" panose="020B0604020202020204" pitchFamily="34" charset="0"/>
            </a:rPr>
            <a:pPr algn="ctr" rtl="0">
              <a:defRPr sz="1000"/>
            </a:pPr>
            <a:t>1</a:t>
          </a:fld>
          <a:endParaRPr lang="el-GR" sz="11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2</xdr:col>
      <xdr:colOff>2422805</xdr:colOff>
      <xdr:row>10</xdr:row>
      <xdr:rowOff>31569</xdr:rowOff>
    </xdr:from>
    <xdr:to>
      <xdr:col>3</xdr:col>
      <xdr:colOff>694699</xdr:colOff>
      <xdr:row>11</xdr:row>
      <xdr:rowOff>169091</xdr:rowOff>
    </xdr:to>
    <xdr:sp macro="" textlink="">
      <xdr:nvSpPr>
        <xdr:cNvPr id="72" name="TextBox 71"/>
        <xdr:cNvSpPr txBox="1"/>
      </xdr:nvSpPr>
      <xdr:spPr>
        <a:xfrm>
          <a:off x="4142748" y="1882140"/>
          <a:ext cx="819151" cy="322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Black" panose="020B0A04020102020204" pitchFamily="34" charset="0"/>
            </a:rPr>
            <a:t>2.2µF</a:t>
          </a:r>
          <a:r>
            <a:rPr lang="en-US" sz="1200" baseline="0">
              <a:latin typeface="Arial Black" panose="020B0A04020102020204" pitchFamily="34" charset="0"/>
            </a:rPr>
            <a:t> X</a:t>
          </a:r>
          <a:endParaRPr lang="en-US" sz="1200">
            <a:latin typeface="Arial Black" panose="020B0A04020102020204" pitchFamily="34" charset="0"/>
          </a:endParaRPr>
        </a:p>
      </xdr:txBody>
    </xdr:sp>
    <xdr:clientData/>
  </xdr:twoCellAnchor>
  <xdr:twoCellAnchor>
    <xdr:from>
      <xdr:col>8</xdr:col>
      <xdr:colOff>335280</xdr:colOff>
      <xdr:row>17</xdr:row>
      <xdr:rowOff>152400</xdr:rowOff>
    </xdr:from>
    <xdr:to>
      <xdr:col>8</xdr:col>
      <xdr:colOff>1137919</xdr:colOff>
      <xdr:row>18</xdr:row>
      <xdr:rowOff>145004</xdr:rowOff>
    </xdr:to>
    <xdr:sp macro="" textlink="'Variable Management'!B76">
      <xdr:nvSpPr>
        <xdr:cNvPr id="41" name="Text Box 268"/>
        <xdr:cNvSpPr txBox="1">
          <a:spLocks noChangeArrowheads="1" noTextEdit="1"/>
        </xdr:cNvSpPr>
      </xdr:nvSpPr>
      <xdr:spPr bwMode="auto">
        <a:xfrm>
          <a:off x="10378440" y="3261360"/>
          <a:ext cx="802639" cy="175484"/>
        </a:xfrm>
        <a:prstGeom prst="rect">
          <a:avLst/>
        </a:prstGeom>
        <a:noFill/>
        <a:ln w="9525">
          <a:noFill/>
          <a:miter lim="800000"/>
          <a:headEnd/>
          <a:tailEnd/>
        </a:ln>
      </xdr:spPr>
      <xdr:txBody>
        <a:bodyPr vertOverflow="clip" wrap="square" lIns="27432" tIns="22860" rIns="0" bIns="0" anchor="ctr" upright="1"/>
        <a:lstStyle/>
        <a:p>
          <a:pPr algn="ctr" rtl="0">
            <a:defRPr sz="1000"/>
          </a:pPr>
          <a:fld id="{28784683-E51D-4DC1-9A01-5A7A0F150260}" type="TxLink">
            <a:rPr lang="en-US" sz="1200" b="0" i="0" u="none" strike="noStrike">
              <a:solidFill>
                <a:srgbClr val="000000"/>
              </a:solidFill>
              <a:latin typeface="Arial Black" panose="020B0A04020102020204" pitchFamily="34" charset="0"/>
              <a:cs typeface="Arial" panose="020B0604020202020204" pitchFamily="34" charset="0"/>
            </a:rPr>
            <a:pPr algn="ctr" rtl="0">
              <a:defRPr sz="1000"/>
            </a:pPr>
            <a:t>0.1µF</a:t>
          </a:fld>
          <a:endParaRPr lang="el-GR" sz="12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8</xdr:col>
      <xdr:colOff>1158240</xdr:colOff>
      <xdr:row>15</xdr:row>
      <xdr:rowOff>0</xdr:rowOff>
    </xdr:from>
    <xdr:to>
      <xdr:col>9</xdr:col>
      <xdr:colOff>725897</xdr:colOff>
      <xdr:row>16</xdr:row>
      <xdr:rowOff>134621</xdr:rowOff>
    </xdr:to>
    <xdr:sp macro="" textlink="">
      <xdr:nvSpPr>
        <xdr:cNvPr id="42" name="TextBox 41"/>
        <xdr:cNvSpPr txBox="1"/>
      </xdr:nvSpPr>
      <xdr:spPr>
        <a:xfrm>
          <a:off x="11201400" y="2743200"/>
          <a:ext cx="817337" cy="317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latin typeface="Arial Black" panose="020B0A04020102020204" pitchFamily="34" charset="0"/>
            </a:rPr>
            <a:t>2.2µF</a:t>
          </a:r>
          <a:r>
            <a:rPr lang="en-US" sz="1200" baseline="0">
              <a:latin typeface="Arial Black" panose="020B0A04020102020204" pitchFamily="34" charset="0"/>
            </a:rPr>
            <a:t> </a:t>
          </a:r>
          <a:endParaRPr lang="en-US" sz="1200">
            <a:latin typeface="Arial Black" panose="020B0A04020102020204" pitchFamily="34" charset="0"/>
          </a:endParaRPr>
        </a:p>
      </xdr:txBody>
    </xdr:sp>
    <xdr:clientData/>
  </xdr:twoCellAnchor>
  <xdr:twoCellAnchor>
    <xdr:from>
      <xdr:col>2</xdr:col>
      <xdr:colOff>2177</xdr:colOff>
      <xdr:row>5</xdr:row>
      <xdr:rowOff>171994</xdr:rowOff>
    </xdr:from>
    <xdr:to>
      <xdr:col>2</xdr:col>
      <xdr:colOff>638992</xdr:colOff>
      <xdr:row>6</xdr:row>
      <xdr:rowOff>166552</xdr:rowOff>
    </xdr:to>
    <xdr:sp macro="" textlink="'Variable Management'!B72">
      <xdr:nvSpPr>
        <xdr:cNvPr id="20" name="Text Box 268"/>
        <xdr:cNvSpPr txBox="1">
          <a:spLocks noChangeArrowheads="1" noTextEdit="1"/>
        </xdr:cNvSpPr>
      </xdr:nvSpPr>
      <xdr:spPr bwMode="auto">
        <a:xfrm>
          <a:off x="1722120" y="1097280"/>
          <a:ext cx="636815" cy="179615"/>
        </a:xfrm>
        <a:prstGeom prst="rect">
          <a:avLst/>
        </a:prstGeom>
        <a:noFill/>
        <a:ln w="9525">
          <a:noFill/>
          <a:miter lim="800000"/>
          <a:headEnd/>
          <a:tailEnd/>
        </a:ln>
      </xdr:spPr>
      <xdr:txBody>
        <a:bodyPr vertOverflow="clip" wrap="square" lIns="27432" tIns="22860" rIns="0" bIns="0" anchor="ctr" upright="1"/>
        <a:lstStyle/>
        <a:p>
          <a:pPr algn="ctr" rtl="0">
            <a:defRPr sz="1000"/>
          </a:pPr>
          <a:fld id="{E075A221-FE56-48CB-BAA4-889CD26B8EAE}" type="TxLink">
            <a:rPr lang="en-US" sz="1400" b="0" i="0" u="none" strike="noStrike">
              <a:solidFill>
                <a:srgbClr val="000000"/>
              </a:solidFill>
              <a:latin typeface="Arial Black" panose="020B0A04020102020204" pitchFamily="34" charset="0"/>
              <a:cs typeface="Arial" panose="020B0604020202020204" pitchFamily="34" charset="0"/>
            </a:rPr>
            <a:pPr algn="ctr" rtl="0">
              <a:defRPr sz="1000"/>
            </a:pPr>
            <a:t>6.6kΩ</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twoCellAnchor>
    <xdr:from>
      <xdr:col>2</xdr:col>
      <xdr:colOff>2155371</xdr:colOff>
      <xdr:row>26</xdr:row>
      <xdr:rowOff>141516</xdr:rowOff>
    </xdr:from>
    <xdr:to>
      <xdr:col>3</xdr:col>
      <xdr:colOff>642257</xdr:colOff>
      <xdr:row>27</xdr:row>
      <xdr:rowOff>157845</xdr:rowOff>
    </xdr:to>
    <xdr:sp macro="" textlink="'Variable Management'!B15">
      <xdr:nvSpPr>
        <xdr:cNvPr id="26" name="Text Box 268"/>
        <xdr:cNvSpPr txBox="1">
          <a:spLocks noChangeArrowheads="1" noTextEdit="1"/>
        </xdr:cNvSpPr>
      </xdr:nvSpPr>
      <xdr:spPr bwMode="auto">
        <a:xfrm>
          <a:off x="3875314" y="4953002"/>
          <a:ext cx="1034143" cy="201386"/>
        </a:xfrm>
        <a:prstGeom prst="rect">
          <a:avLst/>
        </a:prstGeom>
        <a:noFill/>
        <a:ln w="9525">
          <a:noFill/>
          <a:miter lim="800000"/>
          <a:headEnd/>
          <a:tailEnd/>
        </a:ln>
      </xdr:spPr>
      <xdr:txBody>
        <a:bodyPr vertOverflow="clip" wrap="square" lIns="27432" tIns="22860" rIns="0" bIns="0" anchor="ctr" upright="1"/>
        <a:lstStyle/>
        <a:p>
          <a:pPr algn="ctr" rtl="0">
            <a:defRPr sz="1000"/>
          </a:pPr>
          <a:fld id="{7955A3FB-3DC0-41E2-BC1D-E1AA62782123}" type="TxLink">
            <a:rPr lang="en-US" sz="1400" b="1" i="0" u="none" strike="noStrike">
              <a:solidFill>
                <a:srgbClr val="000000"/>
              </a:solidFill>
              <a:latin typeface="Arial"/>
              <a:cs typeface="Arial"/>
            </a:rPr>
            <a:pPr algn="ctr" rtl="0">
              <a:defRPr sz="1000"/>
            </a:pPr>
            <a:t>0.0082µF</a:t>
          </a:fld>
          <a:endParaRPr lang="el-GR" sz="1400" b="1" i="0" strike="noStrike">
            <a:solidFill>
              <a:sysClr val="windowText" lastClr="000000"/>
            </a:solidFill>
            <a:latin typeface="Arial Black" panose="020B0A04020102020204"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rry\terry\LM5119\LM(2)5119QuickSta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0414117\AppData\Local\Microsoft\Windows\Temporary%20Internet%20Files\Content.Outlook\L1KTAZ5G\LM27403%20PWM%20Regulator%20Design%20Tool%20-%20unlock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M(2)5119 Calculator"/>
      <sheetName val="Power Dissipation"/>
      <sheetName val="Bode Plots"/>
    </sheetNames>
    <sheetDataSet>
      <sheetData sheetId="0" refreshError="1">
        <row r="12">
          <cell r="S12" t="str">
            <v>Interleaved</v>
          </cell>
        </row>
        <row r="13">
          <cell r="S13" t="str">
            <v>Dual Output</v>
          </cell>
        </row>
        <row r="44">
          <cell r="D44">
            <v>0.01</v>
          </cell>
        </row>
        <row r="59">
          <cell r="D59">
            <v>31249.999999999993</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Regulator"/>
      <sheetName val="BOM &amp; Schematic"/>
      <sheetName val="EVMs"/>
      <sheetName val="Variable Management"/>
      <sheetName val="Standard Value Calculator"/>
      <sheetName val="Bode Plots Calculations"/>
      <sheetName val="Power Calculations"/>
      <sheetName val="Snubber"/>
      <sheetName val="Parralell Output Caps"/>
    </sheetNames>
    <sheetDataSet>
      <sheetData sheetId="0" refreshError="1"/>
      <sheetData sheetId="1" refreshError="1"/>
      <sheetData sheetId="2" refreshError="1"/>
      <sheetData sheetId="3" refreshError="1">
        <row r="45">
          <cell r="B45">
            <v>25.96875</v>
          </cell>
        </row>
      </sheetData>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186"/>
  <sheetViews>
    <sheetView zoomScale="60" zoomScaleNormal="60" workbookViewId="0">
      <selection activeCell="E44" sqref="E44"/>
    </sheetView>
  </sheetViews>
  <sheetFormatPr defaultRowHeight="15.75" x14ac:dyDescent="0.25"/>
  <cols>
    <col min="1" max="3" width="9.140625" style="1"/>
    <col min="4" max="4" width="10.7109375" style="1" customWidth="1"/>
    <col min="5" max="5" width="12.7109375" style="1" customWidth="1"/>
    <col min="6" max="6" width="11.85546875" style="1" customWidth="1"/>
    <col min="7" max="7" width="11" style="1" customWidth="1"/>
    <col min="8" max="8" width="10.85546875" style="1" customWidth="1"/>
    <col min="9" max="9" width="10.42578125" style="1" customWidth="1"/>
    <col min="10" max="11" width="9.140625" style="1"/>
    <col min="12" max="12" width="10.42578125" style="1" customWidth="1"/>
    <col min="13" max="16" width="9.140625" style="1"/>
    <col min="17" max="17" width="14.85546875" style="1" customWidth="1"/>
    <col min="18" max="18" width="10.5703125" style="1" bestFit="1" customWidth="1"/>
    <col min="19" max="19" width="9.5703125" style="1" customWidth="1"/>
    <col min="20" max="20" width="13.28515625" style="1" customWidth="1"/>
    <col min="21" max="22" width="9.140625" style="1"/>
    <col min="23" max="23" width="13.7109375" style="1" bestFit="1" customWidth="1"/>
    <col min="24" max="24" width="9.140625" style="1"/>
    <col min="25" max="25" width="13.5703125" style="1" bestFit="1" customWidth="1"/>
    <col min="26" max="259" width="9.140625" style="1"/>
    <col min="260" max="260" width="10.7109375" style="1" customWidth="1"/>
    <col min="261" max="261" width="12.7109375" style="1" customWidth="1"/>
    <col min="262" max="262" width="11.85546875" style="1" customWidth="1"/>
    <col min="263" max="263" width="11" style="1" customWidth="1"/>
    <col min="264" max="264" width="10.85546875" style="1" customWidth="1"/>
    <col min="265" max="265" width="10.42578125" style="1" customWidth="1"/>
    <col min="266" max="267" width="9.140625" style="1"/>
    <col min="268" max="268" width="10.42578125" style="1" customWidth="1"/>
    <col min="269" max="272" width="9.140625" style="1"/>
    <col min="273" max="273" width="14.85546875" style="1" customWidth="1"/>
    <col min="274" max="274" width="9.5703125" style="1" bestFit="1" customWidth="1"/>
    <col min="275" max="275" width="9.5703125" style="1" customWidth="1"/>
    <col min="276" max="278" width="9.140625" style="1"/>
    <col min="279" max="279" width="13.7109375" style="1" bestFit="1" customWidth="1"/>
    <col min="280" max="280" width="9.140625" style="1"/>
    <col min="281" max="281" width="13.5703125" style="1" bestFit="1" customWidth="1"/>
    <col min="282" max="515" width="9.140625" style="1"/>
    <col min="516" max="516" width="10.7109375" style="1" customWidth="1"/>
    <col min="517" max="517" width="12.7109375" style="1" customWidth="1"/>
    <col min="518" max="518" width="11.85546875" style="1" customWidth="1"/>
    <col min="519" max="519" width="11" style="1" customWidth="1"/>
    <col min="520" max="520" width="10.85546875" style="1" customWidth="1"/>
    <col min="521" max="521" width="10.42578125" style="1" customWidth="1"/>
    <col min="522" max="523" width="9.140625" style="1"/>
    <col min="524" max="524" width="10.42578125" style="1" customWidth="1"/>
    <col min="525" max="528" width="9.140625" style="1"/>
    <col min="529" max="529" width="14.85546875" style="1" customWidth="1"/>
    <col min="530" max="530" width="9.5703125" style="1" bestFit="1" customWidth="1"/>
    <col min="531" max="531" width="9.5703125" style="1" customWidth="1"/>
    <col min="532" max="534" width="9.140625" style="1"/>
    <col min="535" max="535" width="13.7109375" style="1" bestFit="1" customWidth="1"/>
    <col min="536" max="536" width="9.140625" style="1"/>
    <col min="537" max="537" width="13.5703125" style="1" bestFit="1" customWidth="1"/>
    <col min="538" max="771" width="9.140625" style="1"/>
    <col min="772" max="772" width="10.7109375" style="1" customWidth="1"/>
    <col min="773" max="773" width="12.7109375" style="1" customWidth="1"/>
    <col min="774" max="774" width="11.85546875" style="1" customWidth="1"/>
    <col min="775" max="775" width="11" style="1" customWidth="1"/>
    <col min="776" max="776" width="10.85546875" style="1" customWidth="1"/>
    <col min="777" max="777" width="10.42578125" style="1" customWidth="1"/>
    <col min="778" max="779" width="9.140625" style="1"/>
    <col min="780" max="780" width="10.42578125" style="1" customWidth="1"/>
    <col min="781" max="784" width="9.140625" style="1"/>
    <col min="785" max="785" width="14.85546875" style="1" customWidth="1"/>
    <col min="786" max="786" width="9.5703125" style="1" bestFit="1" customWidth="1"/>
    <col min="787" max="787" width="9.5703125" style="1" customWidth="1"/>
    <col min="788" max="790" width="9.140625" style="1"/>
    <col min="791" max="791" width="13.7109375" style="1" bestFit="1" customWidth="1"/>
    <col min="792" max="792" width="9.140625" style="1"/>
    <col min="793" max="793" width="13.5703125" style="1" bestFit="1" customWidth="1"/>
    <col min="794" max="1027" width="9.140625" style="1"/>
    <col min="1028" max="1028" width="10.7109375" style="1" customWidth="1"/>
    <col min="1029" max="1029" width="12.7109375" style="1" customWidth="1"/>
    <col min="1030" max="1030" width="11.85546875" style="1" customWidth="1"/>
    <col min="1031" max="1031" width="11" style="1" customWidth="1"/>
    <col min="1032" max="1032" width="10.85546875" style="1" customWidth="1"/>
    <col min="1033" max="1033" width="10.42578125" style="1" customWidth="1"/>
    <col min="1034" max="1035" width="9.140625" style="1"/>
    <col min="1036" max="1036" width="10.42578125" style="1" customWidth="1"/>
    <col min="1037" max="1040" width="9.140625" style="1"/>
    <col min="1041" max="1041" width="14.85546875" style="1" customWidth="1"/>
    <col min="1042" max="1042" width="9.5703125" style="1" bestFit="1" customWidth="1"/>
    <col min="1043" max="1043" width="9.5703125" style="1" customWidth="1"/>
    <col min="1044" max="1046" width="9.140625" style="1"/>
    <col min="1047" max="1047" width="13.7109375" style="1" bestFit="1" customWidth="1"/>
    <col min="1048" max="1048" width="9.140625" style="1"/>
    <col min="1049" max="1049" width="13.5703125" style="1" bestFit="1" customWidth="1"/>
    <col min="1050" max="1283" width="9.140625" style="1"/>
    <col min="1284" max="1284" width="10.7109375" style="1" customWidth="1"/>
    <col min="1285" max="1285" width="12.7109375" style="1" customWidth="1"/>
    <col min="1286" max="1286" width="11.85546875" style="1" customWidth="1"/>
    <col min="1287" max="1287" width="11" style="1" customWidth="1"/>
    <col min="1288" max="1288" width="10.85546875" style="1" customWidth="1"/>
    <col min="1289" max="1289" width="10.42578125" style="1" customWidth="1"/>
    <col min="1290" max="1291" width="9.140625" style="1"/>
    <col min="1292" max="1292" width="10.42578125" style="1" customWidth="1"/>
    <col min="1293" max="1296" width="9.140625" style="1"/>
    <col min="1297" max="1297" width="14.85546875" style="1" customWidth="1"/>
    <col min="1298" max="1298" width="9.5703125" style="1" bestFit="1" customWidth="1"/>
    <col min="1299" max="1299" width="9.5703125" style="1" customWidth="1"/>
    <col min="1300" max="1302" width="9.140625" style="1"/>
    <col min="1303" max="1303" width="13.7109375" style="1" bestFit="1" customWidth="1"/>
    <col min="1304" max="1304" width="9.140625" style="1"/>
    <col min="1305" max="1305" width="13.5703125" style="1" bestFit="1" customWidth="1"/>
    <col min="1306" max="1539" width="9.140625" style="1"/>
    <col min="1540" max="1540" width="10.7109375" style="1" customWidth="1"/>
    <col min="1541" max="1541" width="12.7109375" style="1" customWidth="1"/>
    <col min="1542" max="1542" width="11.85546875" style="1" customWidth="1"/>
    <col min="1543" max="1543" width="11" style="1" customWidth="1"/>
    <col min="1544" max="1544" width="10.85546875" style="1" customWidth="1"/>
    <col min="1545" max="1545" width="10.42578125" style="1" customWidth="1"/>
    <col min="1546" max="1547" width="9.140625" style="1"/>
    <col min="1548" max="1548" width="10.42578125" style="1" customWidth="1"/>
    <col min="1549" max="1552" width="9.140625" style="1"/>
    <col min="1553" max="1553" width="14.85546875" style="1" customWidth="1"/>
    <col min="1554" max="1554" width="9.5703125" style="1" bestFit="1" customWidth="1"/>
    <col min="1555" max="1555" width="9.5703125" style="1" customWidth="1"/>
    <col min="1556" max="1558" width="9.140625" style="1"/>
    <col min="1559" max="1559" width="13.7109375" style="1" bestFit="1" customWidth="1"/>
    <col min="1560" max="1560" width="9.140625" style="1"/>
    <col min="1561" max="1561" width="13.5703125" style="1" bestFit="1" customWidth="1"/>
    <col min="1562" max="1795" width="9.140625" style="1"/>
    <col min="1796" max="1796" width="10.7109375" style="1" customWidth="1"/>
    <col min="1797" max="1797" width="12.7109375" style="1" customWidth="1"/>
    <col min="1798" max="1798" width="11.85546875" style="1" customWidth="1"/>
    <col min="1799" max="1799" width="11" style="1" customWidth="1"/>
    <col min="1800" max="1800" width="10.85546875" style="1" customWidth="1"/>
    <col min="1801" max="1801" width="10.42578125" style="1" customWidth="1"/>
    <col min="1802" max="1803" width="9.140625" style="1"/>
    <col min="1804" max="1804" width="10.42578125" style="1" customWidth="1"/>
    <col min="1805" max="1808" width="9.140625" style="1"/>
    <col min="1809" max="1809" width="14.85546875" style="1" customWidth="1"/>
    <col min="1810" max="1810" width="9.5703125" style="1" bestFit="1" customWidth="1"/>
    <col min="1811" max="1811" width="9.5703125" style="1" customWidth="1"/>
    <col min="1812" max="1814" width="9.140625" style="1"/>
    <col min="1815" max="1815" width="13.7109375" style="1" bestFit="1" customWidth="1"/>
    <col min="1816" max="1816" width="9.140625" style="1"/>
    <col min="1817" max="1817" width="13.5703125" style="1" bestFit="1" customWidth="1"/>
    <col min="1818" max="2051" width="9.140625" style="1"/>
    <col min="2052" max="2052" width="10.7109375" style="1" customWidth="1"/>
    <col min="2053" max="2053" width="12.7109375" style="1" customWidth="1"/>
    <col min="2054" max="2054" width="11.85546875" style="1" customWidth="1"/>
    <col min="2055" max="2055" width="11" style="1" customWidth="1"/>
    <col min="2056" max="2056" width="10.85546875" style="1" customWidth="1"/>
    <col min="2057" max="2057" width="10.42578125" style="1" customWidth="1"/>
    <col min="2058" max="2059" width="9.140625" style="1"/>
    <col min="2060" max="2060" width="10.42578125" style="1" customWidth="1"/>
    <col min="2061" max="2064" width="9.140625" style="1"/>
    <col min="2065" max="2065" width="14.85546875" style="1" customWidth="1"/>
    <col min="2066" max="2066" width="9.5703125" style="1" bestFit="1" customWidth="1"/>
    <col min="2067" max="2067" width="9.5703125" style="1" customWidth="1"/>
    <col min="2068" max="2070" width="9.140625" style="1"/>
    <col min="2071" max="2071" width="13.7109375" style="1" bestFit="1" customWidth="1"/>
    <col min="2072" max="2072" width="9.140625" style="1"/>
    <col min="2073" max="2073" width="13.5703125" style="1" bestFit="1" customWidth="1"/>
    <col min="2074" max="2307" width="9.140625" style="1"/>
    <col min="2308" max="2308" width="10.7109375" style="1" customWidth="1"/>
    <col min="2309" max="2309" width="12.7109375" style="1" customWidth="1"/>
    <col min="2310" max="2310" width="11.85546875" style="1" customWidth="1"/>
    <col min="2311" max="2311" width="11" style="1" customWidth="1"/>
    <col min="2312" max="2312" width="10.85546875" style="1" customWidth="1"/>
    <col min="2313" max="2313" width="10.42578125" style="1" customWidth="1"/>
    <col min="2314" max="2315" width="9.140625" style="1"/>
    <col min="2316" max="2316" width="10.42578125" style="1" customWidth="1"/>
    <col min="2317" max="2320" width="9.140625" style="1"/>
    <col min="2321" max="2321" width="14.85546875" style="1" customWidth="1"/>
    <col min="2322" max="2322" width="9.5703125" style="1" bestFit="1" customWidth="1"/>
    <col min="2323" max="2323" width="9.5703125" style="1" customWidth="1"/>
    <col min="2324" max="2326" width="9.140625" style="1"/>
    <col min="2327" max="2327" width="13.7109375" style="1" bestFit="1" customWidth="1"/>
    <col min="2328" max="2328" width="9.140625" style="1"/>
    <col min="2329" max="2329" width="13.5703125" style="1" bestFit="1" customWidth="1"/>
    <col min="2330" max="2563" width="9.140625" style="1"/>
    <col min="2564" max="2564" width="10.7109375" style="1" customWidth="1"/>
    <col min="2565" max="2565" width="12.7109375" style="1" customWidth="1"/>
    <col min="2566" max="2566" width="11.85546875" style="1" customWidth="1"/>
    <col min="2567" max="2567" width="11" style="1" customWidth="1"/>
    <col min="2568" max="2568" width="10.85546875" style="1" customWidth="1"/>
    <col min="2569" max="2569" width="10.42578125" style="1" customWidth="1"/>
    <col min="2570" max="2571" width="9.140625" style="1"/>
    <col min="2572" max="2572" width="10.42578125" style="1" customWidth="1"/>
    <col min="2573" max="2576" width="9.140625" style="1"/>
    <col min="2577" max="2577" width="14.85546875" style="1" customWidth="1"/>
    <col min="2578" max="2578" width="9.5703125" style="1" bestFit="1" customWidth="1"/>
    <col min="2579" max="2579" width="9.5703125" style="1" customWidth="1"/>
    <col min="2580" max="2582" width="9.140625" style="1"/>
    <col min="2583" max="2583" width="13.7109375" style="1" bestFit="1" customWidth="1"/>
    <col min="2584" max="2584" width="9.140625" style="1"/>
    <col min="2585" max="2585" width="13.5703125" style="1" bestFit="1" customWidth="1"/>
    <col min="2586" max="2819" width="9.140625" style="1"/>
    <col min="2820" max="2820" width="10.7109375" style="1" customWidth="1"/>
    <col min="2821" max="2821" width="12.7109375" style="1" customWidth="1"/>
    <col min="2822" max="2822" width="11.85546875" style="1" customWidth="1"/>
    <col min="2823" max="2823" width="11" style="1" customWidth="1"/>
    <col min="2824" max="2824" width="10.85546875" style="1" customWidth="1"/>
    <col min="2825" max="2825" width="10.42578125" style="1" customWidth="1"/>
    <col min="2826" max="2827" width="9.140625" style="1"/>
    <col min="2828" max="2828" width="10.42578125" style="1" customWidth="1"/>
    <col min="2829" max="2832" width="9.140625" style="1"/>
    <col min="2833" max="2833" width="14.85546875" style="1" customWidth="1"/>
    <col min="2834" max="2834" width="9.5703125" style="1" bestFit="1" customWidth="1"/>
    <col min="2835" max="2835" width="9.5703125" style="1" customWidth="1"/>
    <col min="2836" max="2838" width="9.140625" style="1"/>
    <col min="2839" max="2839" width="13.7109375" style="1" bestFit="1" customWidth="1"/>
    <col min="2840" max="2840" width="9.140625" style="1"/>
    <col min="2841" max="2841" width="13.5703125" style="1" bestFit="1" customWidth="1"/>
    <col min="2842" max="3075" width="9.140625" style="1"/>
    <col min="3076" max="3076" width="10.7109375" style="1" customWidth="1"/>
    <col min="3077" max="3077" width="12.7109375" style="1" customWidth="1"/>
    <col min="3078" max="3078" width="11.85546875" style="1" customWidth="1"/>
    <col min="3079" max="3079" width="11" style="1" customWidth="1"/>
    <col min="3080" max="3080" width="10.85546875" style="1" customWidth="1"/>
    <col min="3081" max="3081" width="10.42578125" style="1" customWidth="1"/>
    <col min="3082" max="3083" width="9.140625" style="1"/>
    <col min="3084" max="3084" width="10.42578125" style="1" customWidth="1"/>
    <col min="3085" max="3088" width="9.140625" style="1"/>
    <col min="3089" max="3089" width="14.85546875" style="1" customWidth="1"/>
    <col min="3090" max="3090" width="9.5703125" style="1" bestFit="1" customWidth="1"/>
    <col min="3091" max="3091" width="9.5703125" style="1" customWidth="1"/>
    <col min="3092" max="3094" width="9.140625" style="1"/>
    <col min="3095" max="3095" width="13.7109375" style="1" bestFit="1" customWidth="1"/>
    <col min="3096" max="3096" width="9.140625" style="1"/>
    <col min="3097" max="3097" width="13.5703125" style="1" bestFit="1" customWidth="1"/>
    <col min="3098" max="3331" width="9.140625" style="1"/>
    <col min="3332" max="3332" width="10.7109375" style="1" customWidth="1"/>
    <col min="3333" max="3333" width="12.7109375" style="1" customWidth="1"/>
    <col min="3334" max="3334" width="11.85546875" style="1" customWidth="1"/>
    <col min="3335" max="3335" width="11" style="1" customWidth="1"/>
    <col min="3336" max="3336" width="10.85546875" style="1" customWidth="1"/>
    <col min="3337" max="3337" width="10.42578125" style="1" customWidth="1"/>
    <col min="3338" max="3339" width="9.140625" style="1"/>
    <col min="3340" max="3340" width="10.42578125" style="1" customWidth="1"/>
    <col min="3341" max="3344" width="9.140625" style="1"/>
    <col min="3345" max="3345" width="14.85546875" style="1" customWidth="1"/>
    <col min="3346" max="3346" width="9.5703125" style="1" bestFit="1" customWidth="1"/>
    <col min="3347" max="3347" width="9.5703125" style="1" customWidth="1"/>
    <col min="3348" max="3350" width="9.140625" style="1"/>
    <col min="3351" max="3351" width="13.7109375" style="1" bestFit="1" customWidth="1"/>
    <col min="3352" max="3352" width="9.140625" style="1"/>
    <col min="3353" max="3353" width="13.5703125" style="1" bestFit="1" customWidth="1"/>
    <col min="3354" max="3587" width="9.140625" style="1"/>
    <col min="3588" max="3588" width="10.7109375" style="1" customWidth="1"/>
    <col min="3589" max="3589" width="12.7109375" style="1" customWidth="1"/>
    <col min="3590" max="3590" width="11.85546875" style="1" customWidth="1"/>
    <col min="3591" max="3591" width="11" style="1" customWidth="1"/>
    <col min="3592" max="3592" width="10.85546875" style="1" customWidth="1"/>
    <col min="3593" max="3593" width="10.42578125" style="1" customWidth="1"/>
    <col min="3594" max="3595" width="9.140625" style="1"/>
    <col min="3596" max="3596" width="10.42578125" style="1" customWidth="1"/>
    <col min="3597" max="3600" width="9.140625" style="1"/>
    <col min="3601" max="3601" width="14.85546875" style="1" customWidth="1"/>
    <col min="3602" max="3602" width="9.5703125" style="1" bestFit="1" customWidth="1"/>
    <col min="3603" max="3603" width="9.5703125" style="1" customWidth="1"/>
    <col min="3604" max="3606" width="9.140625" style="1"/>
    <col min="3607" max="3607" width="13.7109375" style="1" bestFit="1" customWidth="1"/>
    <col min="3608" max="3608" width="9.140625" style="1"/>
    <col min="3609" max="3609" width="13.5703125" style="1" bestFit="1" customWidth="1"/>
    <col min="3610" max="3843" width="9.140625" style="1"/>
    <col min="3844" max="3844" width="10.7109375" style="1" customWidth="1"/>
    <col min="3845" max="3845" width="12.7109375" style="1" customWidth="1"/>
    <col min="3846" max="3846" width="11.85546875" style="1" customWidth="1"/>
    <col min="3847" max="3847" width="11" style="1" customWidth="1"/>
    <col min="3848" max="3848" width="10.85546875" style="1" customWidth="1"/>
    <col min="3849" max="3849" width="10.42578125" style="1" customWidth="1"/>
    <col min="3850" max="3851" width="9.140625" style="1"/>
    <col min="3852" max="3852" width="10.42578125" style="1" customWidth="1"/>
    <col min="3853" max="3856" width="9.140625" style="1"/>
    <col min="3857" max="3857" width="14.85546875" style="1" customWidth="1"/>
    <col min="3858" max="3858" width="9.5703125" style="1" bestFit="1" customWidth="1"/>
    <col min="3859" max="3859" width="9.5703125" style="1" customWidth="1"/>
    <col min="3860" max="3862" width="9.140625" style="1"/>
    <col min="3863" max="3863" width="13.7109375" style="1" bestFit="1" customWidth="1"/>
    <col min="3864" max="3864" width="9.140625" style="1"/>
    <col min="3865" max="3865" width="13.5703125" style="1" bestFit="1" customWidth="1"/>
    <col min="3866" max="4099" width="9.140625" style="1"/>
    <col min="4100" max="4100" width="10.7109375" style="1" customWidth="1"/>
    <col min="4101" max="4101" width="12.7109375" style="1" customWidth="1"/>
    <col min="4102" max="4102" width="11.85546875" style="1" customWidth="1"/>
    <col min="4103" max="4103" width="11" style="1" customWidth="1"/>
    <col min="4104" max="4104" width="10.85546875" style="1" customWidth="1"/>
    <col min="4105" max="4105" width="10.42578125" style="1" customWidth="1"/>
    <col min="4106" max="4107" width="9.140625" style="1"/>
    <col min="4108" max="4108" width="10.42578125" style="1" customWidth="1"/>
    <col min="4109" max="4112" width="9.140625" style="1"/>
    <col min="4113" max="4113" width="14.85546875" style="1" customWidth="1"/>
    <col min="4114" max="4114" width="9.5703125" style="1" bestFit="1" customWidth="1"/>
    <col min="4115" max="4115" width="9.5703125" style="1" customWidth="1"/>
    <col min="4116" max="4118" width="9.140625" style="1"/>
    <col min="4119" max="4119" width="13.7109375" style="1" bestFit="1" customWidth="1"/>
    <col min="4120" max="4120" width="9.140625" style="1"/>
    <col min="4121" max="4121" width="13.5703125" style="1" bestFit="1" customWidth="1"/>
    <col min="4122" max="4355" width="9.140625" style="1"/>
    <col min="4356" max="4356" width="10.7109375" style="1" customWidth="1"/>
    <col min="4357" max="4357" width="12.7109375" style="1" customWidth="1"/>
    <col min="4358" max="4358" width="11.85546875" style="1" customWidth="1"/>
    <col min="4359" max="4359" width="11" style="1" customWidth="1"/>
    <col min="4360" max="4360" width="10.85546875" style="1" customWidth="1"/>
    <col min="4361" max="4361" width="10.42578125" style="1" customWidth="1"/>
    <col min="4362" max="4363" width="9.140625" style="1"/>
    <col min="4364" max="4364" width="10.42578125" style="1" customWidth="1"/>
    <col min="4365" max="4368" width="9.140625" style="1"/>
    <col min="4369" max="4369" width="14.85546875" style="1" customWidth="1"/>
    <col min="4370" max="4370" width="9.5703125" style="1" bestFit="1" customWidth="1"/>
    <col min="4371" max="4371" width="9.5703125" style="1" customWidth="1"/>
    <col min="4372" max="4374" width="9.140625" style="1"/>
    <col min="4375" max="4375" width="13.7109375" style="1" bestFit="1" customWidth="1"/>
    <col min="4376" max="4376" width="9.140625" style="1"/>
    <col min="4377" max="4377" width="13.5703125" style="1" bestFit="1" customWidth="1"/>
    <col min="4378" max="4611" width="9.140625" style="1"/>
    <col min="4612" max="4612" width="10.7109375" style="1" customWidth="1"/>
    <col min="4613" max="4613" width="12.7109375" style="1" customWidth="1"/>
    <col min="4614" max="4614" width="11.85546875" style="1" customWidth="1"/>
    <col min="4615" max="4615" width="11" style="1" customWidth="1"/>
    <col min="4616" max="4616" width="10.85546875" style="1" customWidth="1"/>
    <col min="4617" max="4617" width="10.42578125" style="1" customWidth="1"/>
    <col min="4618" max="4619" width="9.140625" style="1"/>
    <col min="4620" max="4620" width="10.42578125" style="1" customWidth="1"/>
    <col min="4621" max="4624" width="9.140625" style="1"/>
    <col min="4625" max="4625" width="14.85546875" style="1" customWidth="1"/>
    <col min="4626" max="4626" width="9.5703125" style="1" bestFit="1" customWidth="1"/>
    <col min="4627" max="4627" width="9.5703125" style="1" customWidth="1"/>
    <col min="4628" max="4630" width="9.140625" style="1"/>
    <col min="4631" max="4631" width="13.7109375" style="1" bestFit="1" customWidth="1"/>
    <col min="4632" max="4632" width="9.140625" style="1"/>
    <col min="4633" max="4633" width="13.5703125" style="1" bestFit="1" customWidth="1"/>
    <col min="4634" max="4867" width="9.140625" style="1"/>
    <col min="4868" max="4868" width="10.7109375" style="1" customWidth="1"/>
    <col min="4869" max="4869" width="12.7109375" style="1" customWidth="1"/>
    <col min="4870" max="4870" width="11.85546875" style="1" customWidth="1"/>
    <col min="4871" max="4871" width="11" style="1" customWidth="1"/>
    <col min="4872" max="4872" width="10.85546875" style="1" customWidth="1"/>
    <col min="4873" max="4873" width="10.42578125" style="1" customWidth="1"/>
    <col min="4874" max="4875" width="9.140625" style="1"/>
    <col min="4876" max="4876" width="10.42578125" style="1" customWidth="1"/>
    <col min="4877" max="4880" width="9.140625" style="1"/>
    <col min="4881" max="4881" width="14.85546875" style="1" customWidth="1"/>
    <col min="4882" max="4882" width="9.5703125" style="1" bestFit="1" customWidth="1"/>
    <col min="4883" max="4883" width="9.5703125" style="1" customWidth="1"/>
    <col min="4884" max="4886" width="9.140625" style="1"/>
    <col min="4887" max="4887" width="13.7109375" style="1" bestFit="1" customWidth="1"/>
    <col min="4888" max="4888" width="9.140625" style="1"/>
    <col min="4889" max="4889" width="13.5703125" style="1" bestFit="1" customWidth="1"/>
    <col min="4890" max="5123" width="9.140625" style="1"/>
    <col min="5124" max="5124" width="10.7109375" style="1" customWidth="1"/>
    <col min="5125" max="5125" width="12.7109375" style="1" customWidth="1"/>
    <col min="5126" max="5126" width="11.85546875" style="1" customWidth="1"/>
    <col min="5127" max="5127" width="11" style="1" customWidth="1"/>
    <col min="5128" max="5128" width="10.85546875" style="1" customWidth="1"/>
    <col min="5129" max="5129" width="10.42578125" style="1" customWidth="1"/>
    <col min="5130" max="5131" width="9.140625" style="1"/>
    <col min="5132" max="5132" width="10.42578125" style="1" customWidth="1"/>
    <col min="5133" max="5136" width="9.140625" style="1"/>
    <col min="5137" max="5137" width="14.85546875" style="1" customWidth="1"/>
    <col min="5138" max="5138" width="9.5703125" style="1" bestFit="1" customWidth="1"/>
    <col min="5139" max="5139" width="9.5703125" style="1" customWidth="1"/>
    <col min="5140" max="5142" width="9.140625" style="1"/>
    <col min="5143" max="5143" width="13.7109375" style="1" bestFit="1" customWidth="1"/>
    <col min="5144" max="5144" width="9.140625" style="1"/>
    <col min="5145" max="5145" width="13.5703125" style="1" bestFit="1" customWidth="1"/>
    <col min="5146" max="5379" width="9.140625" style="1"/>
    <col min="5380" max="5380" width="10.7109375" style="1" customWidth="1"/>
    <col min="5381" max="5381" width="12.7109375" style="1" customWidth="1"/>
    <col min="5382" max="5382" width="11.85546875" style="1" customWidth="1"/>
    <col min="5383" max="5383" width="11" style="1" customWidth="1"/>
    <col min="5384" max="5384" width="10.85546875" style="1" customWidth="1"/>
    <col min="5385" max="5385" width="10.42578125" style="1" customWidth="1"/>
    <col min="5386" max="5387" width="9.140625" style="1"/>
    <col min="5388" max="5388" width="10.42578125" style="1" customWidth="1"/>
    <col min="5389" max="5392" width="9.140625" style="1"/>
    <col min="5393" max="5393" width="14.85546875" style="1" customWidth="1"/>
    <col min="5394" max="5394" width="9.5703125" style="1" bestFit="1" customWidth="1"/>
    <col min="5395" max="5395" width="9.5703125" style="1" customWidth="1"/>
    <col min="5396" max="5398" width="9.140625" style="1"/>
    <col min="5399" max="5399" width="13.7109375" style="1" bestFit="1" customWidth="1"/>
    <col min="5400" max="5400" width="9.140625" style="1"/>
    <col min="5401" max="5401" width="13.5703125" style="1" bestFit="1" customWidth="1"/>
    <col min="5402" max="5635" width="9.140625" style="1"/>
    <col min="5636" max="5636" width="10.7109375" style="1" customWidth="1"/>
    <col min="5637" max="5637" width="12.7109375" style="1" customWidth="1"/>
    <col min="5638" max="5638" width="11.85546875" style="1" customWidth="1"/>
    <col min="5639" max="5639" width="11" style="1" customWidth="1"/>
    <col min="5640" max="5640" width="10.85546875" style="1" customWidth="1"/>
    <col min="5641" max="5641" width="10.42578125" style="1" customWidth="1"/>
    <col min="5642" max="5643" width="9.140625" style="1"/>
    <col min="5644" max="5644" width="10.42578125" style="1" customWidth="1"/>
    <col min="5645" max="5648" width="9.140625" style="1"/>
    <col min="5649" max="5649" width="14.85546875" style="1" customWidth="1"/>
    <col min="5650" max="5650" width="9.5703125" style="1" bestFit="1" customWidth="1"/>
    <col min="5651" max="5651" width="9.5703125" style="1" customWidth="1"/>
    <col min="5652" max="5654" width="9.140625" style="1"/>
    <col min="5655" max="5655" width="13.7109375" style="1" bestFit="1" customWidth="1"/>
    <col min="5656" max="5656" width="9.140625" style="1"/>
    <col min="5657" max="5657" width="13.5703125" style="1" bestFit="1" customWidth="1"/>
    <col min="5658" max="5891" width="9.140625" style="1"/>
    <col min="5892" max="5892" width="10.7109375" style="1" customWidth="1"/>
    <col min="5893" max="5893" width="12.7109375" style="1" customWidth="1"/>
    <col min="5894" max="5894" width="11.85546875" style="1" customWidth="1"/>
    <col min="5895" max="5895" width="11" style="1" customWidth="1"/>
    <col min="5896" max="5896" width="10.85546875" style="1" customWidth="1"/>
    <col min="5897" max="5897" width="10.42578125" style="1" customWidth="1"/>
    <col min="5898" max="5899" width="9.140625" style="1"/>
    <col min="5900" max="5900" width="10.42578125" style="1" customWidth="1"/>
    <col min="5901" max="5904" width="9.140625" style="1"/>
    <col min="5905" max="5905" width="14.85546875" style="1" customWidth="1"/>
    <col min="5906" max="5906" width="9.5703125" style="1" bestFit="1" customWidth="1"/>
    <col min="5907" max="5907" width="9.5703125" style="1" customWidth="1"/>
    <col min="5908" max="5910" width="9.140625" style="1"/>
    <col min="5911" max="5911" width="13.7109375" style="1" bestFit="1" customWidth="1"/>
    <col min="5912" max="5912" width="9.140625" style="1"/>
    <col min="5913" max="5913" width="13.5703125" style="1" bestFit="1" customWidth="1"/>
    <col min="5914" max="6147" width="9.140625" style="1"/>
    <col min="6148" max="6148" width="10.7109375" style="1" customWidth="1"/>
    <col min="6149" max="6149" width="12.7109375" style="1" customWidth="1"/>
    <col min="6150" max="6150" width="11.85546875" style="1" customWidth="1"/>
    <col min="6151" max="6151" width="11" style="1" customWidth="1"/>
    <col min="6152" max="6152" width="10.85546875" style="1" customWidth="1"/>
    <col min="6153" max="6153" width="10.42578125" style="1" customWidth="1"/>
    <col min="6154" max="6155" width="9.140625" style="1"/>
    <col min="6156" max="6156" width="10.42578125" style="1" customWidth="1"/>
    <col min="6157" max="6160" width="9.140625" style="1"/>
    <col min="6161" max="6161" width="14.85546875" style="1" customWidth="1"/>
    <col min="6162" max="6162" width="9.5703125" style="1" bestFit="1" customWidth="1"/>
    <col min="6163" max="6163" width="9.5703125" style="1" customWidth="1"/>
    <col min="6164" max="6166" width="9.140625" style="1"/>
    <col min="6167" max="6167" width="13.7109375" style="1" bestFit="1" customWidth="1"/>
    <col min="6168" max="6168" width="9.140625" style="1"/>
    <col min="6169" max="6169" width="13.5703125" style="1" bestFit="1" customWidth="1"/>
    <col min="6170" max="6403" width="9.140625" style="1"/>
    <col min="6404" max="6404" width="10.7109375" style="1" customWidth="1"/>
    <col min="6405" max="6405" width="12.7109375" style="1" customWidth="1"/>
    <col min="6406" max="6406" width="11.85546875" style="1" customWidth="1"/>
    <col min="6407" max="6407" width="11" style="1" customWidth="1"/>
    <col min="6408" max="6408" width="10.85546875" style="1" customWidth="1"/>
    <col min="6409" max="6409" width="10.42578125" style="1" customWidth="1"/>
    <col min="6410" max="6411" width="9.140625" style="1"/>
    <col min="6412" max="6412" width="10.42578125" style="1" customWidth="1"/>
    <col min="6413" max="6416" width="9.140625" style="1"/>
    <col min="6417" max="6417" width="14.85546875" style="1" customWidth="1"/>
    <col min="6418" max="6418" width="9.5703125" style="1" bestFit="1" customWidth="1"/>
    <col min="6419" max="6419" width="9.5703125" style="1" customWidth="1"/>
    <col min="6420" max="6422" width="9.140625" style="1"/>
    <col min="6423" max="6423" width="13.7109375" style="1" bestFit="1" customWidth="1"/>
    <col min="6424" max="6424" width="9.140625" style="1"/>
    <col min="6425" max="6425" width="13.5703125" style="1" bestFit="1" customWidth="1"/>
    <col min="6426" max="6659" width="9.140625" style="1"/>
    <col min="6660" max="6660" width="10.7109375" style="1" customWidth="1"/>
    <col min="6661" max="6661" width="12.7109375" style="1" customWidth="1"/>
    <col min="6662" max="6662" width="11.85546875" style="1" customWidth="1"/>
    <col min="6663" max="6663" width="11" style="1" customWidth="1"/>
    <col min="6664" max="6664" width="10.85546875" style="1" customWidth="1"/>
    <col min="6665" max="6665" width="10.42578125" style="1" customWidth="1"/>
    <col min="6666" max="6667" width="9.140625" style="1"/>
    <col min="6668" max="6668" width="10.42578125" style="1" customWidth="1"/>
    <col min="6669" max="6672" width="9.140625" style="1"/>
    <col min="6673" max="6673" width="14.85546875" style="1" customWidth="1"/>
    <col min="6674" max="6674" width="9.5703125" style="1" bestFit="1" customWidth="1"/>
    <col min="6675" max="6675" width="9.5703125" style="1" customWidth="1"/>
    <col min="6676" max="6678" width="9.140625" style="1"/>
    <col min="6679" max="6679" width="13.7109375" style="1" bestFit="1" customWidth="1"/>
    <col min="6680" max="6680" width="9.140625" style="1"/>
    <col min="6681" max="6681" width="13.5703125" style="1" bestFit="1" customWidth="1"/>
    <col min="6682" max="6915" width="9.140625" style="1"/>
    <col min="6916" max="6916" width="10.7109375" style="1" customWidth="1"/>
    <col min="6917" max="6917" width="12.7109375" style="1" customWidth="1"/>
    <col min="6918" max="6918" width="11.85546875" style="1" customWidth="1"/>
    <col min="6919" max="6919" width="11" style="1" customWidth="1"/>
    <col min="6920" max="6920" width="10.85546875" style="1" customWidth="1"/>
    <col min="6921" max="6921" width="10.42578125" style="1" customWidth="1"/>
    <col min="6922" max="6923" width="9.140625" style="1"/>
    <col min="6924" max="6924" width="10.42578125" style="1" customWidth="1"/>
    <col min="6925" max="6928" width="9.140625" style="1"/>
    <col min="6929" max="6929" width="14.85546875" style="1" customWidth="1"/>
    <col min="6930" max="6930" width="9.5703125" style="1" bestFit="1" customWidth="1"/>
    <col min="6931" max="6931" width="9.5703125" style="1" customWidth="1"/>
    <col min="6932" max="6934" width="9.140625" style="1"/>
    <col min="6935" max="6935" width="13.7109375" style="1" bestFit="1" customWidth="1"/>
    <col min="6936" max="6936" width="9.140625" style="1"/>
    <col min="6937" max="6937" width="13.5703125" style="1" bestFit="1" customWidth="1"/>
    <col min="6938" max="7171" width="9.140625" style="1"/>
    <col min="7172" max="7172" width="10.7109375" style="1" customWidth="1"/>
    <col min="7173" max="7173" width="12.7109375" style="1" customWidth="1"/>
    <col min="7174" max="7174" width="11.85546875" style="1" customWidth="1"/>
    <col min="7175" max="7175" width="11" style="1" customWidth="1"/>
    <col min="7176" max="7176" width="10.85546875" style="1" customWidth="1"/>
    <col min="7177" max="7177" width="10.42578125" style="1" customWidth="1"/>
    <col min="7178" max="7179" width="9.140625" style="1"/>
    <col min="7180" max="7180" width="10.42578125" style="1" customWidth="1"/>
    <col min="7181" max="7184" width="9.140625" style="1"/>
    <col min="7185" max="7185" width="14.85546875" style="1" customWidth="1"/>
    <col min="7186" max="7186" width="9.5703125" style="1" bestFit="1" customWidth="1"/>
    <col min="7187" max="7187" width="9.5703125" style="1" customWidth="1"/>
    <col min="7188" max="7190" width="9.140625" style="1"/>
    <col min="7191" max="7191" width="13.7109375" style="1" bestFit="1" customWidth="1"/>
    <col min="7192" max="7192" width="9.140625" style="1"/>
    <col min="7193" max="7193" width="13.5703125" style="1" bestFit="1" customWidth="1"/>
    <col min="7194" max="7427" width="9.140625" style="1"/>
    <col min="7428" max="7428" width="10.7109375" style="1" customWidth="1"/>
    <col min="7429" max="7429" width="12.7109375" style="1" customWidth="1"/>
    <col min="7430" max="7430" width="11.85546875" style="1" customWidth="1"/>
    <col min="7431" max="7431" width="11" style="1" customWidth="1"/>
    <col min="7432" max="7432" width="10.85546875" style="1" customWidth="1"/>
    <col min="7433" max="7433" width="10.42578125" style="1" customWidth="1"/>
    <col min="7434" max="7435" width="9.140625" style="1"/>
    <col min="7436" max="7436" width="10.42578125" style="1" customWidth="1"/>
    <col min="7437" max="7440" width="9.140625" style="1"/>
    <col min="7441" max="7441" width="14.85546875" style="1" customWidth="1"/>
    <col min="7442" max="7442" width="9.5703125" style="1" bestFit="1" customWidth="1"/>
    <col min="7443" max="7443" width="9.5703125" style="1" customWidth="1"/>
    <col min="7444" max="7446" width="9.140625" style="1"/>
    <col min="7447" max="7447" width="13.7109375" style="1" bestFit="1" customWidth="1"/>
    <col min="7448" max="7448" width="9.140625" style="1"/>
    <col min="7449" max="7449" width="13.5703125" style="1" bestFit="1" customWidth="1"/>
    <col min="7450" max="7683" width="9.140625" style="1"/>
    <col min="7684" max="7684" width="10.7109375" style="1" customWidth="1"/>
    <col min="7685" max="7685" width="12.7109375" style="1" customWidth="1"/>
    <col min="7686" max="7686" width="11.85546875" style="1" customWidth="1"/>
    <col min="7687" max="7687" width="11" style="1" customWidth="1"/>
    <col min="7688" max="7688" width="10.85546875" style="1" customWidth="1"/>
    <col min="7689" max="7689" width="10.42578125" style="1" customWidth="1"/>
    <col min="7690" max="7691" width="9.140625" style="1"/>
    <col min="7692" max="7692" width="10.42578125" style="1" customWidth="1"/>
    <col min="7693" max="7696" width="9.140625" style="1"/>
    <col min="7697" max="7697" width="14.85546875" style="1" customWidth="1"/>
    <col min="7698" max="7698" width="9.5703125" style="1" bestFit="1" customWidth="1"/>
    <col min="7699" max="7699" width="9.5703125" style="1" customWidth="1"/>
    <col min="7700" max="7702" width="9.140625" style="1"/>
    <col min="7703" max="7703" width="13.7109375" style="1" bestFit="1" customWidth="1"/>
    <col min="7704" max="7704" width="9.140625" style="1"/>
    <col min="7705" max="7705" width="13.5703125" style="1" bestFit="1" customWidth="1"/>
    <col min="7706" max="7939" width="9.140625" style="1"/>
    <col min="7940" max="7940" width="10.7109375" style="1" customWidth="1"/>
    <col min="7941" max="7941" width="12.7109375" style="1" customWidth="1"/>
    <col min="7942" max="7942" width="11.85546875" style="1" customWidth="1"/>
    <col min="7943" max="7943" width="11" style="1" customWidth="1"/>
    <col min="7944" max="7944" width="10.85546875" style="1" customWidth="1"/>
    <col min="7945" max="7945" width="10.42578125" style="1" customWidth="1"/>
    <col min="7946" max="7947" width="9.140625" style="1"/>
    <col min="7948" max="7948" width="10.42578125" style="1" customWidth="1"/>
    <col min="7949" max="7952" width="9.140625" style="1"/>
    <col min="7953" max="7953" width="14.85546875" style="1" customWidth="1"/>
    <col min="7954" max="7954" width="9.5703125" style="1" bestFit="1" customWidth="1"/>
    <col min="7955" max="7955" width="9.5703125" style="1" customWidth="1"/>
    <col min="7956" max="7958" width="9.140625" style="1"/>
    <col min="7959" max="7959" width="13.7109375" style="1" bestFit="1" customWidth="1"/>
    <col min="7960" max="7960" width="9.140625" style="1"/>
    <col min="7961" max="7961" width="13.5703125" style="1" bestFit="1" customWidth="1"/>
    <col min="7962" max="8195" width="9.140625" style="1"/>
    <col min="8196" max="8196" width="10.7109375" style="1" customWidth="1"/>
    <col min="8197" max="8197" width="12.7109375" style="1" customWidth="1"/>
    <col min="8198" max="8198" width="11.85546875" style="1" customWidth="1"/>
    <col min="8199" max="8199" width="11" style="1" customWidth="1"/>
    <col min="8200" max="8200" width="10.85546875" style="1" customWidth="1"/>
    <col min="8201" max="8201" width="10.42578125" style="1" customWidth="1"/>
    <col min="8202" max="8203" width="9.140625" style="1"/>
    <col min="8204" max="8204" width="10.42578125" style="1" customWidth="1"/>
    <col min="8205" max="8208" width="9.140625" style="1"/>
    <col min="8209" max="8209" width="14.85546875" style="1" customWidth="1"/>
    <col min="8210" max="8210" width="9.5703125" style="1" bestFit="1" customWidth="1"/>
    <col min="8211" max="8211" width="9.5703125" style="1" customWidth="1"/>
    <col min="8212" max="8214" width="9.140625" style="1"/>
    <col min="8215" max="8215" width="13.7109375" style="1" bestFit="1" customWidth="1"/>
    <col min="8216" max="8216" width="9.140625" style="1"/>
    <col min="8217" max="8217" width="13.5703125" style="1" bestFit="1" customWidth="1"/>
    <col min="8218" max="8451" width="9.140625" style="1"/>
    <col min="8452" max="8452" width="10.7109375" style="1" customWidth="1"/>
    <col min="8453" max="8453" width="12.7109375" style="1" customWidth="1"/>
    <col min="8454" max="8454" width="11.85546875" style="1" customWidth="1"/>
    <col min="8455" max="8455" width="11" style="1" customWidth="1"/>
    <col min="8456" max="8456" width="10.85546875" style="1" customWidth="1"/>
    <col min="8457" max="8457" width="10.42578125" style="1" customWidth="1"/>
    <col min="8458" max="8459" width="9.140625" style="1"/>
    <col min="8460" max="8460" width="10.42578125" style="1" customWidth="1"/>
    <col min="8461" max="8464" width="9.140625" style="1"/>
    <col min="8465" max="8465" width="14.85546875" style="1" customWidth="1"/>
    <col min="8466" max="8466" width="9.5703125" style="1" bestFit="1" customWidth="1"/>
    <col min="8467" max="8467" width="9.5703125" style="1" customWidth="1"/>
    <col min="8468" max="8470" width="9.140625" style="1"/>
    <col min="8471" max="8471" width="13.7109375" style="1" bestFit="1" customWidth="1"/>
    <col min="8472" max="8472" width="9.140625" style="1"/>
    <col min="8473" max="8473" width="13.5703125" style="1" bestFit="1" customWidth="1"/>
    <col min="8474" max="8707" width="9.140625" style="1"/>
    <col min="8708" max="8708" width="10.7109375" style="1" customWidth="1"/>
    <col min="8709" max="8709" width="12.7109375" style="1" customWidth="1"/>
    <col min="8710" max="8710" width="11.85546875" style="1" customWidth="1"/>
    <col min="8711" max="8711" width="11" style="1" customWidth="1"/>
    <col min="8712" max="8712" width="10.85546875" style="1" customWidth="1"/>
    <col min="8713" max="8713" width="10.42578125" style="1" customWidth="1"/>
    <col min="8714" max="8715" width="9.140625" style="1"/>
    <col min="8716" max="8716" width="10.42578125" style="1" customWidth="1"/>
    <col min="8717" max="8720" width="9.140625" style="1"/>
    <col min="8721" max="8721" width="14.85546875" style="1" customWidth="1"/>
    <col min="8722" max="8722" width="9.5703125" style="1" bestFit="1" customWidth="1"/>
    <col min="8723" max="8723" width="9.5703125" style="1" customWidth="1"/>
    <col min="8724" max="8726" width="9.140625" style="1"/>
    <col min="8727" max="8727" width="13.7109375" style="1" bestFit="1" customWidth="1"/>
    <col min="8728" max="8728" width="9.140625" style="1"/>
    <col min="8729" max="8729" width="13.5703125" style="1" bestFit="1" customWidth="1"/>
    <col min="8730" max="8963" width="9.140625" style="1"/>
    <col min="8964" max="8964" width="10.7109375" style="1" customWidth="1"/>
    <col min="8965" max="8965" width="12.7109375" style="1" customWidth="1"/>
    <col min="8966" max="8966" width="11.85546875" style="1" customWidth="1"/>
    <col min="8967" max="8967" width="11" style="1" customWidth="1"/>
    <col min="8968" max="8968" width="10.85546875" style="1" customWidth="1"/>
    <col min="8969" max="8969" width="10.42578125" style="1" customWidth="1"/>
    <col min="8970" max="8971" width="9.140625" style="1"/>
    <col min="8972" max="8972" width="10.42578125" style="1" customWidth="1"/>
    <col min="8973" max="8976" width="9.140625" style="1"/>
    <col min="8977" max="8977" width="14.85546875" style="1" customWidth="1"/>
    <col min="8978" max="8978" width="9.5703125" style="1" bestFit="1" customWidth="1"/>
    <col min="8979" max="8979" width="9.5703125" style="1" customWidth="1"/>
    <col min="8980" max="8982" width="9.140625" style="1"/>
    <col min="8983" max="8983" width="13.7109375" style="1" bestFit="1" customWidth="1"/>
    <col min="8984" max="8984" width="9.140625" style="1"/>
    <col min="8985" max="8985" width="13.5703125" style="1" bestFit="1" customWidth="1"/>
    <col min="8986" max="9219" width="9.140625" style="1"/>
    <col min="9220" max="9220" width="10.7109375" style="1" customWidth="1"/>
    <col min="9221" max="9221" width="12.7109375" style="1" customWidth="1"/>
    <col min="9222" max="9222" width="11.85546875" style="1" customWidth="1"/>
    <col min="9223" max="9223" width="11" style="1" customWidth="1"/>
    <col min="9224" max="9224" width="10.85546875" style="1" customWidth="1"/>
    <col min="9225" max="9225" width="10.42578125" style="1" customWidth="1"/>
    <col min="9226" max="9227" width="9.140625" style="1"/>
    <col min="9228" max="9228" width="10.42578125" style="1" customWidth="1"/>
    <col min="9229" max="9232" width="9.140625" style="1"/>
    <col min="9233" max="9233" width="14.85546875" style="1" customWidth="1"/>
    <col min="9234" max="9234" width="9.5703125" style="1" bestFit="1" customWidth="1"/>
    <col min="9235" max="9235" width="9.5703125" style="1" customWidth="1"/>
    <col min="9236" max="9238" width="9.140625" style="1"/>
    <col min="9239" max="9239" width="13.7109375" style="1" bestFit="1" customWidth="1"/>
    <col min="9240" max="9240" width="9.140625" style="1"/>
    <col min="9241" max="9241" width="13.5703125" style="1" bestFit="1" customWidth="1"/>
    <col min="9242" max="9475" width="9.140625" style="1"/>
    <col min="9476" max="9476" width="10.7109375" style="1" customWidth="1"/>
    <col min="9477" max="9477" width="12.7109375" style="1" customWidth="1"/>
    <col min="9478" max="9478" width="11.85546875" style="1" customWidth="1"/>
    <col min="9479" max="9479" width="11" style="1" customWidth="1"/>
    <col min="9480" max="9480" width="10.85546875" style="1" customWidth="1"/>
    <col min="9481" max="9481" width="10.42578125" style="1" customWidth="1"/>
    <col min="9482" max="9483" width="9.140625" style="1"/>
    <col min="9484" max="9484" width="10.42578125" style="1" customWidth="1"/>
    <col min="9485" max="9488" width="9.140625" style="1"/>
    <col min="9489" max="9489" width="14.85546875" style="1" customWidth="1"/>
    <col min="9490" max="9490" width="9.5703125" style="1" bestFit="1" customWidth="1"/>
    <col min="9491" max="9491" width="9.5703125" style="1" customWidth="1"/>
    <col min="9492" max="9494" width="9.140625" style="1"/>
    <col min="9495" max="9495" width="13.7109375" style="1" bestFit="1" customWidth="1"/>
    <col min="9496" max="9496" width="9.140625" style="1"/>
    <col min="9497" max="9497" width="13.5703125" style="1" bestFit="1" customWidth="1"/>
    <col min="9498" max="9731" width="9.140625" style="1"/>
    <col min="9732" max="9732" width="10.7109375" style="1" customWidth="1"/>
    <col min="9733" max="9733" width="12.7109375" style="1" customWidth="1"/>
    <col min="9734" max="9734" width="11.85546875" style="1" customWidth="1"/>
    <col min="9735" max="9735" width="11" style="1" customWidth="1"/>
    <col min="9736" max="9736" width="10.85546875" style="1" customWidth="1"/>
    <col min="9737" max="9737" width="10.42578125" style="1" customWidth="1"/>
    <col min="9738" max="9739" width="9.140625" style="1"/>
    <col min="9740" max="9740" width="10.42578125" style="1" customWidth="1"/>
    <col min="9741" max="9744" width="9.140625" style="1"/>
    <col min="9745" max="9745" width="14.85546875" style="1" customWidth="1"/>
    <col min="9746" max="9746" width="9.5703125" style="1" bestFit="1" customWidth="1"/>
    <col min="9747" max="9747" width="9.5703125" style="1" customWidth="1"/>
    <col min="9748" max="9750" width="9.140625" style="1"/>
    <col min="9751" max="9751" width="13.7109375" style="1" bestFit="1" customWidth="1"/>
    <col min="9752" max="9752" width="9.140625" style="1"/>
    <col min="9753" max="9753" width="13.5703125" style="1" bestFit="1" customWidth="1"/>
    <col min="9754" max="9987" width="9.140625" style="1"/>
    <col min="9988" max="9988" width="10.7109375" style="1" customWidth="1"/>
    <col min="9989" max="9989" width="12.7109375" style="1" customWidth="1"/>
    <col min="9990" max="9990" width="11.85546875" style="1" customWidth="1"/>
    <col min="9991" max="9991" width="11" style="1" customWidth="1"/>
    <col min="9992" max="9992" width="10.85546875" style="1" customWidth="1"/>
    <col min="9993" max="9993" width="10.42578125" style="1" customWidth="1"/>
    <col min="9994" max="9995" width="9.140625" style="1"/>
    <col min="9996" max="9996" width="10.42578125" style="1" customWidth="1"/>
    <col min="9997" max="10000" width="9.140625" style="1"/>
    <col min="10001" max="10001" width="14.85546875" style="1" customWidth="1"/>
    <col min="10002" max="10002" width="9.5703125" style="1" bestFit="1" customWidth="1"/>
    <col min="10003" max="10003" width="9.5703125" style="1" customWidth="1"/>
    <col min="10004" max="10006" width="9.140625" style="1"/>
    <col min="10007" max="10007" width="13.7109375" style="1" bestFit="1" customWidth="1"/>
    <col min="10008" max="10008" width="9.140625" style="1"/>
    <col min="10009" max="10009" width="13.5703125" style="1" bestFit="1" customWidth="1"/>
    <col min="10010" max="10243" width="9.140625" style="1"/>
    <col min="10244" max="10244" width="10.7109375" style="1" customWidth="1"/>
    <col min="10245" max="10245" width="12.7109375" style="1" customWidth="1"/>
    <col min="10246" max="10246" width="11.85546875" style="1" customWidth="1"/>
    <col min="10247" max="10247" width="11" style="1" customWidth="1"/>
    <col min="10248" max="10248" width="10.85546875" style="1" customWidth="1"/>
    <col min="10249" max="10249" width="10.42578125" style="1" customWidth="1"/>
    <col min="10250" max="10251" width="9.140625" style="1"/>
    <col min="10252" max="10252" width="10.42578125" style="1" customWidth="1"/>
    <col min="10253" max="10256" width="9.140625" style="1"/>
    <col min="10257" max="10257" width="14.85546875" style="1" customWidth="1"/>
    <col min="10258" max="10258" width="9.5703125" style="1" bestFit="1" customWidth="1"/>
    <col min="10259" max="10259" width="9.5703125" style="1" customWidth="1"/>
    <col min="10260" max="10262" width="9.140625" style="1"/>
    <col min="10263" max="10263" width="13.7109375" style="1" bestFit="1" customWidth="1"/>
    <col min="10264" max="10264" width="9.140625" style="1"/>
    <col min="10265" max="10265" width="13.5703125" style="1" bestFit="1" customWidth="1"/>
    <col min="10266" max="10499" width="9.140625" style="1"/>
    <col min="10500" max="10500" width="10.7109375" style="1" customWidth="1"/>
    <col min="10501" max="10501" width="12.7109375" style="1" customWidth="1"/>
    <col min="10502" max="10502" width="11.85546875" style="1" customWidth="1"/>
    <col min="10503" max="10503" width="11" style="1" customWidth="1"/>
    <col min="10504" max="10504" width="10.85546875" style="1" customWidth="1"/>
    <col min="10505" max="10505" width="10.42578125" style="1" customWidth="1"/>
    <col min="10506" max="10507" width="9.140625" style="1"/>
    <col min="10508" max="10508" width="10.42578125" style="1" customWidth="1"/>
    <col min="10509" max="10512" width="9.140625" style="1"/>
    <col min="10513" max="10513" width="14.85546875" style="1" customWidth="1"/>
    <col min="10514" max="10514" width="9.5703125" style="1" bestFit="1" customWidth="1"/>
    <col min="10515" max="10515" width="9.5703125" style="1" customWidth="1"/>
    <col min="10516" max="10518" width="9.140625" style="1"/>
    <col min="10519" max="10519" width="13.7109375" style="1" bestFit="1" customWidth="1"/>
    <col min="10520" max="10520" width="9.140625" style="1"/>
    <col min="10521" max="10521" width="13.5703125" style="1" bestFit="1" customWidth="1"/>
    <col min="10522" max="10755" width="9.140625" style="1"/>
    <col min="10756" max="10756" width="10.7109375" style="1" customWidth="1"/>
    <col min="10757" max="10757" width="12.7109375" style="1" customWidth="1"/>
    <col min="10758" max="10758" width="11.85546875" style="1" customWidth="1"/>
    <col min="10759" max="10759" width="11" style="1" customWidth="1"/>
    <col min="10760" max="10760" width="10.85546875" style="1" customWidth="1"/>
    <col min="10761" max="10761" width="10.42578125" style="1" customWidth="1"/>
    <col min="10762" max="10763" width="9.140625" style="1"/>
    <col min="10764" max="10764" width="10.42578125" style="1" customWidth="1"/>
    <col min="10765" max="10768" width="9.140625" style="1"/>
    <col min="10769" max="10769" width="14.85546875" style="1" customWidth="1"/>
    <col min="10770" max="10770" width="9.5703125" style="1" bestFit="1" customWidth="1"/>
    <col min="10771" max="10771" width="9.5703125" style="1" customWidth="1"/>
    <col min="10772" max="10774" width="9.140625" style="1"/>
    <col min="10775" max="10775" width="13.7109375" style="1" bestFit="1" customWidth="1"/>
    <col min="10776" max="10776" width="9.140625" style="1"/>
    <col min="10777" max="10777" width="13.5703125" style="1" bestFit="1" customWidth="1"/>
    <col min="10778" max="11011" width="9.140625" style="1"/>
    <col min="11012" max="11012" width="10.7109375" style="1" customWidth="1"/>
    <col min="11013" max="11013" width="12.7109375" style="1" customWidth="1"/>
    <col min="11014" max="11014" width="11.85546875" style="1" customWidth="1"/>
    <col min="11015" max="11015" width="11" style="1" customWidth="1"/>
    <col min="11016" max="11016" width="10.85546875" style="1" customWidth="1"/>
    <col min="11017" max="11017" width="10.42578125" style="1" customWidth="1"/>
    <col min="11018" max="11019" width="9.140625" style="1"/>
    <col min="11020" max="11020" width="10.42578125" style="1" customWidth="1"/>
    <col min="11021" max="11024" width="9.140625" style="1"/>
    <col min="11025" max="11025" width="14.85546875" style="1" customWidth="1"/>
    <col min="11026" max="11026" width="9.5703125" style="1" bestFit="1" customWidth="1"/>
    <col min="11027" max="11027" width="9.5703125" style="1" customWidth="1"/>
    <col min="11028" max="11030" width="9.140625" style="1"/>
    <col min="11031" max="11031" width="13.7109375" style="1" bestFit="1" customWidth="1"/>
    <col min="11032" max="11032" width="9.140625" style="1"/>
    <col min="11033" max="11033" width="13.5703125" style="1" bestFit="1" customWidth="1"/>
    <col min="11034" max="11267" width="9.140625" style="1"/>
    <col min="11268" max="11268" width="10.7109375" style="1" customWidth="1"/>
    <col min="11269" max="11269" width="12.7109375" style="1" customWidth="1"/>
    <col min="11270" max="11270" width="11.85546875" style="1" customWidth="1"/>
    <col min="11271" max="11271" width="11" style="1" customWidth="1"/>
    <col min="11272" max="11272" width="10.85546875" style="1" customWidth="1"/>
    <col min="11273" max="11273" width="10.42578125" style="1" customWidth="1"/>
    <col min="11274" max="11275" width="9.140625" style="1"/>
    <col min="11276" max="11276" width="10.42578125" style="1" customWidth="1"/>
    <col min="11277" max="11280" width="9.140625" style="1"/>
    <col min="11281" max="11281" width="14.85546875" style="1" customWidth="1"/>
    <col min="11282" max="11282" width="9.5703125" style="1" bestFit="1" customWidth="1"/>
    <col min="11283" max="11283" width="9.5703125" style="1" customWidth="1"/>
    <col min="11284" max="11286" width="9.140625" style="1"/>
    <col min="11287" max="11287" width="13.7109375" style="1" bestFit="1" customWidth="1"/>
    <col min="11288" max="11288" width="9.140625" style="1"/>
    <col min="11289" max="11289" width="13.5703125" style="1" bestFit="1" customWidth="1"/>
    <col min="11290" max="11523" width="9.140625" style="1"/>
    <col min="11524" max="11524" width="10.7109375" style="1" customWidth="1"/>
    <col min="11525" max="11525" width="12.7109375" style="1" customWidth="1"/>
    <col min="11526" max="11526" width="11.85546875" style="1" customWidth="1"/>
    <col min="11527" max="11527" width="11" style="1" customWidth="1"/>
    <col min="11528" max="11528" width="10.85546875" style="1" customWidth="1"/>
    <col min="11529" max="11529" width="10.42578125" style="1" customWidth="1"/>
    <col min="11530" max="11531" width="9.140625" style="1"/>
    <col min="11532" max="11532" width="10.42578125" style="1" customWidth="1"/>
    <col min="11533" max="11536" width="9.140625" style="1"/>
    <col min="11537" max="11537" width="14.85546875" style="1" customWidth="1"/>
    <col min="11538" max="11538" width="9.5703125" style="1" bestFit="1" customWidth="1"/>
    <col min="11539" max="11539" width="9.5703125" style="1" customWidth="1"/>
    <col min="11540" max="11542" width="9.140625" style="1"/>
    <col min="11543" max="11543" width="13.7109375" style="1" bestFit="1" customWidth="1"/>
    <col min="11544" max="11544" width="9.140625" style="1"/>
    <col min="11545" max="11545" width="13.5703125" style="1" bestFit="1" customWidth="1"/>
    <col min="11546" max="11779" width="9.140625" style="1"/>
    <col min="11780" max="11780" width="10.7109375" style="1" customWidth="1"/>
    <col min="11781" max="11781" width="12.7109375" style="1" customWidth="1"/>
    <col min="11782" max="11782" width="11.85546875" style="1" customWidth="1"/>
    <col min="11783" max="11783" width="11" style="1" customWidth="1"/>
    <col min="11784" max="11784" width="10.85546875" style="1" customWidth="1"/>
    <col min="11785" max="11785" width="10.42578125" style="1" customWidth="1"/>
    <col min="11786" max="11787" width="9.140625" style="1"/>
    <col min="11788" max="11788" width="10.42578125" style="1" customWidth="1"/>
    <col min="11789" max="11792" width="9.140625" style="1"/>
    <col min="11793" max="11793" width="14.85546875" style="1" customWidth="1"/>
    <col min="11794" max="11794" width="9.5703125" style="1" bestFit="1" customWidth="1"/>
    <col min="11795" max="11795" width="9.5703125" style="1" customWidth="1"/>
    <col min="11796" max="11798" width="9.140625" style="1"/>
    <col min="11799" max="11799" width="13.7109375" style="1" bestFit="1" customWidth="1"/>
    <col min="11800" max="11800" width="9.140625" style="1"/>
    <col min="11801" max="11801" width="13.5703125" style="1" bestFit="1" customWidth="1"/>
    <col min="11802" max="12035" width="9.140625" style="1"/>
    <col min="12036" max="12036" width="10.7109375" style="1" customWidth="1"/>
    <col min="12037" max="12037" width="12.7109375" style="1" customWidth="1"/>
    <col min="12038" max="12038" width="11.85546875" style="1" customWidth="1"/>
    <col min="12039" max="12039" width="11" style="1" customWidth="1"/>
    <col min="12040" max="12040" width="10.85546875" style="1" customWidth="1"/>
    <col min="12041" max="12041" width="10.42578125" style="1" customWidth="1"/>
    <col min="12042" max="12043" width="9.140625" style="1"/>
    <col min="12044" max="12044" width="10.42578125" style="1" customWidth="1"/>
    <col min="12045" max="12048" width="9.140625" style="1"/>
    <col min="12049" max="12049" width="14.85546875" style="1" customWidth="1"/>
    <col min="12050" max="12050" width="9.5703125" style="1" bestFit="1" customWidth="1"/>
    <col min="12051" max="12051" width="9.5703125" style="1" customWidth="1"/>
    <col min="12052" max="12054" width="9.140625" style="1"/>
    <col min="12055" max="12055" width="13.7109375" style="1" bestFit="1" customWidth="1"/>
    <col min="12056" max="12056" width="9.140625" style="1"/>
    <col min="12057" max="12057" width="13.5703125" style="1" bestFit="1" customWidth="1"/>
    <col min="12058" max="12291" width="9.140625" style="1"/>
    <col min="12292" max="12292" width="10.7109375" style="1" customWidth="1"/>
    <col min="12293" max="12293" width="12.7109375" style="1" customWidth="1"/>
    <col min="12294" max="12294" width="11.85546875" style="1" customWidth="1"/>
    <col min="12295" max="12295" width="11" style="1" customWidth="1"/>
    <col min="12296" max="12296" width="10.85546875" style="1" customWidth="1"/>
    <col min="12297" max="12297" width="10.42578125" style="1" customWidth="1"/>
    <col min="12298" max="12299" width="9.140625" style="1"/>
    <col min="12300" max="12300" width="10.42578125" style="1" customWidth="1"/>
    <col min="12301" max="12304" width="9.140625" style="1"/>
    <col min="12305" max="12305" width="14.85546875" style="1" customWidth="1"/>
    <col min="12306" max="12306" width="9.5703125" style="1" bestFit="1" customWidth="1"/>
    <col min="12307" max="12307" width="9.5703125" style="1" customWidth="1"/>
    <col min="12308" max="12310" width="9.140625" style="1"/>
    <col min="12311" max="12311" width="13.7109375" style="1" bestFit="1" customWidth="1"/>
    <col min="12312" max="12312" width="9.140625" style="1"/>
    <col min="12313" max="12313" width="13.5703125" style="1" bestFit="1" customWidth="1"/>
    <col min="12314" max="12547" width="9.140625" style="1"/>
    <col min="12548" max="12548" width="10.7109375" style="1" customWidth="1"/>
    <col min="12549" max="12549" width="12.7109375" style="1" customWidth="1"/>
    <col min="12550" max="12550" width="11.85546875" style="1" customWidth="1"/>
    <col min="12551" max="12551" width="11" style="1" customWidth="1"/>
    <col min="12552" max="12552" width="10.85546875" style="1" customWidth="1"/>
    <col min="12553" max="12553" width="10.42578125" style="1" customWidth="1"/>
    <col min="12554" max="12555" width="9.140625" style="1"/>
    <col min="12556" max="12556" width="10.42578125" style="1" customWidth="1"/>
    <col min="12557" max="12560" width="9.140625" style="1"/>
    <col min="12561" max="12561" width="14.85546875" style="1" customWidth="1"/>
    <col min="12562" max="12562" width="9.5703125" style="1" bestFit="1" customWidth="1"/>
    <col min="12563" max="12563" width="9.5703125" style="1" customWidth="1"/>
    <col min="12564" max="12566" width="9.140625" style="1"/>
    <col min="12567" max="12567" width="13.7109375" style="1" bestFit="1" customWidth="1"/>
    <col min="12568" max="12568" width="9.140625" style="1"/>
    <col min="12569" max="12569" width="13.5703125" style="1" bestFit="1" customWidth="1"/>
    <col min="12570" max="12803" width="9.140625" style="1"/>
    <col min="12804" max="12804" width="10.7109375" style="1" customWidth="1"/>
    <col min="12805" max="12805" width="12.7109375" style="1" customWidth="1"/>
    <col min="12806" max="12806" width="11.85546875" style="1" customWidth="1"/>
    <col min="12807" max="12807" width="11" style="1" customWidth="1"/>
    <col min="12808" max="12808" width="10.85546875" style="1" customWidth="1"/>
    <col min="12809" max="12809" width="10.42578125" style="1" customWidth="1"/>
    <col min="12810" max="12811" width="9.140625" style="1"/>
    <col min="12812" max="12812" width="10.42578125" style="1" customWidth="1"/>
    <col min="12813" max="12816" width="9.140625" style="1"/>
    <col min="12817" max="12817" width="14.85546875" style="1" customWidth="1"/>
    <col min="12818" max="12818" width="9.5703125" style="1" bestFit="1" customWidth="1"/>
    <col min="12819" max="12819" width="9.5703125" style="1" customWidth="1"/>
    <col min="12820" max="12822" width="9.140625" style="1"/>
    <col min="12823" max="12823" width="13.7109375" style="1" bestFit="1" customWidth="1"/>
    <col min="12824" max="12824" width="9.140625" style="1"/>
    <col min="12825" max="12825" width="13.5703125" style="1" bestFit="1" customWidth="1"/>
    <col min="12826" max="13059" width="9.140625" style="1"/>
    <col min="13060" max="13060" width="10.7109375" style="1" customWidth="1"/>
    <col min="13061" max="13061" width="12.7109375" style="1" customWidth="1"/>
    <col min="13062" max="13062" width="11.85546875" style="1" customWidth="1"/>
    <col min="13063" max="13063" width="11" style="1" customWidth="1"/>
    <col min="13064" max="13064" width="10.85546875" style="1" customWidth="1"/>
    <col min="13065" max="13065" width="10.42578125" style="1" customWidth="1"/>
    <col min="13066" max="13067" width="9.140625" style="1"/>
    <col min="13068" max="13068" width="10.42578125" style="1" customWidth="1"/>
    <col min="13069" max="13072" width="9.140625" style="1"/>
    <col min="13073" max="13073" width="14.85546875" style="1" customWidth="1"/>
    <col min="13074" max="13074" width="9.5703125" style="1" bestFit="1" customWidth="1"/>
    <col min="13075" max="13075" width="9.5703125" style="1" customWidth="1"/>
    <col min="13076" max="13078" width="9.140625" style="1"/>
    <col min="13079" max="13079" width="13.7109375" style="1" bestFit="1" customWidth="1"/>
    <col min="13080" max="13080" width="9.140625" style="1"/>
    <col min="13081" max="13081" width="13.5703125" style="1" bestFit="1" customWidth="1"/>
    <col min="13082" max="13315" width="9.140625" style="1"/>
    <col min="13316" max="13316" width="10.7109375" style="1" customWidth="1"/>
    <col min="13317" max="13317" width="12.7109375" style="1" customWidth="1"/>
    <col min="13318" max="13318" width="11.85546875" style="1" customWidth="1"/>
    <col min="13319" max="13319" width="11" style="1" customWidth="1"/>
    <col min="13320" max="13320" width="10.85546875" style="1" customWidth="1"/>
    <col min="13321" max="13321" width="10.42578125" style="1" customWidth="1"/>
    <col min="13322" max="13323" width="9.140625" style="1"/>
    <col min="13324" max="13324" width="10.42578125" style="1" customWidth="1"/>
    <col min="13325" max="13328" width="9.140625" style="1"/>
    <col min="13329" max="13329" width="14.85546875" style="1" customWidth="1"/>
    <col min="13330" max="13330" width="9.5703125" style="1" bestFit="1" customWidth="1"/>
    <col min="13331" max="13331" width="9.5703125" style="1" customWidth="1"/>
    <col min="13332" max="13334" width="9.140625" style="1"/>
    <col min="13335" max="13335" width="13.7109375" style="1" bestFit="1" customWidth="1"/>
    <col min="13336" max="13336" width="9.140625" style="1"/>
    <col min="13337" max="13337" width="13.5703125" style="1" bestFit="1" customWidth="1"/>
    <col min="13338" max="13571" width="9.140625" style="1"/>
    <col min="13572" max="13572" width="10.7109375" style="1" customWidth="1"/>
    <col min="13573" max="13573" width="12.7109375" style="1" customWidth="1"/>
    <col min="13574" max="13574" width="11.85546875" style="1" customWidth="1"/>
    <col min="13575" max="13575" width="11" style="1" customWidth="1"/>
    <col min="13576" max="13576" width="10.85546875" style="1" customWidth="1"/>
    <col min="13577" max="13577" width="10.42578125" style="1" customWidth="1"/>
    <col min="13578" max="13579" width="9.140625" style="1"/>
    <col min="13580" max="13580" width="10.42578125" style="1" customWidth="1"/>
    <col min="13581" max="13584" width="9.140625" style="1"/>
    <col min="13585" max="13585" width="14.85546875" style="1" customWidth="1"/>
    <col min="13586" max="13586" width="9.5703125" style="1" bestFit="1" customWidth="1"/>
    <col min="13587" max="13587" width="9.5703125" style="1" customWidth="1"/>
    <col min="13588" max="13590" width="9.140625" style="1"/>
    <col min="13591" max="13591" width="13.7109375" style="1" bestFit="1" customWidth="1"/>
    <col min="13592" max="13592" width="9.140625" style="1"/>
    <col min="13593" max="13593" width="13.5703125" style="1" bestFit="1" customWidth="1"/>
    <col min="13594" max="13827" width="9.140625" style="1"/>
    <col min="13828" max="13828" width="10.7109375" style="1" customWidth="1"/>
    <col min="13829" max="13829" width="12.7109375" style="1" customWidth="1"/>
    <col min="13830" max="13830" width="11.85546875" style="1" customWidth="1"/>
    <col min="13831" max="13831" width="11" style="1" customWidth="1"/>
    <col min="13832" max="13832" width="10.85546875" style="1" customWidth="1"/>
    <col min="13833" max="13833" width="10.42578125" style="1" customWidth="1"/>
    <col min="13834" max="13835" width="9.140625" style="1"/>
    <col min="13836" max="13836" width="10.42578125" style="1" customWidth="1"/>
    <col min="13837" max="13840" width="9.140625" style="1"/>
    <col min="13841" max="13841" width="14.85546875" style="1" customWidth="1"/>
    <col min="13842" max="13842" width="9.5703125" style="1" bestFit="1" customWidth="1"/>
    <col min="13843" max="13843" width="9.5703125" style="1" customWidth="1"/>
    <col min="13844" max="13846" width="9.140625" style="1"/>
    <col min="13847" max="13847" width="13.7109375" style="1" bestFit="1" customWidth="1"/>
    <col min="13848" max="13848" width="9.140625" style="1"/>
    <col min="13849" max="13849" width="13.5703125" style="1" bestFit="1" customWidth="1"/>
    <col min="13850" max="14083" width="9.140625" style="1"/>
    <col min="14084" max="14084" width="10.7109375" style="1" customWidth="1"/>
    <col min="14085" max="14085" width="12.7109375" style="1" customWidth="1"/>
    <col min="14086" max="14086" width="11.85546875" style="1" customWidth="1"/>
    <col min="14087" max="14087" width="11" style="1" customWidth="1"/>
    <col min="14088" max="14088" width="10.85546875" style="1" customWidth="1"/>
    <col min="14089" max="14089" width="10.42578125" style="1" customWidth="1"/>
    <col min="14090" max="14091" width="9.140625" style="1"/>
    <col min="14092" max="14092" width="10.42578125" style="1" customWidth="1"/>
    <col min="14093" max="14096" width="9.140625" style="1"/>
    <col min="14097" max="14097" width="14.85546875" style="1" customWidth="1"/>
    <col min="14098" max="14098" width="9.5703125" style="1" bestFit="1" customWidth="1"/>
    <col min="14099" max="14099" width="9.5703125" style="1" customWidth="1"/>
    <col min="14100" max="14102" width="9.140625" style="1"/>
    <col min="14103" max="14103" width="13.7109375" style="1" bestFit="1" customWidth="1"/>
    <col min="14104" max="14104" width="9.140625" style="1"/>
    <col min="14105" max="14105" width="13.5703125" style="1" bestFit="1" customWidth="1"/>
    <col min="14106" max="14339" width="9.140625" style="1"/>
    <col min="14340" max="14340" width="10.7109375" style="1" customWidth="1"/>
    <col min="14341" max="14341" width="12.7109375" style="1" customWidth="1"/>
    <col min="14342" max="14342" width="11.85546875" style="1" customWidth="1"/>
    <col min="14343" max="14343" width="11" style="1" customWidth="1"/>
    <col min="14344" max="14344" width="10.85546875" style="1" customWidth="1"/>
    <col min="14345" max="14345" width="10.42578125" style="1" customWidth="1"/>
    <col min="14346" max="14347" width="9.140625" style="1"/>
    <col min="14348" max="14348" width="10.42578125" style="1" customWidth="1"/>
    <col min="14349" max="14352" width="9.140625" style="1"/>
    <col min="14353" max="14353" width="14.85546875" style="1" customWidth="1"/>
    <col min="14354" max="14354" width="9.5703125" style="1" bestFit="1" customWidth="1"/>
    <col min="14355" max="14355" width="9.5703125" style="1" customWidth="1"/>
    <col min="14356" max="14358" width="9.140625" style="1"/>
    <col min="14359" max="14359" width="13.7109375" style="1" bestFit="1" customWidth="1"/>
    <col min="14360" max="14360" width="9.140625" style="1"/>
    <col min="14361" max="14361" width="13.5703125" style="1" bestFit="1" customWidth="1"/>
    <col min="14362" max="14595" width="9.140625" style="1"/>
    <col min="14596" max="14596" width="10.7109375" style="1" customWidth="1"/>
    <col min="14597" max="14597" width="12.7109375" style="1" customWidth="1"/>
    <col min="14598" max="14598" width="11.85546875" style="1" customWidth="1"/>
    <col min="14599" max="14599" width="11" style="1" customWidth="1"/>
    <col min="14600" max="14600" width="10.85546875" style="1" customWidth="1"/>
    <col min="14601" max="14601" width="10.42578125" style="1" customWidth="1"/>
    <col min="14602" max="14603" width="9.140625" style="1"/>
    <col min="14604" max="14604" width="10.42578125" style="1" customWidth="1"/>
    <col min="14605" max="14608" width="9.140625" style="1"/>
    <col min="14609" max="14609" width="14.85546875" style="1" customWidth="1"/>
    <col min="14610" max="14610" width="9.5703125" style="1" bestFit="1" customWidth="1"/>
    <col min="14611" max="14611" width="9.5703125" style="1" customWidth="1"/>
    <col min="14612" max="14614" width="9.140625" style="1"/>
    <col min="14615" max="14615" width="13.7109375" style="1" bestFit="1" customWidth="1"/>
    <col min="14616" max="14616" width="9.140625" style="1"/>
    <col min="14617" max="14617" width="13.5703125" style="1" bestFit="1" customWidth="1"/>
    <col min="14618" max="14851" width="9.140625" style="1"/>
    <col min="14852" max="14852" width="10.7109375" style="1" customWidth="1"/>
    <col min="14853" max="14853" width="12.7109375" style="1" customWidth="1"/>
    <col min="14854" max="14854" width="11.85546875" style="1" customWidth="1"/>
    <col min="14855" max="14855" width="11" style="1" customWidth="1"/>
    <col min="14856" max="14856" width="10.85546875" style="1" customWidth="1"/>
    <col min="14857" max="14857" width="10.42578125" style="1" customWidth="1"/>
    <col min="14858" max="14859" width="9.140625" style="1"/>
    <col min="14860" max="14860" width="10.42578125" style="1" customWidth="1"/>
    <col min="14861" max="14864" width="9.140625" style="1"/>
    <col min="14865" max="14865" width="14.85546875" style="1" customWidth="1"/>
    <col min="14866" max="14866" width="9.5703125" style="1" bestFit="1" customWidth="1"/>
    <col min="14867" max="14867" width="9.5703125" style="1" customWidth="1"/>
    <col min="14868" max="14870" width="9.140625" style="1"/>
    <col min="14871" max="14871" width="13.7109375" style="1" bestFit="1" customWidth="1"/>
    <col min="14872" max="14872" width="9.140625" style="1"/>
    <col min="14873" max="14873" width="13.5703125" style="1" bestFit="1" customWidth="1"/>
    <col min="14874" max="15107" width="9.140625" style="1"/>
    <col min="15108" max="15108" width="10.7109375" style="1" customWidth="1"/>
    <col min="15109" max="15109" width="12.7109375" style="1" customWidth="1"/>
    <col min="15110" max="15110" width="11.85546875" style="1" customWidth="1"/>
    <col min="15111" max="15111" width="11" style="1" customWidth="1"/>
    <col min="15112" max="15112" width="10.85546875" style="1" customWidth="1"/>
    <col min="15113" max="15113" width="10.42578125" style="1" customWidth="1"/>
    <col min="15114" max="15115" width="9.140625" style="1"/>
    <col min="15116" max="15116" width="10.42578125" style="1" customWidth="1"/>
    <col min="15117" max="15120" width="9.140625" style="1"/>
    <col min="15121" max="15121" width="14.85546875" style="1" customWidth="1"/>
    <col min="15122" max="15122" width="9.5703125" style="1" bestFit="1" customWidth="1"/>
    <col min="15123" max="15123" width="9.5703125" style="1" customWidth="1"/>
    <col min="15124" max="15126" width="9.140625" style="1"/>
    <col min="15127" max="15127" width="13.7109375" style="1" bestFit="1" customWidth="1"/>
    <col min="15128" max="15128" width="9.140625" style="1"/>
    <col min="15129" max="15129" width="13.5703125" style="1" bestFit="1" customWidth="1"/>
    <col min="15130" max="15363" width="9.140625" style="1"/>
    <col min="15364" max="15364" width="10.7109375" style="1" customWidth="1"/>
    <col min="15365" max="15365" width="12.7109375" style="1" customWidth="1"/>
    <col min="15366" max="15366" width="11.85546875" style="1" customWidth="1"/>
    <col min="15367" max="15367" width="11" style="1" customWidth="1"/>
    <col min="15368" max="15368" width="10.85546875" style="1" customWidth="1"/>
    <col min="15369" max="15369" width="10.42578125" style="1" customWidth="1"/>
    <col min="15370" max="15371" width="9.140625" style="1"/>
    <col min="15372" max="15372" width="10.42578125" style="1" customWidth="1"/>
    <col min="15373" max="15376" width="9.140625" style="1"/>
    <col min="15377" max="15377" width="14.85546875" style="1" customWidth="1"/>
    <col min="15378" max="15378" width="9.5703125" style="1" bestFit="1" customWidth="1"/>
    <col min="15379" max="15379" width="9.5703125" style="1" customWidth="1"/>
    <col min="15380" max="15382" width="9.140625" style="1"/>
    <col min="15383" max="15383" width="13.7109375" style="1" bestFit="1" customWidth="1"/>
    <col min="15384" max="15384" width="9.140625" style="1"/>
    <col min="15385" max="15385" width="13.5703125" style="1" bestFit="1" customWidth="1"/>
    <col min="15386" max="15619" width="9.140625" style="1"/>
    <col min="15620" max="15620" width="10.7109375" style="1" customWidth="1"/>
    <col min="15621" max="15621" width="12.7109375" style="1" customWidth="1"/>
    <col min="15622" max="15622" width="11.85546875" style="1" customWidth="1"/>
    <col min="15623" max="15623" width="11" style="1" customWidth="1"/>
    <col min="15624" max="15624" width="10.85546875" style="1" customWidth="1"/>
    <col min="15625" max="15625" width="10.42578125" style="1" customWidth="1"/>
    <col min="15626" max="15627" width="9.140625" style="1"/>
    <col min="15628" max="15628" width="10.42578125" style="1" customWidth="1"/>
    <col min="15629" max="15632" width="9.140625" style="1"/>
    <col min="15633" max="15633" width="14.85546875" style="1" customWidth="1"/>
    <col min="15634" max="15634" width="9.5703125" style="1" bestFit="1" customWidth="1"/>
    <col min="15635" max="15635" width="9.5703125" style="1" customWidth="1"/>
    <col min="15636" max="15638" width="9.140625" style="1"/>
    <col min="15639" max="15639" width="13.7109375" style="1" bestFit="1" customWidth="1"/>
    <col min="15640" max="15640" width="9.140625" style="1"/>
    <col min="15641" max="15641" width="13.5703125" style="1" bestFit="1" customWidth="1"/>
    <col min="15642" max="15875" width="9.140625" style="1"/>
    <col min="15876" max="15876" width="10.7109375" style="1" customWidth="1"/>
    <col min="15877" max="15877" width="12.7109375" style="1" customWidth="1"/>
    <col min="15878" max="15878" width="11.85546875" style="1" customWidth="1"/>
    <col min="15879" max="15879" width="11" style="1" customWidth="1"/>
    <col min="15880" max="15880" width="10.85546875" style="1" customWidth="1"/>
    <col min="15881" max="15881" width="10.42578125" style="1" customWidth="1"/>
    <col min="15882" max="15883" width="9.140625" style="1"/>
    <col min="15884" max="15884" width="10.42578125" style="1" customWidth="1"/>
    <col min="15885" max="15888" width="9.140625" style="1"/>
    <col min="15889" max="15889" width="14.85546875" style="1" customWidth="1"/>
    <col min="15890" max="15890" width="9.5703125" style="1" bestFit="1" customWidth="1"/>
    <col min="15891" max="15891" width="9.5703125" style="1" customWidth="1"/>
    <col min="15892" max="15894" width="9.140625" style="1"/>
    <col min="15895" max="15895" width="13.7109375" style="1" bestFit="1" customWidth="1"/>
    <col min="15896" max="15896" width="9.140625" style="1"/>
    <col min="15897" max="15897" width="13.5703125" style="1" bestFit="1" customWidth="1"/>
    <col min="15898" max="16131" width="9.140625" style="1"/>
    <col min="16132" max="16132" width="10.7109375" style="1" customWidth="1"/>
    <col min="16133" max="16133" width="12.7109375" style="1" customWidth="1"/>
    <col min="16134" max="16134" width="11.85546875" style="1" customWidth="1"/>
    <col min="16135" max="16135" width="11" style="1" customWidth="1"/>
    <col min="16136" max="16136" width="10.85546875" style="1" customWidth="1"/>
    <col min="16137" max="16137" width="10.42578125" style="1" customWidth="1"/>
    <col min="16138" max="16139" width="9.140625" style="1"/>
    <col min="16140" max="16140" width="10.42578125" style="1" customWidth="1"/>
    <col min="16141" max="16144" width="9.140625" style="1"/>
    <col min="16145" max="16145" width="14.85546875" style="1" customWidth="1"/>
    <col min="16146" max="16146" width="9.5703125" style="1" bestFit="1" customWidth="1"/>
    <col min="16147" max="16147" width="9.5703125" style="1" customWidth="1"/>
    <col min="16148" max="16150" width="9.140625" style="1"/>
    <col min="16151" max="16151" width="13.7109375" style="1" bestFit="1" customWidth="1"/>
    <col min="16152" max="16152" width="9.140625" style="1"/>
    <col min="16153" max="16153" width="13.5703125" style="1" bestFit="1" customWidth="1"/>
    <col min="16154" max="16384" width="9.140625" style="1"/>
  </cols>
  <sheetData>
    <row r="1" spans="1:25" ht="51.75" x14ac:dyDescent="0.25">
      <c r="A1" s="2"/>
      <c r="B1" s="2"/>
      <c r="C1" s="3" t="s">
        <v>20</v>
      </c>
      <c r="D1" s="3" t="s">
        <v>21</v>
      </c>
      <c r="E1" s="3" t="s">
        <v>22</v>
      </c>
      <c r="F1" s="3" t="s">
        <v>23</v>
      </c>
      <c r="G1" s="3"/>
      <c r="H1" s="3"/>
      <c r="I1" s="3" t="s">
        <v>24</v>
      </c>
      <c r="J1" s="3"/>
      <c r="K1" s="3"/>
      <c r="L1" s="3" t="s">
        <v>25</v>
      </c>
      <c r="M1" s="3" t="s">
        <v>26</v>
      </c>
      <c r="N1" s="3" t="s">
        <v>27</v>
      </c>
      <c r="O1" s="2"/>
      <c r="P1" s="2"/>
      <c r="Q1" s="4" t="s">
        <v>28</v>
      </c>
      <c r="R1" s="2"/>
      <c r="S1" s="2"/>
      <c r="T1" s="2" t="s">
        <v>29</v>
      </c>
      <c r="U1" s="2"/>
      <c r="V1" s="2"/>
      <c r="W1" s="2"/>
      <c r="X1" s="2"/>
      <c r="Y1" s="2"/>
    </row>
    <row r="2" spans="1:25" x14ac:dyDescent="0.25">
      <c r="A2" s="2"/>
      <c r="B2" s="2"/>
      <c r="C2" s="5">
        <v>0.1</v>
      </c>
      <c r="D2" s="6">
        <f>2*PI()*C2</f>
        <v>0.62831853071795862</v>
      </c>
      <c r="E2" s="7">
        <f>20*LOG((((1+(2*3.14*C2*Calculator!C49*Calculator!C50*0.000001))/((1+2*3.14*C2*X7*Calculator!C50*0.000001)*((1+(2*3.14*C2)/(3.14*Calculator!C27*X14))))))*X12)</f>
        <v>18.695703621060218</v>
      </c>
      <c r="F2" s="7">
        <f t="shared" ref="F2:F24" si="0">180/PI()*(ATAN(D2/wz)-ATAN(D2/wp)+IF(D2&lt;wn,(-ATAN((1/0.36*D2/wn)/(1-(D2/wn)^2))),(-ATAN((1/0.36*D2/wn)/(1-(D2/wn)^2)))-PI()))</f>
        <v>-1.0191048425387549E-2</v>
      </c>
      <c r="G2" s="7"/>
      <c r="H2" s="7"/>
      <c r="I2" s="7">
        <f>20*LOG(((1+(2*3.14*D2*Calculator!C67*Calculator!C69*0.000000001))/((X10+Calculator!C67)*Calculator!C69*0.000000001*D2*2*3.14))*((1.2/Calculator!C17)*X10*X11))</f>
        <v>74.850111825306044</v>
      </c>
      <c r="J2" s="8">
        <f>180/3.14*(ATAN(C2/R7))</f>
        <v>2.3759999986393944E-3</v>
      </c>
      <c r="K2" s="8">
        <f>180/3.14*(-ATAN(C2/R8))</f>
        <v>-0.36237117318227313</v>
      </c>
      <c r="L2" s="8">
        <f>J2+K2</f>
        <v>-0.35999517318363372</v>
      </c>
      <c r="M2" s="7">
        <f>E2+I2</f>
        <v>93.545815446366262</v>
      </c>
      <c r="N2" s="7">
        <f t="shared" ref="N2:N24" si="1">F2+L2</f>
        <v>-0.37018622160902126</v>
      </c>
      <c r="O2" s="2"/>
      <c r="P2" s="2"/>
      <c r="Q2" s="2"/>
      <c r="R2" s="2"/>
      <c r="S2" s="2"/>
      <c r="T2" s="6">
        <v>1.096179249738642</v>
      </c>
      <c r="U2" s="2"/>
      <c r="V2" s="2"/>
      <c r="W2" s="2"/>
      <c r="X2" s="2"/>
      <c r="Y2" s="2"/>
    </row>
    <row r="3" spans="1:25" x14ac:dyDescent="0.25">
      <c r="A3" s="2"/>
      <c r="B3" s="2"/>
      <c r="C3" s="5">
        <v>0.2</v>
      </c>
      <c r="D3" s="6">
        <f t="shared" ref="D3:D24" si="2">2*PI()*C3</f>
        <v>1.2566370614359172</v>
      </c>
      <c r="E3" s="7">
        <f>20*LOG((((1+(2*3.14*C3*Calculator!C49*Calculator!C50*0.000001))/((1+2*3.14*C3*X7*Calculator!C50*0.000001)*((1+(2*3.14*C3)/(3.14*Calculator!C27*X14))))))*X12)</f>
        <v>18.69417089116261</v>
      </c>
      <c r="F3" s="7">
        <f t="shared" si="0"/>
        <v>-2.0382096201051515E-2</v>
      </c>
      <c r="G3" s="7"/>
      <c r="H3" s="7"/>
      <c r="I3" s="7">
        <f>20*LOG(((1+(2*3.14*D3*Calculator!C67*Calculator!C69*0.000000001))/((X10+Calculator!C67)*Calculator!C69*0.000000001*D3*2*3.14))*((1.2/Calculator!C17)*X10*X11))</f>
        <v>68.831773055594724</v>
      </c>
      <c r="J3" s="8">
        <f>180/3.14*(ATAN(C3/R7))</f>
        <v>4.7519999891151533E-3</v>
      </c>
      <c r="K3" s="8">
        <f>180/3.14*(-ATAN(C3/R8))</f>
        <v>-0.72471338823537068</v>
      </c>
      <c r="L3" s="8">
        <f t="shared" ref="L3:L8" si="3">J3+K3</f>
        <v>-0.71996138824625555</v>
      </c>
      <c r="M3" s="7">
        <f t="shared" ref="M3:M24" si="4">E3+I3</f>
        <v>87.525943946757337</v>
      </c>
      <c r="N3" s="7">
        <f t="shared" si="1"/>
        <v>-0.74034348444730702</v>
      </c>
      <c r="O3" s="2"/>
      <c r="P3" s="2"/>
      <c r="Q3" s="9" t="s">
        <v>30</v>
      </c>
      <c r="R3" s="15">
        <f>1/(Calculator!C50*Rload*0.000001)</f>
        <v>3523.6081747709659</v>
      </c>
      <c r="S3" s="2"/>
      <c r="T3" s="6">
        <v>0.54809005408360545</v>
      </c>
      <c r="U3" s="2"/>
      <c r="V3" s="2"/>
      <c r="W3" s="2"/>
      <c r="X3" s="2"/>
      <c r="Y3" s="2"/>
    </row>
    <row r="4" spans="1:25" x14ac:dyDescent="0.25">
      <c r="A4" s="2"/>
      <c r="B4" s="2"/>
      <c r="C4" s="5">
        <v>0.5</v>
      </c>
      <c r="D4" s="6">
        <f t="shared" si="2"/>
        <v>3.1415926535897931</v>
      </c>
      <c r="E4" s="7">
        <f>20*LOG((((1+(2*3.14*C4*Calculator!C49*Calculator!C50*0.000001))/((1+2*3.14*C4*X7*Calculator!C50*0.000001)*((1+(2*3.14*C4)/(3.14*Calculator!C27*X14))))))*X12)</f>
        <v>18.689574355041632</v>
      </c>
      <c r="F4" s="7">
        <f t="shared" si="0"/>
        <v>-5.0955229132471358E-2</v>
      </c>
      <c r="G4" s="7"/>
      <c r="H4" s="7"/>
      <c r="I4" s="7">
        <f>20*LOG(((1+(2*3.14*D4*Calculator!C67*Calculator!C69*0.000000001))/((X10+Calculator!C67)*Calculator!C69*0.000000001*D4*2*3.14))*((1.2/Calculator!C17)*X10*X11))</f>
        <v>60.879752783226103</v>
      </c>
      <c r="J4" s="8">
        <f>180/3.14*(ATAN(C4/R7))</f>
        <v>1.1879999829924272E-2</v>
      </c>
      <c r="K4" s="8">
        <f>180/3.14*(-ATAN(C4/R8))</f>
        <v>-1.8112769947244631</v>
      </c>
      <c r="L4" s="8">
        <f t="shared" si="3"/>
        <v>-1.7993969948945387</v>
      </c>
      <c r="M4" s="7">
        <f t="shared" si="4"/>
        <v>79.569327138267738</v>
      </c>
      <c r="N4" s="7">
        <f t="shared" si="1"/>
        <v>-1.8503522240270101</v>
      </c>
      <c r="O4" s="2"/>
      <c r="P4" s="2"/>
      <c r="Q4" s="9" t="s">
        <v>31</v>
      </c>
      <c r="R4" s="17">
        <f>1/(Calculator!C50*Calculator!C49*0.000001)</f>
        <v>258397.9328165375</v>
      </c>
      <c r="S4" s="2"/>
      <c r="T4" s="6">
        <v>0.2192372234296727</v>
      </c>
      <c r="U4" s="2"/>
      <c r="V4" s="6"/>
      <c r="W4" s="2"/>
      <c r="X4" s="2"/>
      <c r="Y4" s="2"/>
    </row>
    <row r="5" spans="1:25" x14ac:dyDescent="0.25">
      <c r="A5" s="2"/>
      <c r="B5" s="2"/>
      <c r="C5" s="5">
        <v>1</v>
      </c>
      <c r="D5" s="6">
        <f t="shared" si="2"/>
        <v>6.2831853071795862</v>
      </c>
      <c r="E5" s="7">
        <f>20*LOG((((1+(2*3.14*C5*Calculator!C49*Calculator!C50*0.000001))/((1+2*3.14*C5*X7*Calculator!C50*0.000001)*((1+(2*3.14*C5)/(3.14*Calculator!C27*X14))))))*X12)</f>
        <v>18.681918967526215</v>
      </c>
      <c r="F5" s="7">
        <f t="shared" si="0"/>
        <v>-0.10191037704968119</v>
      </c>
      <c r="G5" s="21"/>
      <c r="H5" s="7"/>
      <c r="I5" s="7">
        <f>20*LOG(((1+(2*3.14*C5*Calculator!C67*Calculator!C69*0.000000001))/((X10+Calculator!C67)*Calculator!C69*0.000000001*C5*2*3.14))*((1.2/Calculator!C17)*X10*X11))</f>
        <v>70.815046841770211</v>
      </c>
      <c r="J5" s="8">
        <f>(180/3.14)*(ATAN(C5/R7))</f>
        <v>2.3759998639394271E-2</v>
      </c>
      <c r="K5" s="8">
        <f>(180/3.14)*(-ATAN(C5/R8))</f>
        <v>-3.618944606871926</v>
      </c>
      <c r="L5" s="8">
        <f t="shared" si="3"/>
        <v>-3.5951846082325316</v>
      </c>
      <c r="M5" s="7">
        <f t="shared" si="4"/>
        <v>89.496965809296427</v>
      </c>
      <c r="N5" s="7">
        <f t="shared" si="1"/>
        <v>-3.6970949852822126</v>
      </c>
      <c r="O5" s="2"/>
      <c r="P5" s="2"/>
      <c r="Q5" s="9" t="s">
        <v>32</v>
      </c>
      <c r="R5" s="10">
        <f>PI()*Calculator!C27*0.637</f>
        <v>880525.58894814725</v>
      </c>
      <c r="S5" s="2"/>
      <c r="T5" s="6">
        <v>0.10962075775263416</v>
      </c>
      <c r="U5" s="2"/>
      <c r="V5" s="2"/>
      <c r="W5" s="11" t="s">
        <v>33</v>
      </c>
      <c r="X5" s="11"/>
      <c r="Y5" s="2"/>
    </row>
    <row r="6" spans="1:25" x14ac:dyDescent="0.25">
      <c r="A6" s="2"/>
      <c r="B6" s="2"/>
      <c r="C6" s="5">
        <v>2</v>
      </c>
      <c r="D6" s="6">
        <f t="shared" si="2"/>
        <v>12.566370614359172</v>
      </c>
      <c r="E6" s="7">
        <f>20*LOG((((1+(2*3.14*C6*Calculator!C49*Calculator!C50*0.000001))/((1+2*3.14*C6*X7*Calculator!C50*0.000001)*((1+(2*3.14*C6)/(3.14*Calculator!C27*X14))))))*X12)</f>
        <v>18.666628796030803</v>
      </c>
      <c r="F6" s="7">
        <f t="shared" si="0"/>
        <v>-0.20382010438191839</v>
      </c>
      <c r="G6" s="22"/>
      <c r="H6" s="7"/>
      <c r="I6" s="7">
        <f>20*LOG(((1+(2*3.14*C6*Calculator!C67*Calculator!C69*0.000000001))/((X10+Calculator!C67)*Calculator!C69*0.000000001*C6*2*3.14))*((1.2/Calculator!C17)*X10*X11))</f>
        <v>64.798044819198637</v>
      </c>
      <c r="J6" s="8">
        <f>(180/3.14)*(ATAN(C6/R7))</f>
        <v>4.7519989115157535E-2</v>
      </c>
      <c r="K6" s="8">
        <f>(180/3.14)*(-ATAN(C6/R8))</f>
        <v>-7.2092707002041694</v>
      </c>
      <c r="L6" s="8">
        <f t="shared" si="3"/>
        <v>-7.1617507110890122</v>
      </c>
      <c r="M6" s="7">
        <f t="shared" si="4"/>
        <v>83.464673615229444</v>
      </c>
      <c r="N6" s="7">
        <f t="shared" si="1"/>
        <v>-7.3655708154709307</v>
      </c>
      <c r="O6" s="2"/>
      <c r="P6" s="2"/>
      <c r="Q6" s="2" t="s">
        <v>60</v>
      </c>
      <c r="R6" s="10">
        <f>(2*3.14)^2/(3.14*Calculator!C27*1000)^2</f>
        <v>2.066115702479339E-17</v>
      </c>
      <c r="S6" s="2"/>
      <c r="T6" s="6">
        <v>5.4814670741782659E-2</v>
      </c>
      <c r="U6" s="2"/>
      <c r="V6" s="2"/>
      <c r="W6" s="2"/>
      <c r="X6" s="2"/>
      <c r="Y6" s="12"/>
    </row>
    <row r="7" spans="1:25" x14ac:dyDescent="0.25">
      <c r="A7" s="2"/>
      <c r="B7" s="2"/>
      <c r="C7" s="5">
        <v>5</v>
      </c>
      <c r="D7" s="6">
        <f t="shared" si="2"/>
        <v>31.415926535897931</v>
      </c>
      <c r="E7" s="7">
        <f>20*LOG((((1+(2*3.14*C7*Calculator!C49*Calculator!C50*0.000001))/((1+2*3.14*C7*X7*Calculator!C50*0.000001)*((1+(2*3.14*C7)/(3.14*Calculator!C27*X14))))))*X12)</f>
        <v>18.620922234679451</v>
      </c>
      <c r="F7" s="7">
        <f t="shared" si="0"/>
        <v>-0.50953889142010311</v>
      </c>
      <c r="G7" s="7"/>
      <c r="H7" s="7"/>
      <c r="I7" s="7">
        <f>20*LOG(((1+(2*3.14*C7*Calculator!C67*Calculator!C69*0.000000001))/((X10+Calculator!C67)*Calculator!C69*0.000000001*C7*2*3.14))*((1.2/Calculator!C17)*X10*X11))</f>
        <v>56.850029384552123</v>
      </c>
      <c r="J7" s="8">
        <f>(180/3.14)*(ATAN(C7/R7))</f>
        <v>0.11879982992470457</v>
      </c>
      <c r="K7" s="8">
        <f>(180/3.14)*(-ATAN(C7/R8))</f>
        <v>-17.549204390159016</v>
      </c>
      <c r="L7" s="8">
        <f t="shared" si="3"/>
        <v>-17.430404560234312</v>
      </c>
      <c r="M7" s="7">
        <f t="shared" si="4"/>
        <v>75.47095161923157</v>
      </c>
      <c r="N7" s="7">
        <f t="shared" si="1"/>
        <v>-17.939943451654415</v>
      </c>
      <c r="O7" s="2"/>
      <c r="P7" s="2"/>
      <c r="Q7" s="9" t="s">
        <v>34</v>
      </c>
      <c r="R7" s="167">
        <f>1/((Calculator!C67*Calculator!C69*0.000000001)*6.28)</f>
        <v>2412.6616483304379</v>
      </c>
      <c r="S7" s="2"/>
      <c r="T7" s="6">
        <v>2.1937881756916442E-2</v>
      </c>
      <c r="U7" s="2"/>
      <c r="V7" s="2"/>
      <c r="W7" s="13" t="s">
        <v>35</v>
      </c>
      <c r="X7" s="14">
        <f>Calculator!C17/Calculator!C18</f>
        <v>2.1999999999999997</v>
      </c>
      <c r="Y7" s="12"/>
    </row>
    <row r="8" spans="1:25" x14ac:dyDescent="0.25">
      <c r="A8" s="2"/>
      <c r="B8" s="2"/>
      <c r="C8" s="5">
        <v>10</v>
      </c>
      <c r="D8" s="6">
        <f t="shared" si="2"/>
        <v>62.831853071795862</v>
      </c>
      <c r="E8" s="7">
        <f>20*LOG((((1+(2*3.14*C8*Calculator!C49*Calculator!C50*0.000001))/((1+2*3.14*C8*X7*Calculator!C50*0.000001)*((1+(2*3.14*C8)/(3.14*Calculator!C27*X14))))))*X12)</f>
        <v>18.545285381546396</v>
      </c>
      <c r="F8" s="7">
        <f t="shared" si="0"/>
        <v>-1.0189965867483957</v>
      </c>
      <c r="G8" s="7"/>
      <c r="H8" s="7"/>
      <c r="I8" s="7">
        <f>20*LOG(((1+(2*3.14*C8*Calculator!C67*Calculator!C69*0.000000001))/((X10+Calculator!C67)*Calculator!C69*0.000000001*C8*2*3.14))*((1.2/Calculator!C17)*X10*X11))</f>
        <v>50.847374331967089</v>
      </c>
      <c r="J8" s="8">
        <f>(180/3.14)*(ATAN(C8/R7))</f>
        <v>0.23759863940815487</v>
      </c>
      <c r="K8" s="8">
        <f>(180/3.14)*(-ATAN(C8/R8))</f>
        <v>-32.315196998463122</v>
      </c>
      <c r="L8" s="8">
        <f t="shared" si="3"/>
        <v>-32.077598359054967</v>
      </c>
      <c r="M8" s="7">
        <f t="shared" si="4"/>
        <v>69.392659713513481</v>
      </c>
      <c r="N8" s="7">
        <f t="shared" si="1"/>
        <v>-33.096594945803361</v>
      </c>
      <c r="O8" s="2"/>
      <c r="P8" s="2"/>
      <c r="Q8" s="9" t="s">
        <v>36</v>
      </c>
      <c r="R8" s="17">
        <f>1/(6.28*(1000000+Calculator!C67)*Calculator!C69*0.000000001)</f>
        <v>15.81916042020752</v>
      </c>
      <c r="S8" s="2"/>
      <c r="T8" s="6">
        <v>1.0990366675900731E-2</v>
      </c>
      <c r="U8" s="2"/>
      <c r="V8" s="2"/>
      <c r="W8" s="13" t="s">
        <v>37</v>
      </c>
      <c r="X8" s="16">
        <f>Calculator!C64</f>
        <v>8.6071987480438175</v>
      </c>
      <c r="Y8" s="12"/>
    </row>
    <row r="9" spans="1:25" x14ac:dyDescent="0.25">
      <c r="A9" s="2"/>
      <c r="B9" s="2"/>
      <c r="C9" s="5">
        <v>20</v>
      </c>
      <c r="D9" s="6">
        <f t="shared" si="2"/>
        <v>125.66370614359172</v>
      </c>
      <c r="E9" s="7">
        <f>20*LOG((((1+(2*3.14*C9*Calculator!C49*Calculator!C50*0.000001))/((1+2*3.14*C9*X7*Calculator!C50*0.000001)*((1+(2*3.14*C9)/(3.14*Calculator!C27*X14))))))*X12)</f>
        <v>18.395997339854819</v>
      </c>
      <c r="F9" s="7">
        <f t="shared" si="0"/>
        <v>-2.0373440690410867</v>
      </c>
      <c r="G9" s="7"/>
      <c r="H9" s="7"/>
      <c r="I9" s="7">
        <f>20*LOG(((1+(2*3.14*C9*Calculator!C67*Calculator!C69*0.000000001))/((X10+Calculator!C67)*Calculator!C69*0.000000001*C9*2*3.14))*((1.2/Calculator!C17)*X10*X11))</f>
        <v>44.862553300500423</v>
      </c>
      <c r="J9" s="8">
        <f>(180/3.14)*(ATAN(C9/R7))</f>
        <v>0.47518911560180899</v>
      </c>
      <c r="K9" s="8">
        <f>(180/3.14)*(-ATAN(C9/R8))</f>
        <v>-51.683684078981791</v>
      </c>
      <c r="L9" s="8">
        <f t="shared" ref="L9:L24" si="5">J9+K9</f>
        <v>-51.208494963379984</v>
      </c>
      <c r="M9" s="7">
        <f t="shared" si="4"/>
        <v>63.258550640355239</v>
      </c>
      <c r="N9" s="7">
        <f t="shared" si="1"/>
        <v>-53.245839032421074</v>
      </c>
      <c r="O9" s="2"/>
      <c r="P9" s="2"/>
      <c r="Q9" s="9" t="s">
        <v>38</v>
      </c>
      <c r="R9" s="17">
        <f>1/(6.28*(1000000)*0.00000000047)</f>
        <v>338.79929529746573</v>
      </c>
      <c r="S9" s="2"/>
      <c r="T9" s="6">
        <v>5.5378276147116405E-3</v>
      </c>
      <c r="U9" s="2"/>
      <c r="V9" s="2"/>
      <c r="W9" s="13" t="s">
        <v>39</v>
      </c>
      <c r="X9" s="13">
        <v>5</v>
      </c>
      <c r="Y9" s="2"/>
    </row>
    <row r="10" spans="1:25" x14ac:dyDescent="0.25">
      <c r="A10" s="2"/>
      <c r="B10" s="2"/>
      <c r="C10" s="5">
        <v>50</v>
      </c>
      <c r="D10" s="6">
        <f t="shared" si="2"/>
        <v>314.15926535897933</v>
      </c>
      <c r="E10" s="7">
        <f>20*LOG((((1+(2*3.14*C10*Calculator!C49*Calculator!C50*0.000001))/((1+2*3.14*C10*X7*Calculator!C50*0.000001)*((1+(2*3.14*C10)/(3.14*Calculator!C27*X14))))))*X12)</f>
        <v>17.963225973618179</v>
      </c>
      <c r="F10" s="7">
        <f t="shared" si="0"/>
        <v>-5.0820525533774807</v>
      </c>
      <c r="G10" s="7"/>
      <c r="H10" s="7"/>
      <c r="I10" s="7">
        <f>20*LOG(((1+(2*3.14*C10*Calculator!C67*Calculator!C69*0.000000001))/((X10+Calculator!C67)*Calculator!C69*0.000000001*C10*2*3.14))*((1.2/Calculator!C17)*X10*X11))</f>
        <v>37.010213900128157</v>
      </c>
      <c r="J10" s="8">
        <f>(180/3.14)*(ATAN(C10/R7))</f>
        <v>1.1878299680797655</v>
      </c>
      <c r="K10" s="8">
        <f>(180/3.14)*(-ATAN(C10/R8))</f>
        <v>-72.480247605825724</v>
      </c>
      <c r="L10" s="8">
        <f t="shared" si="5"/>
        <v>-71.292417637745956</v>
      </c>
      <c r="M10" s="7">
        <f t="shared" si="4"/>
        <v>54.973439873746337</v>
      </c>
      <c r="N10" s="7">
        <f t="shared" si="1"/>
        <v>-76.374470191123436</v>
      </c>
      <c r="O10" s="2"/>
      <c r="P10" s="2"/>
      <c r="Q10" s="2" t="s">
        <v>40</v>
      </c>
      <c r="S10" s="2"/>
      <c r="T10" s="6">
        <v>2.3310412314371844E-3</v>
      </c>
      <c r="U10" s="2"/>
      <c r="V10" s="2"/>
      <c r="W10" s="2" t="s">
        <v>45</v>
      </c>
      <c r="X10" s="2">
        <v>10000000</v>
      </c>
      <c r="Y10" s="2"/>
    </row>
    <row r="11" spans="1:25" x14ac:dyDescent="0.25">
      <c r="A11" s="2"/>
      <c r="B11" s="2"/>
      <c r="C11" s="5">
        <v>100</v>
      </c>
      <c r="D11" s="6">
        <f t="shared" si="2"/>
        <v>628.31853071795865</v>
      </c>
      <c r="E11" s="7">
        <f>20*LOG((((1+(2*3.14*C11*Calculator!C49*Calculator!C50*0.000001))/((1+2*3.14*C11*X7*Calculator!C50*0.000001)*((1+(2*3.14*C11)/(3.14*Calculator!C27*X14))))))*X12)</f>
        <v>17.287549507620966</v>
      </c>
      <c r="F11" s="7">
        <f t="shared" si="0"/>
        <v>-10.084781391750935</v>
      </c>
      <c r="G11" s="7"/>
      <c r="H11" s="7"/>
      <c r="I11" s="7">
        <f>20*LOG(((1+(2*3.14*C11*Calculator!C67*Calculator!C69*0.000000001))/((X10+Calculator!C67)*Calculator!C69*0.000000001*C11*2*3.14))*((1.2/Calculator!C17)*X10*X11))</f>
        <v>31.16419926596841</v>
      </c>
      <c r="J11" s="8">
        <f>(180/3.14)*(ATAN(C11/R7))</f>
        <v>2.3746407948726298</v>
      </c>
      <c r="K11" s="8">
        <f>(180/3.14)*(-ATAN(C11/R8))</f>
        <v>-81.051868479263021</v>
      </c>
      <c r="L11" s="8">
        <f t="shared" si="5"/>
        <v>-78.677227684390388</v>
      </c>
      <c r="M11" s="7">
        <f t="shared" si="4"/>
        <v>48.451748773589372</v>
      </c>
      <c r="N11" s="7">
        <f t="shared" si="1"/>
        <v>-88.762009076141325</v>
      </c>
      <c r="O11" s="2"/>
      <c r="P11" s="2"/>
      <c r="S11" s="9"/>
      <c r="T11" s="6">
        <v>1.3523698391320527E-3</v>
      </c>
      <c r="U11" s="2"/>
      <c r="V11" s="2"/>
      <c r="W11" s="2" t="s">
        <v>46</v>
      </c>
      <c r="X11" s="12">
        <v>1.1999999999999999E-3</v>
      </c>
      <c r="Y11" s="12"/>
    </row>
    <row r="12" spans="1:25" x14ac:dyDescent="0.25">
      <c r="A12" s="2"/>
      <c r="B12" s="2"/>
      <c r="C12" s="5">
        <v>200</v>
      </c>
      <c r="D12" s="6">
        <f t="shared" si="2"/>
        <v>1256.6370614359173</v>
      </c>
      <c r="E12" s="7">
        <f>20*LOG((((1+(2*3.14*C12*Calculator!C49*Calculator!C50*0.000001))/((1+2*3.14*C12*X7*Calculator!C50*0.000001)*((1+(2*3.14*C12)/(3.14*Calculator!C27*X14))))))*X12)</f>
        <v>16.078872004287355</v>
      </c>
      <c r="F12" s="7">
        <f t="shared" si="0"/>
        <v>-19.576440747889816</v>
      </c>
      <c r="G12" s="7"/>
      <c r="H12" s="7"/>
      <c r="I12" s="7">
        <f>20*LOG(((1+(2*3.14*C12*Calculator!C67*Calculator!C69*0.000000001))/((X10+Calculator!C67)*Calculator!C69*0.000000001*C12*2*3.14))*((1.2/Calculator!C17)*X10*X11))</f>
        <v>25.482582537240322</v>
      </c>
      <c r="J12" s="8">
        <f>(180/3.14)*(ATAN(C12/R7))</f>
        <v>4.7411598126792454</v>
      </c>
      <c r="K12" s="8">
        <f>(180/3.14)*(-ATAN(C12/R8))</f>
        <v>-85.520915154746206</v>
      </c>
      <c r="L12" s="8">
        <f t="shared" si="5"/>
        <v>-80.779755342066963</v>
      </c>
      <c r="M12" s="7">
        <f t="shared" si="4"/>
        <v>41.561454541527681</v>
      </c>
      <c r="N12" s="7">
        <f t="shared" si="1"/>
        <v>-100.35619608995678</v>
      </c>
      <c r="O12" s="2"/>
      <c r="P12" s="2"/>
      <c r="S12" s="2"/>
      <c r="T12" s="6">
        <v>9.6312078131274208E-4</v>
      </c>
      <c r="U12" s="2"/>
      <c r="V12" s="2"/>
      <c r="W12" s="2" t="s">
        <v>46</v>
      </c>
      <c r="X12" s="2">
        <f>X7/((Calculator!C33+Calculator!C40)*12)</f>
        <v>8.6071987480438175</v>
      </c>
      <c r="Y12" s="12"/>
    </row>
    <row r="13" spans="1:25" x14ac:dyDescent="0.25">
      <c r="A13" s="2"/>
      <c r="B13" s="2"/>
      <c r="C13" s="5">
        <v>500</v>
      </c>
      <c r="D13" s="6">
        <f t="shared" si="2"/>
        <v>3141.5926535897929</v>
      </c>
      <c r="E13" s="7">
        <f>20*LOG((((1+(2*3.14*C13*Calculator!C49*Calculator!C50*0.000001))/((1+2*3.14*C13*X7*Calculator!C50*0.000001)*((1+(2*3.14*C13)/(3.14*Calculator!C27*X14))))))*X12)</f>
        <v>13.23677512339934</v>
      </c>
      <c r="F13" s="7">
        <f t="shared" si="0"/>
        <v>-41.590950818839119</v>
      </c>
      <c r="G13" s="7"/>
      <c r="H13" s="7"/>
      <c r="I13" s="7">
        <f>20*LOG(((1+(2*3.14*C13*Calculator!C67*Calculator!C69*0.000000001))/((X10+Calculator!C67)*Calculator!C69*0.000000001*C13*2*3.14))*((1.2/Calculator!C17)*X10*X11))</f>
        <v>18.467919706817231</v>
      </c>
      <c r="J13" s="8">
        <f>(180/3.14)*(ATAN(C13/R7))</f>
        <v>11.714176845677198</v>
      </c>
      <c r="K13" s="8">
        <f>(180/3.14)*(-ATAN(C13/R8))</f>
        <v>-88.232592387686623</v>
      </c>
      <c r="L13" s="8">
        <f t="shared" si="5"/>
        <v>-76.518415542009421</v>
      </c>
      <c r="M13" s="7">
        <f t="shared" si="4"/>
        <v>31.704694830216571</v>
      </c>
      <c r="N13" s="7">
        <f t="shared" si="1"/>
        <v>-118.10936636084854</v>
      </c>
      <c r="O13" s="2"/>
      <c r="P13" s="2"/>
      <c r="S13" s="2"/>
      <c r="T13" s="6">
        <v>8.2133464775422922E-4</v>
      </c>
      <c r="U13" s="2"/>
      <c r="V13" s="2"/>
      <c r="W13" s="9">
        <f>20*LOG((1.2/Calculator!C17)*X10*X11)</f>
        <v>66.77637113106762</v>
      </c>
      <c r="X13" s="2"/>
      <c r="Y13" s="2"/>
    </row>
    <row r="14" spans="1:25" x14ac:dyDescent="0.25">
      <c r="A14" s="2"/>
      <c r="B14" s="2"/>
      <c r="C14" s="5">
        <v>1000</v>
      </c>
      <c r="D14" s="6">
        <f t="shared" si="2"/>
        <v>6283.1853071795858</v>
      </c>
      <c r="E14" s="7">
        <f>20*LOG((((1+(2*3.14*C14*Calculator!C49*Calculator!C50*0.000001))/((1+2*3.14*C14*X7*Calculator!C50*0.000001)*((1+(2*3.14*C14)/(3.14*Calculator!C27*X14))))))*X12)</f>
        <v>9.9560783427976176</v>
      </c>
      <c r="F14" s="7">
        <f t="shared" si="0"/>
        <v>-60.458975482650686</v>
      </c>
      <c r="G14" s="23"/>
      <c r="H14" s="7"/>
      <c r="I14" s="7">
        <f>20*LOG(((1+(2*3.14*C14*Calculator!C67*Calculator!C69*0.000000001))/((X10+Calculator!C67)*Calculator!C69*0.000000001*C14*2*3.14))*((1.2/Calculator!C17)*X10*X11))</f>
        <v>13.823383682954653</v>
      </c>
      <c r="J14" s="8">
        <f>(180/3.14)*(ATAN(C14/R7))</f>
        <v>22.524447841556579</v>
      </c>
      <c r="K14" s="8">
        <f>(180/3.14)*(-ATAN(C14/R8))</f>
        <v>-89.138894086792703</v>
      </c>
      <c r="L14" s="8">
        <f t="shared" si="5"/>
        <v>-66.614446245236124</v>
      </c>
      <c r="M14" s="7">
        <f t="shared" si="4"/>
        <v>23.77946202575227</v>
      </c>
      <c r="N14" s="7">
        <f t="shared" si="1"/>
        <v>-127.07342172788681</v>
      </c>
      <c r="O14" s="2"/>
      <c r="P14" s="2"/>
      <c r="Q14" s="2"/>
      <c r="R14" s="10"/>
      <c r="S14" s="2"/>
      <c r="T14" s="6">
        <v>7.9758981137445582E-4</v>
      </c>
      <c r="U14" s="2"/>
      <c r="V14" s="2"/>
      <c r="W14" s="2" t="s">
        <v>162</v>
      </c>
      <c r="X14" s="2">
        <f>1/(3.14*0.5)</f>
        <v>0.63694267515923564</v>
      </c>
      <c r="Y14" s="2"/>
    </row>
    <row r="15" spans="1:25" x14ac:dyDescent="0.25">
      <c r="A15" s="2"/>
      <c r="B15" s="2"/>
      <c r="C15" s="5">
        <v>2000</v>
      </c>
      <c r="D15" s="6">
        <f t="shared" si="2"/>
        <v>12566.370614359172</v>
      </c>
      <c r="E15" s="7">
        <f>20*LOG((((1+(2*3.14*C15*Calculator!C49*Calculator!C50*0.000001))/((1+2*3.14*C15*X7*Calculator!C50*0.000001)*((1+(2*3.14*C15)/(3.14*Calculator!C27*X14))))))*X12)</f>
        <v>5.7984808656211273</v>
      </c>
      <c r="F15" s="7">
        <f t="shared" si="0"/>
        <v>-73.82295014655908</v>
      </c>
      <c r="G15" s="7"/>
      <c r="H15" s="7"/>
      <c r="I15" s="7">
        <f>20*LOG(((1+(2*3.14*C15*Calculator!C67*Calculator!C69*0.000000001))/((X10+Calculator!C67)*Calculator!C69*0.000000001*C15*2*3.14))*((1.2/Calculator!C17)*X11*X10))</f>
        <v>10.034931694974734</v>
      </c>
      <c r="J15" s="8">
        <f>(180/3.14)*(ATAN(C15/R7))</f>
        <v>39.677488002949886</v>
      </c>
      <c r="K15" s="7">
        <f>(180/3.14)*-ATAN(C15/R8)</f>
        <v>-89.59224333574555</v>
      </c>
      <c r="L15" s="8">
        <f t="shared" si="5"/>
        <v>-49.914755332795664</v>
      </c>
      <c r="M15" s="7">
        <f t="shared" si="4"/>
        <v>15.83341256059586</v>
      </c>
      <c r="N15" s="7">
        <f t="shared" si="1"/>
        <v>-123.73770547935474</v>
      </c>
      <c r="O15" s="2"/>
      <c r="P15" s="2"/>
      <c r="S15" s="2"/>
      <c r="T15" s="6">
        <v>7.8596824616034922E-4</v>
      </c>
      <c r="U15" s="2"/>
      <c r="V15" s="2"/>
      <c r="W15" s="2"/>
      <c r="X15" s="2"/>
      <c r="Y15" s="2"/>
    </row>
    <row r="16" spans="1:25" x14ac:dyDescent="0.25">
      <c r="A16" s="2"/>
      <c r="B16" s="2"/>
      <c r="C16" s="5">
        <v>5000</v>
      </c>
      <c r="D16" s="6">
        <f t="shared" si="2"/>
        <v>31415.926535897932</v>
      </c>
      <c r="E16" s="7">
        <f>20*LOG((((1+(2*3.14*C16*Calculator!C49*Calculator!C50*0.000001))/((1+2*3.14*C16*X7*Calculator!C50*0.000001)*((1+(2*3.14*C16)/(3.14*Calculator!C27*X14))))))*X12)</f>
        <v>-0.5337954126417721</v>
      </c>
      <c r="F16" s="7">
        <f t="shared" si="0"/>
        <v>-82.335587625252046</v>
      </c>
      <c r="G16" s="7"/>
      <c r="H16" s="7"/>
      <c r="I16" s="7">
        <f>20*LOG(((1+(2*3.14*C16*Calculator!C67*Calculator!C69*0.000000001))/((X10+Calculator!C67)*Calculator!C69*0.000000001*C16*2*3.14))*((1.2/Calculator!C17)*X10*X11))</f>
        <v>6.5816025021749569</v>
      </c>
      <c r="J16" s="8">
        <f>(180/3.14)*(ATAN(C16/R7))</f>
        <v>64.273772320293531</v>
      </c>
      <c r="K16" s="8">
        <f>(180/3.14)*-ATAN(C16/R8)</f>
        <v>-89.864283741435798</v>
      </c>
      <c r="L16" s="8">
        <f t="shared" si="5"/>
        <v>-25.590511421142267</v>
      </c>
      <c r="M16" s="7">
        <f t="shared" si="4"/>
        <v>6.047807089533185</v>
      </c>
      <c r="N16" s="7">
        <f t="shared" si="1"/>
        <v>-107.92609904639431</v>
      </c>
      <c r="O16" s="2"/>
      <c r="P16" s="2"/>
      <c r="Q16" s="2"/>
      <c r="R16" s="2"/>
      <c r="S16" s="2"/>
      <c r="T16" s="6">
        <v>7.4608482744477995E-4</v>
      </c>
      <c r="U16" s="2"/>
      <c r="V16" s="2"/>
      <c r="W16" s="2"/>
      <c r="X16" s="2"/>
      <c r="Y16" s="2"/>
    </row>
    <row r="17" spans="1:33" x14ac:dyDescent="0.25">
      <c r="A17" s="2"/>
      <c r="B17" s="2"/>
      <c r="C17" s="5">
        <v>10000</v>
      </c>
      <c r="D17" s="6">
        <f t="shared" si="2"/>
        <v>62831.853071795864</v>
      </c>
      <c r="E17" s="7">
        <f>20*LOG((((1+(2*3.14*C17*Calculator!C49*Calculator!C50*0.000001))/((1+2*3.14*C17*X7*Calculator!C50*0.000001)*((1+(2*3.14*C17)/(3.14*Calculator!C27*X14))))))*X12)</f>
        <v>-5.5054379966155951</v>
      </c>
      <c r="F17" s="7">
        <f t="shared" si="0"/>
        <v>-84.390898347300251</v>
      </c>
      <c r="G17" s="7"/>
      <c r="H17" s="7"/>
      <c r="I17" s="7">
        <f>20*LOG(((1+(2*3.14*C17*Calculator!C67*Calculator!C69*0.000000001))/((X10+Calculator!C67)*Calculator!C69*0.000000001*C17*2*3.14))*((1.2/Calculator!C17)*X10*X11))</f>
        <v>5.038817391611591</v>
      </c>
      <c r="J17" s="8">
        <f>(180/3.14)*(ATAN(C17/R7))</f>
        <v>76.474460909752096</v>
      </c>
      <c r="K17" s="8">
        <f>(180/3.14)*(-ATAN(C17/R8))</f>
        <v>-89.954966297145873</v>
      </c>
      <c r="L17" s="8">
        <f t="shared" si="5"/>
        <v>-13.480505387393777</v>
      </c>
      <c r="M17" s="7">
        <f t="shared" si="4"/>
        <v>-0.46662060500400404</v>
      </c>
      <c r="N17" s="7">
        <f t="shared" si="1"/>
        <v>-97.871403734694027</v>
      </c>
      <c r="O17" s="2"/>
      <c r="P17" s="2"/>
      <c r="Q17" s="2" t="s">
        <v>41</v>
      </c>
      <c r="R17" s="2">
        <v>10000</v>
      </c>
      <c r="S17" s="2"/>
      <c r="T17" s="6">
        <v>6.4425490637854993E-4</v>
      </c>
      <c r="U17" s="2"/>
      <c r="V17" s="2"/>
      <c r="W17" s="2"/>
      <c r="X17" s="2"/>
      <c r="Y17" s="2"/>
    </row>
    <row r="18" spans="1:33" x14ac:dyDescent="0.25">
      <c r="A18" s="2"/>
      <c r="B18" s="2"/>
      <c r="C18" s="5">
        <v>20000</v>
      </c>
      <c r="D18" s="6">
        <f t="shared" si="2"/>
        <v>125663.70614359173</v>
      </c>
      <c r="E18" s="7">
        <f>20*LOG((((1+(2*3.14*C18*Calculator!C49*Calculator!C50*0.000001))/((1+2*3.14*C18*X7*Calculator!C50*0.000001)*((1+(2*3.14*C18)/(3.14*Calculator!C27*X14))))))*X12)</f>
        <v>-10.301179083057887</v>
      </c>
      <c r="F18" s="7">
        <f t="shared" si="0"/>
        <v>-84.49108906376766</v>
      </c>
      <c r="G18" s="7"/>
      <c r="H18" s="7"/>
      <c r="I18" s="7">
        <f>20*LOG(((1+(2*3.14*C18*Calculator!C67*Calculator!C69*0.000000001))/((X10+Calculator!C67)*Calculator!C69*0.000000001*C18*2*3.14))*((1.2/Calculator!C17)*X10*X11))</f>
        <v>4.1507878298693326</v>
      </c>
      <c r="J18" s="8">
        <f>(180/3.14)*(ATAN(C18/R7))</f>
        <v>83.16363165198689</v>
      </c>
      <c r="K18" s="8">
        <f>(180/3.14)*(-ATAN(C18/R8))</f>
        <v>-90.000307773563563</v>
      </c>
      <c r="L18" s="8">
        <f t="shared" si="5"/>
        <v>-6.8366761215766729</v>
      </c>
      <c r="M18" s="7">
        <f t="shared" si="4"/>
        <v>-6.1503912531885545</v>
      </c>
      <c r="N18" s="7">
        <f t="shared" si="1"/>
        <v>-91.327765185344333</v>
      </c>
      <c r="O18" s="2"/>
      <c r="P18" s="2"/>
      <c r="Q18" s="2" t="s">
        <v>42</v>
      </c>
      <c r="R18" s="6">
        <f>ATAN(D2/Wzero)-PI()/2-ATAN(D2/whf)</f>
        <v>-1.5706230858471415</v>
      </c>
      <c r="S18" s="6"/>
      <c r="T18" s="6">
        <v>4.5375145021777524E-4</v>
      </c>
      <c r="U18" s="2"/>
      <c r="V18" s="2"/>
      <c r="W18" s="2"/>
      <c r="X18" s="2"/>
      <c r="Y18" s="2"/>
    </row>
    <row r="19" spans="1:33" x14ac:dyDescent="0.25">
      <c r="A19" s="2"/>
      <c r="B19" s="2"/>
      <c r="C19" s="5">
        <v>50000</v>
      </c>
      <c r="D19" s="6">
        <f t="shared" si="2"/>
        <v>314159.26535897929</v>
      </c>
      <c r="E19" s="7">
        <f>20*LOG((((1+(2*3.14*C19*Calculator!C49*Calculator!C50*0.000001))/((1+2*3.14*C19*X7*Calculator!C50*0.000001)*((1+(2*3.14*C19)/(3.14*Calculator!C27*X14))))))*X12)</f>
        <v>-16.14078427551593</v>
      </c>
      <c r="F19" s="7">
        <f t="shared" si="0"/>
        <v>-87.428888783690596</v>
      </c>
      <c r="G19" s="7"/>
      <c r="H19" s="7"/>
      <c r="I19" s="7">
        <f>20*LOG(((1+(2*3.14*C19*Calculator!C67*Calculator!C69*0.000000001))/((X10+Calculator!C67)*Calculator!C69*0.000000001*C19*2*3.14))*((1.2/Calculator!C17)*X10*X11))</f>
        <v>3.570843255808783</v>
      </c>
      <c r="J19" s="8">
        <f>(180/3.14)*(ATAN(C19/R7))</f>
        <v>87.281684262119612</v>
      </c>
      <c r="K19" s="8">
        <f>(180/3.14)*((-ATAN(C19/R8)))</f>
        <v>-90.02751269027668</v>
      </c>
      <c r="L19" s="8">
        <f t="shared" si="5"/>
        <v>-2.7458284281570684</v>
      </c>
      <c r="M19" s="7">
        <f t="shared" si="4"/>
        <v>-12.569941019707148</v>
      </c>
      <c r="N19" s="7">
        <f t="shared" si="1"/>
        <v>-90.174717211847664</v>
      </c>
      <c r="O19" s="2"/>
      <c r="P19" s="2"/>
      <c r="Q19" s="2" t="s">
        <v>29</v>
      </c>
      <c r="R19" s="6">
        <v>1.096179249738642</v>
      </c>
      <c r="S19" s="6"/>
      <c r="T19" s="6">
        <v>2.1325288855390982E-4</v>
      </c>
      <c r="U19" s="2"/>
      <c r="V19" s="2"/>
      <c r="W19" s="2"/>
      <c r="X19" s="2"/>
      <c r="Y19" s="2"/>
    </row>
    <row r="20" spans="1:33" x14ac:dyDescent="0.25">
      <c r="A20" s="2"/>
      <c r="B20" s="2"/>
      <c r="C20" s="5">
        <v>100000</v>
      </c>
      <c r="D20" s="6">
        <f t="shared" si="2"/>
        <v>628318.53071795858</v>
      </c>
      <c r="E20" s="7">
        <f>20*LOG((((1+(2*3.14*C20*Calculator!C49*Calculator!C50*0.000001))/((1+2*3.14*C20*X7*Calculator!C50*0.000001)*((1+(2*3.14*C20)/(3.14*Calculator!C27*X14))))))*X12)</f>
        <v>-20.342382399318325</v>
      </c>
      <c r="F20" s="7">
        <f t="shared" si="0"/>
        <v>-98.126032363501054</v>
      </c>
      <c r="G20" s="7"/>
      <c r="H20" s="7"/>
      <c r="I20" s="7">
        <f>20*LOG(((1+(2*3.14*C20*Calculator!C67*Calculator!C69*0.000000001))/((X10+Calculator!C67)*Calculator!C69*0.000000001*C20*2*3.14))*((1.2/Calculator!C17)*X10*X11))</f>
        <v>3.3685921128824408</v>
      </c>
      <c r="J20" s="8">
        <f>(180/3.14)*(ATAN(C20/R7))</f>
        <v>88.662863120665151</v>
      </c>
      <c r="K20" s="8">
        <f>(180/3.14)*((-ATAN(C20/R8)))</f>
        <v>-90.036580998268306</v>
      </c>
      <c r="L20" s="8">
        <f t="shared" si="5"/>
        <v>-1.3737178776031556</v>
      </c>
      <c r="M20" s="7">
        <f t="shared" si="4"/>
        <v>-16.973790286435886</v>
      </c>
      <c r="N20" s="7">
        <f t="shared" si="1"/>
        <v>-99.499750241104209</v>
      </c>
      <c r="O20" s="2"/>
      <c r="P20" s="2"/>
      <c r="Q20" s="2"/>
      <c r="R20" s="2"/>
      <c r="S20" s="2"/>
      <c r="T20" s="6">
        <v>1.096482377396052E-4</v>
      </c>
      <c r="U20" s="2"/>
      <c r="V20" s="2"/>
      <c r="W20" s="2"/>
      <c r="X20" s="2"/>
      <c r="Y20" s="2"/>
    </row>
    <row r="21" spans="1:33" x14ac:dyDescent="0.25">
      <c r="A21" s="2"/>
      <c r="B21" s="2"/>
      <c r="C21" s="5">
        <v>200000</v>
      </c>
      <c r="D21" s="6">
        <f t="shared" si="2"/>
        <v>1256637.0614359172</v>
      </c>
      <c r="E21" s="7">
        <f>20*LOG((((1+(2*3.14*C21*Calculator!C49*Calculator!C50*0.000001))/((1+2*3.14*C21*X7*Calculator!C50*0.000001)*((1+(2*3.14*C21)/(3.14*Calculator!C27*X14))))))*X12)</f>
        <v>-24.71048950095966</v>
      </c>
      <c r="F21" s="7">
        <f t="shared" si="0"/>
        <v>-116.11467350381893</v>
      </c>
      <c r="G21" s="7"/>
      <c r="H21" s="7"/>
      <c r="I21" s="7">
        <f>20*LOG(((1+(2*3.14*C21*Calculator!C67*Calculator!C69*0.000000001))/((X10+Calculator!C67)*Calculator!C69*0.000000001*C21*2*3.14))*((1.2/Calculator!C17)*X10*X11))</f>
        <v>3.2656726467634449</v>
      </c>
      <c r="J21" s="8">
        <f>(180/3.14)*(ATAN(C21/R7))</f>
        <v>89.354155624207053</v>
      </c>
      <c r="K21" s="8">
        <f>(180/3.14)*(-ATAN(C21/R8))</f>
        <v>-90.041115152462694</v>
      </c>
      <c r="L21" s="8">
        <f t="shared" si="5"/>
        <v>-0.68695952825564177</v>
      </c>
      <c r="M21" s="7">
        <f t="shared" si="4"/>
        <v>-21.444816854196215</v>
      </c>
      <c r="N21" s="7">
        <f t="shared" si="1"/>
        <v>-116.80163303207458</v>
      </c>
      <c r="O21" s="2"/>
      <c r="P21" s="2"/>
      <c r="Q21" s="2" t="s">
        <v>43</v>
      </c>
      <c r="R21" s="2">
        <v>0.68874955581034492</v>
      </c>
      <c r="S21" s="2"/>
      <c r="T21" s="6">
        <v>5.5222352024616807E-5</v>
      </c>
      <c r="U21" s="2"/>
      <c r="V21" s="2"/>
      <c r="W21" s="2"/>
      <c r="X21" s="2"/>
      <c r="Y21" s="2"/>
    </row>
    <row r="22" spans="1:33" x14ac:dyDescent="0.25">
      <c r="A22" s="2"/>
      <c r="B22" s="2"/>
      <c r="C22" s="5">
        <v>250000</v>
      </c>
      <c r="D22" s="6">
        <f t="shared" si="2"/>
        <v>1570796.3267948965</v>
      </c>
      <c r="E22" s="7">
        <f>20*LOG((((1+(2*3.14*C22*Calculator!C49*Calculator!C50*0.000001))/((1+2*3.14*C22*X7*Calculator!C50*0.000001)*((1+(2*3.14*C22)/(3.14*Calculator!C27*X14))))))*X12)</f>
        <v>-26.198510971198374</v>
      </c>
      <c r="F22" s="7">
        <f t="shared" si="0"/>
        <v>-122.98236967356789</v>
      </c>
      <c r="G22" s="7"/>
      <c r="H22" s="7"/>
      <c r="I22" s="7">
        <f>20*LOG(((1+(2*3.14*C22*Calculator!C67*Calculator!C69*0.000000001))/((X10+Calculator!C67)*Calculator!C69*0.000000001*C22*2*3.14))*((1.2/Calculator!C17)*X10*X11))</f>
        <v>3.2449416005049549</v>
      </c>
      <c r="J22" s="8">
        <f>(180/3.14)*(ATAN(C22/R7))</f>
        <v>89.492444701285521</v>
      </c>
      <c r="K22" s="8">
        <f>(180/3.14)*((-ATAN(C22/R8)))</f>
        <v>-90.042021983310207</v>
      </c>
      <c r="L22" s="8">
        <f t="shared" si="5"/>
        <v>-0.54957728202468559</v>
      </c>
      <c r="M22" s="7">
        <f t="shared" si="4"/>
        <v>-22.953569370693419</v>
      </c>
      <c r="N22" s="7">
        <f t="shared" si="1"/>
        <v>-123.53194695559257</v>
      </c>
      <c r="O22" s="2"/>
      <c r="P22" s="2"/>
      <c r="Q22" s="2"/>
      <c r="R22" s="2"/>
      <c r="S22" s="2"/>
      <c r="T22" s="6">
        <v>4.4216580411424846E-5</v>
      </c>
      <c r="U22" s="2"/>
      <c r="V22" s="2"/>
      <c r="W22" s="2"/>
      <c r="X22" s="2"/>
      <c r="Y22" s="2"/>
    </row>
    <row r="23" spans="1:33" x14ac:dyDescent="0.25">
      <c r="A23" s="2"/>
      <c r="B23" s="2"/>
      <c r="C23" s="5">
        <v>500000</v>
      </c>
      <c r="D23" s="6">
        <f t="shared" si="2"/>
        <v>3141592.653589793</v>
      </c>
      <c r="E23" s="7">
        <f>20*LOG((((1+(2*3.14*C23*Calculator!C49*Calculator!C50*0.000001))/((1+2*3.14*C23*X7*Calculator!C50*0.000001)*((1+(2*3.14*C23)/(3.14*Calculator!C27*X14))))))*X12)</f>
        <v>-31.126509422043156</v>
      </c>
      <c r="F23" s="7">
        <f t="shared" si="0"/>
        <v>-144.44227369516969</v>
      </c>
      <c r="G23" s="7"/>
      <c r="H23" s="7"/>
      <c r="I23" s="7">
        <f>20*LOG(((1+(2*3.14*C23*Calculator!C67*Calculator!C69*0.000000001))/((X10+Calculator!C67)*Calculator!C69*0.000000001*C23*2*3.14))*((1.2/Calculator!C17)*X10*X11))</f>
        <v>3.2033304754205738</v>
      </c>
      <c r="J23" s="8">
        <f>(180/3.14)*(ATAN(C23/R7))</f>
        <v>89.769040563912114</v>
      </c>
      <c r="K23" s="8">
        <f>(180/3.14)*(-ATAN(C23/R8))</f>
        <v>-90.043835645010191</v>
      </c>
      <c r="L23" s="8">
        <f t="shared" si="5"/>
        <v>-0.27479508109807682</v>
      </c>
      <c r="M23" s="7">
        <f t="shared" si="4"/>
        <v>-27.923178946622581</v>
      </c>
      <c r="N23" s="7">
        <f t="shared" si="1"/>
        <v>-144.71706877626775</v>
      </c>
      <c r="O23" s="2"/>
      <c r="P23" s="2"/>
      <c r="Q23" s="2" t="s">
        <v>29</v>
      </c>
      <c r="R23" s="6">
        <v>2.2134168686333201E-5</v>
      </c>
      <c r="S23" s="6"/>
      <c r="T23" s="6">
        <v>2.2134168686333201E-5</v>
      </c>
      <c r="U23" s="2"/>
      <c r="V23" s="2"/>
      <c r="W23" s="2"/>
      <c r="X23" s="2"/>
      <c r="Y23" s="2"/>
    </row>
    <row r="24" spans="1:33" x14ac:dyDescent="0.25">
      <c r="A24" s="2"/>
      <c r="B24" s="2"/>
      <c r="C24" s="5">
        <v>1000000</v>
      </c>
      <c r="D24" s="6">
        <f t="shared" si="2"/>
        <v>6283185.307179586</v>
      </c>
      <c r="E24" s="7">
        <f>20*LOG((((1+(2*3.14*C24*Calculator!C49*Calculator!C50*0.000001))/((1+2*3.14*C24*X7*Calculator!C50*0.000001)*((1+(2*3.14*C24)/(3.14*Calculator!C27*X14))))))*X12)</f>
        <v>-36.472036949044679</v>
      </c>
      <c r="F24" s="7">
        <f t="shared" si="0"/>
        <v>-160.66600689851865</v>
      </c>
      <c r="G24" s="7"/>
      <c r="H24" s="7"/>
      <c r="I24" s="7">
        <f>20*LOG(((1+(2*3.14*C24*Calculator!C67*Calculator!C69*0.000000001))/((X10+Calculator!C69)*Calculator!C69*0.000000001*C24*2*3.14))*((1.2/Calculator!C17)*X10*X11))</f>
        <v>3.1881720294142117</v>
      </c>
      <c r="J24" s="8">
        <f>(180/3.14)*(ATAN(C24/R7))</f>
        <v>89.907344130259844</v>
      </c>
      <c r="K24" s="8">
        <f>(180/3.14)*(-ATAN(C24/R8))</f>
        <v>-90.044742475861767</v>
      </c>
      <c r="L24" s="8">
        <f t="shared" si="5"/>
        <v>-0.13739834560192321</v>
      </c>
      <c r="M24" s="7">
        <f t="shared" si="4"/>
        <v>-33.283864919630467</v>
      </c>
      <c r="N24" s="7">
        <f t="shared" si="1"/>
        <v>-160.80340524412057</v>
      </c>
      <c r="O24" s="2"/>
      <c r="P24" s="2"/>
      <c r="Q24" s="2" t="s">
        <v>44</v>
      </c>
      <c r="R24" s="2">
        <v>1.2158521523782711E-4</v>
      </c>
      <c r="S24" s="2"/>
      <c r="T24" s="6">
        <v>1.1070326260010193E-5</v>
      </c>
      <c r="U24" s="2"/>
      <c r="V24" s="2"/>
      <c r="W24" s="2"/>
      <c r="X24" s="2"/>
      <c r="Y24" s="2"/>
      <c r="Z24"/>
    </row>
    <row r="25" spans="1:33" x14ac:dyDescent="0.2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x14ac:dyDescent="0.2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x14ac:dyDescent="0.2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x14ac:dyDescent="0.2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row>
    <row r="29" spans="1:33"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3"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row>
    <row r="31" spans="1:33" x14ac:dyDescent="0.25">
      <c r="A31" s="2"/>
      <c r="B31" s="2"/>
      <c r="C31" s="2"/>
      <c r="D31" s="2"/>
      <c r="E31" s="2"/>
      <c r="F31" s="2"/>
      <c r="G31" s="2"/>
      <c r="H31" s="2"/>
      <c r="I31" s="2"/>
      <c r="J31" s="2"/>
      <c r="K31" s="2"/>
      <c r="L31" s="2"/>
      <c r="M31" s="2"/>
      <c r="N31" s="2"/>
      <c r="O31" s="2"/>
      <c r="P31" s="2"/>
      <c r="Q31" s="2"/>
      <c r="R31" s="2"/>
      <c r="S31" s="2"/>
      <c r="T31" s="2"/>
      <c r="U31" s="2"/>
      <c r="V31" s="2"/>
      <c r="W31" s="2"/>
      <c r="X31" s="2"/>
      <c r="Y31" s="2"/>
      <c r="Z31" s="8"/>
      <c r="AA31" s="2"/>
      <c r="AB31" s="2"/>
      <c r="AC31" s="2"/>
      <c r="AD31" s="2"/>
      <c r="AE31" s="2"/>
      <c r="AF31" s="2"/>
      <c r="AG31" s="2"/>
    </row>
    <row r="32" spans="1:33" x14ac:dyDescent="0.25">
      <c r="A32" s="2"/>
      <c r="B32" s="2"/>
      <c r="C32" s="2"/>
      <c r="D32" s="2"/>
      <c r="E32" s="2"/>
      <c r="F32" s="2"/>
      <c r="G32" s="2"/>
      <c r="H32" s="2"/>
      <c r="I32" s="2"/>
      <c r="J32" s="2"/>
      <c r="K32" s="2"/>
      <c r="L32" s="2"/>
      <c r="M32" s="2"/>
      <c r="N32" s="2"/>
      <c r="O32" s="2"/>
      <c r="P32" s="2"/>
      <c r="Q32" s="2"/>
      <c r="R32" s="2"/>
      <c r="S32" s="2"/>
      <c r="T32" s="2"/>
      <c r="U32" s="2"/>
      <c r="V32" s="2"/>
      <c r="W32" s="2"/>
      <c r="X32" s="2"/>
      <c r="Y32" s="2"/>
      <c r="Z32" s="8"/>
      <c r="AA32" s="2"/>
      <c r="AB32" s="2"/>
      <c r="AC32" s="2"/>
      <c r="AD32" s="2"/>
      <c r="AE32" s="2"/>
      <c r="AF32" s="2"/>
      <c r="AG32" s="2"/>
    </row>
    <row r="33" spans="1:33"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1:33"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3"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row>
    <row r="36" spans="1:33"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1:33"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1:33"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1:33"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1:33"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row>
    <row r="47" spans="1:33"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row>
    <row r="48" spans="1:33"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1:33"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1:33"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row>
    <row r="53" spans="1:33"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row>
    <row r="54" spans="1:33"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33"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1:33"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1:33"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1:33"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1:33"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1:33"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3"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1:33"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1:33"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1:33"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1:33"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33"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33"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33"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33"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33"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33"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33"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33"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33"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33"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33"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x14ac:dyDescent="0.25">
      <c r="A125"/>
      <c r="B125"/>
      <c r="C125"/>
      <c r="D125"/>
      <c r="E125"/>
      <c r="F125"/>
      <c r="G125"/>
      <c r="H125"/>
      <c r="I125"/>
      <c r="J125"/>
      <c r="K125"/>
      <c r="L125"/>
      <c r="M125"/>
      <c r="N125"/>
      <c r="O125"/>
      <c r="P125"/>
      <c r="Q125"/>
      <c r="R125"/>
      <c r="S125"/>
      <c r="T125"/>
      <c r="U125"/>
      <c r="V125" s="2"/>
      <c r="W125" s="2"/>
      <c r="X125" s="2"/>
      <c r="Y125" s="2"/>
      <c r="Z125" s="2"/>
      <c r="AA125" s="2"/>
      <c r="AB125" s="2"/>
      <c r="AC125" s="2"/>
      <c r="AD125" s="2"/>
      <c r="AE125" s="2"/>
      <c r="AF125" s="2"/>
      <c r="AG125" s="2"/>
    </row>
    <row r="126" spans="1:33" x14ac:dyDescent="0.25">
      <c r="A126"/>
      <c r="B126"/>
      <c r="C126"/>
      <c r="D126"/>
      <c r="E126"/>
      <c r="F126"/>
      <c r="G126"/>
      <c r="H126"/>
      <c r="I126"/>
      <c r="J126"/>
      <c r="K126"/>
      <c r="L126"/>
      <c r="M126"/>
      <c r="N126"/>
      <c r="O126"/>
      <c r="P126"/>
      <c r="Q126"/>
      <c r="R126"/>
      <c r="S126"/>
      <c r="T126"/>
      <c r="U126"/>
      <c r="V126" s="2"/>
      <c r="W126" s="2"/>
      <c r="X126" s="2"/>
      <c r="Y126" s="2"/>
      <c r="Z126" s="2"/>
      <c r="AA126" s="2"/>
      <c r="AB126" s="2"/>
      <c r="AC126" s="2"/>
      <c r="AD126" s="2"/>
      <c r="AE126" s="2"/>
      <c r="AF126" s="2"/>
      <c r="AG126" s="2"/>
    </row>
    <row r="127" spans="1:33" x14ac:dyDescent="0.25">
      <c r="A127"/>
      <c r="B127"/>
      <c r="C127"/>
      <c r="D127"/>
      <c r="E127"/>
      <c r="F127"/>
      <c r="G127"/>
      <c r="H127"/>
      <c r="I127"/>
      <c r="J127"/>
      <c r="K127"/>
      <c r="L127"/>
      <c r="M127"/>
      <c r="N127"/>
      <c r="O127"/>
      <c r="P127"/>
      <c r="Q127"/>
      <c r="R127"/>
      <c r="S127"/>
      <c r="T127"/>
      <c r="U127"/>
      <c r="V127" s="2"/>
      <c r="W127" s="2"/>
      <c r="X127" s="2"/>
      <c r="Y127" s="2"/>
      <c r="Z127" s="2"/>
      <c r="AA127" s="2"/>
      <c r="AB127" s="2"/>
      <c r="AC127" s="2"/>
      <c r="AD127" s="2"/>
      <c r="AE127" s="2"/>
      <c r="AF127" s="2"/>
      <c r="AG127" s="2"/>
    </row>
    <row r="128" spans="1:33" x14ac:dyDescent="0.25">
      <c r="A128"/>
      <c r="B128"/>
      <c r="C128"/>
      <c r="D128"/>
      <c r="E128"/>
      <c r="F128"/>
      <c r="G128"/>
      <c r="H128"/>
      <c r="I128"/>
      <c r="J128"/>
      <c r="K128"/>
      <c r="L128"/>
      <c r="M128"/>
      <c r="N128"/>
      <c r="O128"/>
      <c r="P128"/>
      <c r="Q128"/>
      <c r="R128"/>
      <c r="S128"/>
      <c r="T128"/>
      <c r="U128"/>
      <c r="V128" s="2"/>
      <c r="W128" s="2"/>
      <c r="X128" s="2"/>
      <c r="Y128" s="2"/>
      <c r="Z128" s="2"/>
      <c r="AA128" s="2"/>
      <c r="AB128" s="2"/>
      <c r="AC128" s="2"/>
      <c r="AD128" s="2"/>
      <c r="AE128" s="2"/>
      <c r="AF128" s="2"/>
      <c r="AG128" s="2"/>
    </row>
    <row r="129" spans="1:33" x14ac:dyDescent="0.25">
      <c r="A129"/>
      <c r="B129"/>
      <c r="C129"/>
      <c r="D129"/>
      <c r="E129"/>
      <c r="F129"/>
      <c r="G129"/>
      <c r="H129"/>
      <c r="I129"/>
      <c r="J129"/>
      <c r="K129"/>
      <c r="L129"/>
      <c r="M129"/>
      <c r="N129"/>
      <c r="O129"/>
      <c r="P129"/>
      <c r="Q129"/>
      <c r="R129"/>
      <c r="S129"/>
      <c r="T129"/>
      <c r="U129"/>
      <c r="V129" s="2"/>
      <c r="W129" s="2"/>
      <c r="X129" s="2"/>
      <c r="Y129" s="2"/>
      <c r="Z129" s="2"/>
      <c r="AA129" s="2"/>
      <c r="AB129" s="2"/>
      <c r="AC129" s="2"/>
      <c r="AD129" s="2"/>
      <c r="AE129" s="2"/>
      <c r="AF129" s="2"/>
      <c r="AG129" s="2"/>
    </row>
    <row r="130" spans="1:33" x14ac:dyDescent="0.25">
      <c r="A130"/>
      <c r="B130"/>
      <c r="C130"/>
      <c r="D130"/>
      <c r="E130"/>
      <c r="F130"/>
      <c r="G130"/>
      <c r="H130"/>
      <c r="I130"/>
      <c r="J130"/>
      <c r="K130"/>
      <c r="L130"/>
      <c r="M130"/>
      <c r="N130"/>
      <c r="O130"/>
      <c r="P130"/>
      <c r="Q130"/>
      <c r="R130"/>
      <c r="S130"/>
      <c r="T130"/>
      <c r="U130"/>
      <c r="V130" s="2"/>
      <c r="W130" s="2"/>
      <c r="X130" s="2"/>
      <c r="Y130" s="2"/>
      <c r="Z130" s="2"/>
      <c r="AA130" s="2"/>
      <c r="AB130" s="2"/>
      <c r="AC130" s="2"/>
      <c r="AD130" s="2"/>
      <c r="AE130" s="2"/>
      <c r="AF130" s="2"/>
      <c r="AG130" s="2"/>
    </row>
    <row r="131" spans="1:33" x14ac:dyDescent="0.25">
      <c r="A131"/>
      <c r="B131"/>
      <c r="C131"/>
      <c r="D131"/>
      <c r="E131"/>
      <c r="F131"/>
      <c r="G131"/>
      <c r="H131"/>
      <c r="I131"/>
      <c r="J131"/>
      <c r="K131"/>
      <c r="L131"/>
      <c r="M131"/>
      <c r="N131"/>
      <c r="O131"/>
      <c r="P131"/>
      <c r="Q131"/>
      <c r="R131"/>
      <c r="S131"/>
      <c r="T131"/>
      <c r="U131"/>
      <c r="V131" s="2"/>
      <c r="W131" s="2"/>
      <c r="X131" s="2"/>
      <c r="Y131" s="2"/>
      <c r="Z131" s="2"/>
      <c r="AA131" s="2"/>
      <c r="AB131" s="2"/>
      <c r="AC131" s="2"/>
      <c r="AD131" s="2"/>
      <c r="AE131" s="2"/>
      <c r="AF131" s="2"/>
      <c r="AG131" s="2"/>
    </row>
    <row r="132" spans="1:33" x14ac:dyDescent="0.25">
      <c r="A132"/>
      <c r="B132"/>
      <c r="C132"/>
      <c r="D132"/>
      <c r="E132"/>
      <c r="F132"/>
      <c r="G132"/>
      <c r="H132"/>
      <c r="I132"/>
      <c r="J132"/>
      <c r="K132"/>
      <c r="L132"/>
      <c r="M132"/>
      <c r="N132"/>
      <c r="O132"/>
      <c r="P132"/>
      <c r="Q132"/>
      <c r="R132"/>
      <c r="S132"/>
      <c r="T132"/>
      <c r="U132"/>
      <c r="V132" s="2"/>
      <c r="W132" s="2"/>
      <c r="X132" s="2"/>
      <c r="Y132" s="2"/>
      <c r="Z132" s="2"/>
      <c r="AA132" s="2"/>
      <c r="AB132" s="2"/>
      <c r="AC132" s="2"/>
      <c r="AD132" s="2"/>
      <c r="AE132" s="2"/>
      <c r="AF132" s="2"/>
      <c r="AG132" s="2"/>
    </row>
    <row r="133" spans="1:33" x14ac:dyDescent="0.25">
      <c r="A133"/>
      <c r="B133"/>
      <c r="C133"/>
      <c r="D133"/>
      <c r="E133"/>
      <c r="F133"/>
      <c r="G133"/>
      <c r="H133"/>
      <c r="I133"/>
      <c r="J133"/>
      <c r="K133"/>
      <c r="L133"/>
      <c r="M133"/>
      <c r="N133"/>
      <c r="O133"/>
      <c r="P133"/>
      <c r="Q133"/>
      <c r="R133"/>
      <c r="S133"/>
      <c r="T133"/>
      <c r="U133"/>
      <c r="V133" s="2"/>
      <c r="W133" s="2"/>
      <c r="X133" s="2"/>
      <c r="Y133" s="2"/>
      <c r="Z133" s="2"/>
      <c r="AA133" s="2"/>
      <c r="AB133" s="2"/>
      <c r="AC133" s="2"/>
      <c r="AD133" s="2"/>
      <c r="AE133" s="2"/>
      <c r="AF133" s="2"/>
      <c r="AG133" s="2"/>
    </row>
    <row r="134" spans="1:33" x14ac:dyDescent="0.25">
      <c r="A134"/>
      <c r="B134"/>
      <c r="C134"/>
      <c r="D134"/>
      <c r="E134"/>
      <c r="F134"/>
      <c r="G134"/>
      <c r="H134"/>
      <c r="I134"/>
      <c r="J134"/>
      <c r="K134"/>
      <c r="L134"/>
      <c r="M134"/>
      <c r="N134"/>
      <c r="O134"/>
      <c r="P134"/>
      <c r="Q134"/>
      <c r="R134"/>
      <c r="S134"/>
      <c r="T134"/>
      <c r="U134"/>
      <c r="V134" s="2"/>
      <c r="W134" s="2"/>
      <c r="X134" s="2"/>
      <c r="Y134" s="2"/>
      <c r="Z134" s="2"/>
      <c r="AA134" s="2"/>
      <c r="AB134" s="2"/>
      <c r="AC134" s="2"/>
      <c r="AD134" s="2"/>
      <c r="AE134" s="2"/>
      <c r="AF134" s="2"/>
      <c r="AG134" s="2"/>
    </row>
    <row r="135" spans="1:33" x14ac:dyDescent="0.25">
      <c r="A135"/>
      <c r="B135"/>
      <c r="C135"/>
      <c r="D135"/>
      <c r="E135"/>
      <c r="F135"/>
      <c r="G135"/>
      <c r="H135"/>
      <c r="I135"/>
      <c r="J135"/>
      <c r="K135"/>
      <c r="L135"/>
      <c r="M135"/>
      <c r="N135"/>
      <c r="O135"/>
      <c r="P135"/>
      <c r="Q135"/>
      <c r="R135"/>
      <c r="S135"/>
      <c r="T135"/>
      <c r="U135"/>
      <c r="V135" s="2"/>
      <c r="W135" s="2"/>
      <c r="X135" s="2"/>
      <c r="Y135" s="2"/>
      <c r="Z135" s="2"/>
      <c r="AA135" s="2"/>
      <c r="AB135" s="2"/>
      <c r="AC135" s="2"/>
      <c r="AD135" s="2"/>
      <c r="AE135" s="2"/>
      <c r="AF135" s="2"/>
      <c r="AG135" s="2"/>
    </row>
    <row r="136" spans="1:33" x14ac:dyDescent="0.25">
      <c r="A136"/>
      <c r="B136"/>
      <c r="C136"/>
      <c r="D136"/>
      <c r="E136"/>
      <c r="F136"/>
      <c r="G136"/>
      <c r="H136"/>
      <c r="I136"/>
      <c r="J136"/>
      <c r="K136"/>
      <c r="L136"/>
      <c r="M136"/>
      <c r="N136"/>
      <c r="O136"/>
      <c r="P136"/>
      <c r="Q136"/>
      <c r="R136"/>
      <c r="S136"/>
      <c r="T136"/>
      <c r="U136"/>
      <c r="V136" s="2"/>
      <c r="W136" s="2"/>
      <c r="X136" s="2"/>
      <c r="Y136" s="2"/>
      <c r="Z136" s="2"/>
      <c r="AA136" s="2"/>
      <c r="AB136" s="2"/>
      <c r="AC136" s="2"/>
      <c r="AD136" s="2"/>
      <c r="AE136" s="2"/>
      <c r="AF136" s="2"/>
      <c r="AG136" s="2"/>
    </row>
    <row r="137" spans="1:33" x14ac:dyDescent="0.25">
      <c r="A137"/>
      <c r="B137"/>
      <c r="C137"/>
      <c r="D137"/>
      <c r="E137"/>
      <c r="F137"/>
      <c r="G137"/>
      <c r="H137"/>
      <c r="I137"/>
      <c r="J137"/>
      <c r="K137"/>
      <c r="L137"/>
      <c r="M137"/>
      <c r="N137"/>
      <c r="O137"/>
      <c r="P137"/>
      <c r="Q137"/>
      <c r="R137"/>
      <c r="S137"/>
      <c r="T137"/>
      <c r="U137"/>
      <c r="V137" s="2"/>
      <c r="W137" s="2"/>
      <c r="X137" s="2"/>
      <c r="Y137" s="2"/>
      <c r="Z137" s="2"/>
      <c r="AA137" s="2"/>
      <c r="AB137" s="2"/>
      <c r="AC137" s="2"/>
      <c r="AD137" s="2"/>
      <c r="AE137" s="2"/>
      <c r="AF137" s="2"/>
      <c r="AG137" s="2"/>
    </row>
    <row r="138" spans="1:33" x14ac:dyDescent="0.25">
      <c r="A138"/>
      <c r="B138"/>
      <c r="C138"/>
      <c r="D138"/>
      <c r="E138"/>
      <c r="F138"/>
      <c r="G138"/>
      <c r="H138"/>
      <c r="I138"/>
      <c r="J138"/>
      <c r="K138"/>
      <c r="L138"/>
      <c r="M138"/>
      <c r="N138"/>
      <c r="O138"/>
      <c r="P138"/>
      <c r="Q138"/>
      <c r="R138"/>
      <c r="S138"/>
      <c r="T138"/>
      <c r="U138"/>
      <c r="V138" s="2"/>
      <c r="W138" s="2"/>
      <c r="X138" s="2"/>
      <c r="Y138" s="2"/>
      <c r="Z138" s="2"/>
      <c r="AA138" s="2"/>
      <c r="AB138" s="2"/>
      <c r="AC138" s="2"/>
      <c r="AD138" s="2"/>
      <c r="AE138" s="2"/>
      <c r="AF138" s="2"/>
      <c r="AG138" s="2"/>
    </row>
    <row r="139" spans="1:33" x14ac:dyDescent="0.25">
      <c r="A139"/>
      <c r="B139"/>
      <c r="C139"/>
      <c r="D139"/>
      <c r="E139"/>
      <c r="F139"/>
      <c r="G139"/>
      <c r="H139"/>
      <c r="I139"/>
      <c r="J139"/>
      <c r="K139"/>
      <c r="L139"/>
      <c r="M139"/>
      <c r="N139"/>
      <c r="O139"/>
      <c r="P139"/>
      <c r="Q139"/>
      <c r="R139"/>
      <c r="S139"/>
      <c r="T139"/>
      <c r="U139"/>
      <c r="V139" s="2"/>
      <c r="W139" s="2"/>
      <c r="X139" s="2"/>
      <c r="Y139" s="2"/>
      <c r="Z139" s="2"/>
      <c r="AA139" s="2"/>
      <c r="AB139" s="2"/>
      <c r="AC139" s="2"/>
      <c r="AD139" s="2"/>
      <c r="AE139" s="2"/>
      <c r="AF139" s="2"/>
      <c r="AG139" s="2"/>
    </row>
    <row r="140" spans="1:33" x14ac:dyDescent="0.25">
      <c r="A140"/>
      <c r="B140"/>
      <c r="C140"/>
      <c r="D140"/>
      <c r="E140"/>
      <c r="F140"/>
      <c r="G140"/>
      <c r="H140"/>
      <c r="I140"/>
      <c r="J140"/>
      <c r="K140"/>
      <c r="L140"/>
      <c r="M140"/>
      <c r="N140"/>
      <c r="O140"/>
      <c r="P140"/>
      <c r="Q140"/>
      <c r="R140"/>
      <c r="S140"/>
      <c r="T140"/>
      <c r="U140"/>
      <c r="V140" s="2"/>
      <c r="W140" s="2"/>
      <c r="X140" s="2"/>
      <c r="Y140" s="2"/>
      <c r="Z140" s="2"/>
      <c r="AA140" s="2"/>
      <c r="AB140" s="2"/>
      <c r="AC140" s="2"/>
      <c r="AD140" s="2"/>
      <c r="AE140" s="2"/>
      <c r="AF140" s="2"/>
      <c r="AG140" s="2"/>
    </row>
    <row r="141" spans="1:33" x14ac:dyDescent="0.25">
      <c r="A141"/>
      <c r="B141"/>
      <c r="C141"/>
      <c r="D141"/>
      <c r="E141"/>
      <c r="F141"/>
      <c r="G141"/>
      <c r="H141"/>
      <c r="I141"/>
      <c r="J141"/>
      <c r="K141"/>
      <c r="L141"/>
      <c r="M141"/>
      <c r="N141"/>
      <c r="O141"/>
      <c r="P141"/>
      <c r="Q141"/>
      <c r="R141"/>
      <c r="S141"/>
      <c r="T141"/>
      <c r="U141"/>
      <c r="V141" s="2"/>
      <c r="W141" s="2"/>
      <c r="X141" s="2"/>
      <c r="Y141" s="2"/>
      <c r="Z141" s="2"/>
      <c r="AA141" s="2"/>
      <c r="AB141" s="2"/>
      <c r="AC141" s="2"/>
      <c r="AD141" s="2"/>
      <c r="AE141" s="2"/>
      <c r="AF141" s="2"/>
      <c r="AG141" s="2"/>
    </row>
    <row r="142" spans="1:33" x14ac:dyDescent="0.25">
      <c r="A142"/>
      <c r="B142"/>
      <c r="C142"/>
      <c r="D142"/>
      <c r="E142"/>
      <c r="F142"/>
      <c r="G142"/>
      <c r="H142"/>
      <c r="I142"/>
      <c r="J142"/>
      <c r="K142"/>
      <c r="L142"/>
      <c r="M142"/>
      <c r="N142"/>
      <c r="O142"/>
      <c r="P142"/>
      <c r="Q142"/>
      <c r="R142"/>
      <c r="S142"/>
      <c r="T142"/>
      <c r="U142"/>
      <c r="V142" s="2"/>
      <c r="W142" s="2"/>
      <c r="X142" s="2"/>
      <c r="Y142" s="2"/>
      <c r="Z142" s="2"/>
      <c r="AA142" s="2"/>
      <c r="AB142" s="2"/>
      <c r="AC142" s="2"/>
      <c r="AD142" s="2"/>
      <c r="AE142" s="2"/>
      <c r="AF142" s="2"/>
      <c r="AG142" s="2"/>
    </row>
    <row r="143" spans="1:33" x14ac:dyDescent="0.25">
      <c r="A143"/>
      <c r="B143"/>
      <c r="C143"/>
      <c r="D143"/>
      <c r="E143"/>
      <c r="F143"/>
      <c r="G143"/>
      <c r="H143"/>
      <c r="I143"/>
      <c r="J143"/>
      <c r="K143"/>
      <c r="L143"/>
      <c r="M143"/>
      <c r="N143"/>
      <c r="O143"/>
      <c r="P143"/>
      <c r="Q143"/>
      <c r="R143"/>
      <c r="S143"/>
      <c r="T143"/>
      <c r="U143"/>
      <c r="V143" s="2"/>
      <c r="W143" s="2"/>
      <c r="X143" s="2"/>
      <c r="Y143" s="2"/>
      <c r="Z143" s="2"/>
      <c r="AA143" s="2"/>
      <c r="AB143" s="2"/>
      <c r="AC143" s="2"/>
      <c r="AD143" s="2"/>
      <c r="AE143" s="2"/>
      <c r="AF143" s="2"/>
      <c r="AG143" s="2"/>
    </row>
    <row r="144" spans="1:33" x14ac:dyDescent="0.25">
      <c r="A144"/>
      <c r="B144"/>
      <c r="C144"/>
      <c r="D144"/>
      <c r="E144"/>
      <c r="F144"/>
      <c r="G144"/>
      <c r="H144"/>
      <c r="I144"/>
      <c r="J144"/>
      <c r="K144"/>
      <c r="L144"/>
      <c r="M144"/>
      <c r="N144"/>
      <c r="O144"/>
      <c r="P144"/>
      <c r="Q144"/>
      <c r="R144"/>
      <c r="S144"/>
      <c r="T144"/>
      <c r="U144"/>
      <c r="V144" s="2"/>
      <c r="W144" s="2"/>
      <c r="X144" s="2"/>
      <c r="Y144" s="2"/>
      <c r="Z144" s="2"/>
      <c r="AA144" s="2"/>
      <c r="AB144" s="2"/>
      <c r="AC144" s="2"/>
      <c r="AD144" s="2"/>
      <c r="AE144" s="2"/>
      <c r="AF144" s="2"/>
      <c r="AG144" s="2"/>
    </row>
    <row r="145" spans="1:33" x14ac:dyDescent="0.25">
      <c r="A145"/>
      <c r="B145"/>
      <c r="C145"/>
      <c r="D145"/>
      <c r="E145"/>
      <c r="F145"/>
      <c r="G145"/>
      <c r="H145"/>
      <c r="I145"/>
      <c r="J145"/>
      <c r="K145"/>
      <c r="L145"/>
      <c r="M145"/>
      <c r="N145"/>
      <c r="O145"/>
      <c r="P145"/>
      <c r="Q145"/>
      <c r="R145"/>
      <c r="S145"/>
      <c r="T145"/>
      <c r="U145"/>
      <c r="V145" s="2"/>
      <c r="W145" s="2"/>
      <c r="X145" s="2"/>
      <c r="Y145" s="2"/>
      <c r="Z145" s="2"/>
      <c r="AA145" s="2"/>
      <c r="AB145" s="2"/>
      <c r="AC145" s="2"/>
      <c r="AD145" s="2"/>
      <c r="AE145" s="2"/>
      <c r="AF145" s="2"/>
      <c r="AG145" s="2"/>
    </row>
    <row r="146" spans="1:33" x14ac:dyDescent="0.25">
      <c r="A146"/>
      <c r="B146"/>
      <c r="C146"/>
      <c r="D146"/>
      <c r="E146"/>
      <c r="F146"/>
      <c r="G146"/>
      <c r="H146"/>
      <c r="I146"/>
      <c r="J146"/>
      <c r="K146"/>
      <c r="L146"/>
      <c r="M146"/>
      <c r="N146"/>
      <c r="O146"/>
      <c r="P146"/>
      <c r="Q146"/>
      <c r="R146"/>
      <c r="S146"/>
      <c r="T146"/>
      <c r="U146"/>
      <c r="V146" s="2"/>
      <c r="W146" s="2"/>
      <c r="X146" s="2"/>
      <c r="Y146" s="2"/>
      <c r="Z146" s="2"/>
      <c r="AA146" s="2"/>
      <c r="AB146" s="2"/>
      <c r="AC146" s="2"/>
      <c r="AD146" s="2"/>
      <c r="AE146" s="2"/>
      <c r="AF146" s="2"/>
      <c r="AG146" s="2"/>
    </row>
    <row r="147" spans="1:33" x14ac:dyDescent="0.25">
      <c r="A147"/>
      <c r="B147"/>
      <c r="C147"/>
      <c r="D147"/>
      <c r="E147"/>
      <c r="F147"/>
      <c r="G147"/>
      <c r="H147"/>
      <c r="I147"/>
      <c r="J147"/>
      <c r="K147"/>
      <c r="L147"/>
      <c r="M147"/>
      <c r="N147"/>
      <c r="O147"/>
      <c r="P147"/>
      <c r="Q147"/>
      <c r="R147"/>
      <c r="S147"/>
      <c r="T147"/>
      <c r="U147"/>
      <c r="V147" s="2"/>
      <c r="W147" s="2"/>
      <c r="X147" s="2"/>
      <c r="Y147" s="2"/>
      <c r="Z147" s="2"/>
      <c r="AA147" s="2"/>
      <c r="AB147" s="2"/>
      <c r="AC147" s="2"/>
      <c r="AD147" s="2"/>
      <c r="AE147" s="2"/>
      <c r="AF147" s="2"/>
      <c r="AG147" s="2"/>
    </row>
    <row r="148" spans="1:33" x14ac:dyDescent="0.25">
      <c r="A148"/>
      <c r="B148"/>
      <c r="C148"/>
      <c r="D148"/>
      <c r="E148"/>
      <c r="F148"/>
      <c r="G148"/>
      <c r="H148"/>
      <c r="I148"/>
      <c r="J148"/>
      <c r="K148"/>
      <c r="L148"/>
      <c r="M148"/>
      <c r="N148"/>
      <c r="O148"/>
      <c r="P148"/>
      <c r="Q148"/>
      <c r="R148"/>
      <c r="S148"/>
      <c r="T148"/>
      <c r="U148"/>
      <c r="V148" s="2"/>
      <c r="W148" s="2"/>
      <c r="X148" s="2"/>
      <c r="Y148" s="2"/>
      <c r="Z148" s="2"/>
      <c r="AA148" s="2"/>
      <c r="AB148" s="2"/>
      <c r="AC148" s="2"/>
      <c r="AD148" s="2"/>
      <c r="AE148" s="2"/>
      <c r="AF148" s="2"/>
      <c r="AG148" s="2"/>
    </row>
    <row r="149" spans="1:33" x14ac:dyDescent="0.25">
      <c r="A149"/>
      <c r="B149"/>
      <c r="C149"/>
      <c r="D149"/>
      <c r="E149"/>
      <c r="F149"/>
      <c r="G149"/>
      <c r="H149"/>
      <c r="I149"/>
      <c r="J149"/>
      <c r="K149"/>
      <c r="L149"/>
      <c r="M149"/>
      <c r="N149"/>
      <c r="O149"/>
      <c r="P149"/>
      <c r="Q149"/>
      <c r="R149"/>
      <c r="S149"/>
      <c r="T149"/>
      <c r="U149"/>
      <c r="V149" s="2"/>
      <c r="W149" s="2"/>
      <c r="X149" s="2"/>
      <c r="Y149" s="2"/>
      <c r="Z149" s="2"/>
      <c r="AA149" s="2"/>
      <c r="AB149" s="2"/>
      <c r="AC149" s="2"/>
      <c r="AD149" s="2"/>
      <c r="AE149" s="2"/>
      <c r="AF149" s="2"/>
      <c r="AG149" s="2"/>
    </row>
    <row r="150" spans="1:33" x14ac:dyDescent="0.25">
      <c r="A150"/>
      <c r="B150"/>
      <c r="C150"/>
      <c r="D150"/>
      <c r="E150"/>
      <c r="F150"/>
      <c r="G150"/>
      <c r="H150"/>
      <c r="I150"/>
      <c r="J150"/>
      <c r="K150"/>
      <c r="L150"/>
      <c r="M150"/>
      <c r="N150"/>
      <c r="O150"/>
      <c r="P150"/>
      <c r="Q150"/>
      <c r="R150"/>
      <c r="S150"/>
      <c r="T150"/>
      <c r="U150"/>
      <c r="V150" s="2"/>
      <c r="W150" s="2"/>
      <c r="X150" s="2"/>
      <c r="Y150" s="2"/>
      <c r="Z150" s="2"/>
      <c r="AA150" s="2"/>
      <c r="AB150" s="2"/>
      <c r="AC150" s="2"/>
      <c r="AD150" s="2"/>
      <c r="AE150" s="2"/>
      <c r="AF150" s="2"/>
      <c r="AG150" s="2"/>
    </row>
    <row r="151" spans="1:33" x14ac:dyDescent="0.25">
      <c r="A151"/>
      <c r="B151"/>
      <c r="C151"/>
      <c r="D151"/>
      <c r="E151"/>
      <c r="F151"/>
      <c r="G151"/>
      <c r="H151"/>
      <c r="I151"/>
      <c r="J151"/>
      <c r="K151"/>
      <c r="L151"/>
      <c r="M151"/>
      <c r="N151"/>
      <c r="O151"/>
      <c r="P151"/>
      <c r="Q151"/>
      <c r="R151"/>
      <c r="S151"/>
      <c r="T151"/>
      <c r="U151"/>
      <c r="V151" s="2"/>
      <c r="W151" s="2"/>
      <c r="X151" s="2"/>
      <c r="Y151" s="2"/>
      <c r="Z151" s="2"/>
      <c r="AA151" s="2"/>
      <c r="AB151" s="2"/>
      <c r="AC151" s="2"/>
      <c r="AD151" s="2"/>
      <c r="AE151" s="2"/>
      <c r="AF151" s="2"/>
      <c r="AG151" s="2"/>
    </row>
    <row r="152" spans="1:33" x14ac:dyDescent="0.25">
      <c r="A152"/>
      <c r="B152"/>
      <c r="C152"/>
      <c r="D152"/>
      <c r="E152"/>
      <c r="F152"/>
      <c r="G152"/>
      <c r="H152"/>
      <c r="I152"/>
      <c r="J152"/>
      <c r="K152"/>
      <c r="L152"/>
      <c r="M152"/>
      <c r="N152"/>
      <c r="O152"/>
      <c r="P152"/>
      <c r="Q152"/>
      <c r="R152"/>
      <c r="S152"/>
      <c r="T152"/>
      <c r="U152"/>
      <c r="V152" s="2"/>
      <c r="W152" s="2"/>
      <c r="X152" s="2"/>
      <c r="Y152" s="2"/>
      <c r="Z152" s="2"/>
      <c r="AA152" s="2"/>
      <c r="AB152" s="2"/>
      <c r="AC152" s="2"/>
      <c r="AD152" s="2"/>
      <c r="AE152" s="2"/>
      <c r="AF152" s="2"/>
      <c r="AG152" s="2"/>
    </row>
    <row r="153" spans="1:33" x14ac:dyDescent="0.25">
      <c r="A153"/>
      <c r="B153"/>
      <c r="C153"/>
      <c r="D153"/>
      <c r="E153"/>
      <c r="F153"/>
      <c r="G153"/>
      <c r="H153"/>
      <c r="I153"/>
      <c r="J153"/>
      <c r="K153"/>
      <c r="L153"/>
      <c r="M153"/>
      <c r="N153"/>
      <c r="O153"/>
      <c r="P153"/>
      <c r="Q153"/>
      <c r="R153"/>
      <c r="S153"/>
      <c r="T153"/>
      <c r="U153"/>
      <c r="V153" s="2"/>
      <c r="W153" s="2"/>
      <c r="X153" s="2"/>
      <c r="Y153" s="2"/>
      <c r="Z153" s="2"/>
      <c r="AA153" s="2"/>
      <c r="AB153" s="2"/>
      <c r="AC153" s="2"/>
      <c r="AD153" s="2"/>
      <c r="AE153" s="2"/>
      <c r="AF153" s="2"/>
      <c r="AG153" s="2"/>
    </row>
    <row r="154" spans="1:33" x14ac:dyDescent="0.25">
      <c r="A154"/>
      <c r="B154"/>
      <c r="C154"/>
      <c r="D154"/>
      <c r="E154"/>
      <c r="F154"/>
      <c r="G154"/>
      <c r="H154"/>
      <c r="I154"/>
      <c r="J154"/>
      <c r="K154"/>
      <c r="L154"/>
      <c r="M154"/>
      <c r="N154"/>
      <c r="O154"/>
      <c r="P154"/>
      <c r="Q154"/>
      <c r="R154"/>
      <c r="S154"/>
      <c r="T154"/>
      <c r="U154"/>
      <c r="V154" s="2"/>
      <c r="W154" s="2"/>
      <c r="X154" s="2"/>
      <c r="Y154" s="2"/>
      <c r="Z154" s="2"/>
      <c r="AA154" s="2"/>
      <c r="AB154" s="2"/>
      <c r="AC154" s="2"/>
      <c r="AD154" s="2"/>
      <c r="AE154" s="2"/>
      <c r="AF154" s="2"/>
      <c r="AG154" s="2"/>
    </row>
    <row r="155" spans="1:33" x14ac:dyDescent="0.25">
      <c r="A155"/>
      <c r="B155"/>
      <c r="C155"/>
      <c r="D155"/>
      <c r="E155"/>
      <c r="F155"/>
      <c r="G155"/>
      <c r="H155"/>
      <c r="I155"/>
      <c r="J155"/>
      <c r="K155"/>
      <c r="L155"/>
      <c r="M155"/>
      <c r="N155"/>
      <c r="O155"/>
      <c r="P155"/>
      <c r="Q155"/>
      <c r="R155"/>
      <c r="S155"/>
      <c r="T155"/>
      <c r="U155"/>
      <c r="V155" s="2"/>
      <c r="W155" s="2"/>
      <c r="X155" s="2"/>
      <c r="Y155" s="2"/>
      <c r="Z155" s="2"/>
      <c r="AA155" s="2"/>
      <c r="AB155" s="2"/>
      <c r="AC155" s="2"/>
      <c r="AD155" s="2"/>
      <c r="AE155" s="2"/>
      <c r="AF155" s="2"/>
      <c r="AG155" s="2"/>
    </row>
    <row r="156" spans="1:33" x14ac:dyDescent="0.25">
      <c r="A156"/>
      <c r="B156"/>
      <c r="C156"/>
      <c r="D156"/>
      <c r="E156"/>
      <c r="F156"/>
      <c r="G156"/>
      <c r="H156"/>
      <c r="I156"/>
      <c r="J156"/>
      <c r="K156"/>
      <c r="L156"/>
      <c r="M156"/>
      <c r="N156"/>
      <c r="O156"/>
      <c r="P156"/>
      <c r="Q156"/>
      <c r="R156"/>
      <c r="S156"/>
      <c r="T156"/>
      <c r="U156"/>
      <c r="V156" s="2"/>
      <c r="W156" s="2"/>
      <c r="X156" s="2"/>
      <c r="Y156" s="2"/>
      <c r="Z156" s="2"/>
      <c r="AA156" s="2"/>
      <c r="AB156" s="2"/>
      <c r="AC156" s="2"/>
      <c r="AD156" s="2"/>
      <c r="AE156" s="2"/>
      <c r="AF156" s="2"/>
      <c r="AG156" s="2"/>
    </row>
    <row r="157" spans="1:33" x14ac:dyDescent="0.25">
      <c r="A157"/>
      <c r="B157"/>
      <c r="C157"/>
      <c r="D157"/>
      <c r="E157"/>
      <c r="F157"/>
      <c r="G157"/>
      <c r="H157"/>
      <c r="I157"/>
      <c r="J157"/>
      <c r="K157"/>
      <c r="L157"/>
      <c r="M157"/>
      <c r="N157"/>
      <c r="O157"/>
      <c r="P157"/>
      <c r="Q157"/>
      <c r="R157"/>
      <c r="S157"/>
      <c r="T157"/>
      <c r="U157"/>
      <c r="V157" s="2"/>
      <c r="W157" s="2"/>
      <c r="X157" s="2"/>
      <c r="Y157" s="2"/>
      <c r="Z157" s="2"/>
      <c r="AA157" s="2"/>
      <c r="AB157" s="2"/>
      <c r="AC157" s="2"/>
      <c r="AD157" s="2"/>
      <c r="AE157" s="2"/>
      <c r="AF157" s="2"/>
      <c r="AG157" s="2"/>
    </row>
    <row r="158" spans="1:33" x14ac:dyDescent="0.25">
      <c r="A158"/>
      <c r="B158"/>
      <c r="C158"/>
      <c r="D158"/>
      <c r="E158"/>
      <c r="F158"/>
      <c r="G158"/>
      <c r="H158"/>
      <c r="I158"/>
      <c r="J158"/>
      <c r="K158"/>
      <c r="L158"/>
      <c r="M158"/>
      <c r="N158"/>
      <c r="O158"/>
      <c r="P158"/>
      <c r="Q158"/>
      <c r="R158"/>
      <c r="S158"/>
      <c r="T158"/>
      <c r="U158"/>
      <c r="V158" s="2"/>
      <c r="W158" s="2"/>
      <c r="X158" s="2"/>
      <c r="Y158" s="2"/>
      <c r="Z158" s="2"/>
      <c r="AA158" s="2"/>
      <c r="AB158" s="2"/>
      <c r="AC158" s="2"/>
      <c r="AD158" s="2"/>
      <c r="AE158" s="2"/>
      <c r="AF158" s="2"/>
      <c r="AG158" s="2"/>
    </row>
    <row r="159" spans="1:33" x14ac:dyDescent="0.25">
      <c r="A159"/>
      <c r="B159"/>
      <c r="C159"/>
      <c r="D159"/>
      <c r="E159"/>
      <c r="F159"/>
      <c r="G159"/>
      <c r="H159"/>
      <c r="I159"/>
      <c r="J159"/>
      <c r="K159"/>
      <c r="L159"/>
      <c r="M159"/>
      <c r="N159"/>
      <c r="O159"/>
      <c r="P159"/>
      <c r="Q159"/>
      <c r="R159"/>
      <c r="S159"/>
      <c r="T159"/>
      <c r="U159"/>
      <c r="V159" s="2"/>
      <c r="W159" s="2"/>
      <c r="X159" s="2"/>
      <c r="Y159" s="2"/>
      <c r="Z159" s="2"/>
      <c r="AA159" s="2"/>
      <c r="AB159" s="2"/>
      <c r="AC159" s="2"/>
      <c r="AD159" s="2"/>
      <c r="AE159" s="2"/>
      <c r="AF159" s="2"/>
      <c r="AG159" s="2"/>
    </row>
    <row r="160" spans="1:33" x14ac:dyDescent="0.25">
      <c r="A160"/>
      <c r="B160"/>
      <c r="C160"/>
      <c r="D160"/>
      <c r="E160"/>
      <c r="F160"/>
      <c r="G160"/>
      <c r="H160"/>
      <c r="I160"/>
      <c r="J160"/>
      <c r="K160"/>
      <c r="L160"/>
      <c r="M160"/>
      <c r="N160"/>
      <c r="O160"/>
      <c r="P160"/>
      <c r="Q160"/>
      <c r="R160"/>
      <c r="S160"/>
      <c r="T160"/>
      <c r="U160"/>
      <c r="V160" s="2"/>
      <c r="W160" s="2"/>
      <c r="X160" s="2"/>
      <c r="Y160" s="2"/>
      <c r="Z160" s="2"/>
      <c r="AA160" s="2"/>
      <c r="AB160" s="2"/>
      <c r="AC160" s="2"/>
      <c r="AD160" s="2"/>
      <c r="AE160" s="2"/>
      <c r="AF160" s="2"/>
      <c r="AG160" s="2"/>
    </row>
    <row r="161" spans="1:33" x14ac:dyDescent="0.25">
      <c r="A161"/>
      <c r="B161"/>
      <c r="C161"/>
      <c r="D161"/>
      <c r="E161"/>
      <c r="F161"/>
      <c r="G161"/>
      <c r="H161"/>
      <c r="I161"/>
      <c r="J161"/>
      <c r="K161"/>
      <c r="L161"/>
      <c r="M161"/>
      <c r="N161"/>
      <c r="O161"/>
      <c r="P161"/>
      <c r="Q161"/>
      <c r="R161"/>
      <c r="S161"/>
      <c r="T161"/>
      <c r="U161"/>
      <c r="V161" s="2"/>
      <c r="W161" s="2"/>
      <c r="X161" s="2"/>
      <c r="Y161" s="2"/>
      <c r="Z161" s="2"/>
      <c r="AA161" s="2"/>
      <c r="AB161" s="2"/>
      <c r="AC161" s="2"/>
      <c r="AD161" s="2"/>
      <c r="AE161" s="2"/>
      <c r="AF161" s="2"/>
      <c r="AG161" s="2"/>
    </row>
    <row r="162" spans="1:33" x14ac:dyDescent="0.25">
      <c r="A162"/>
      <c r="B162"/>
      <c r="C162"/>
      <c r="D162"/>
      <c r="E162"/>
      <c r="F162"/>
      <c r="G162"/>
      <c r="H162"/>
      <c r="I162"/>
      <c r="J162"/>
      <c r="K162"/>
      <c r="L162"/>
      <c r="M162"/>
      <c r="N162"/>
      <c r="O162"/>
      <c r="P162"/>
      <c r="Q162"/>
      <c r="R162"/>
      <c r="S162"/>
      <c r="T162"/>
      <c r="U162"/>
      <c r="V162" s="2"/>
      <c r="W162" s="2"/>
      <c r="X162" s="2"/>
      <c r="Y162" s="2"/>
      <c r="Z162" s="2"/>
      <c r="AA162" s="2"/>
      <c r="AB162" s="2"/>
      <c r="AC162" s="2"/>
      <c r="AD162" s="2"/>
      <c r="AE162" s="2"/>
      <c r="AF162" s="2"/>
      <c r="AG162" s="2"/>
    </row>
    <row r="163" spans="1:33" x14ac:dyDescent="0.25">
      <c r="A163"/>
      <c r="B163"/>
      <c r="C163"/>
      <c r="D163"/>
      <c r="E163"/>
      <c r="F163"/>
      <c r="G163"/>
      <c r="H163"/>
      <c r="I163"/>
      <c r="J163"/>
      <c r="K163"/>
      <c r="L163"/>
      <c r="M163"/>
      <c r="N163"/>
      <c r="O163"/>
      <c r="P163"/>
      <c r="Q163"/>
      <c r="R163"/>
      <c r="S163"/>
      <c r="T163"/>
      <c r="U163"/>
      <c r="V163" s="2"/>
      <c r="W163" s="2"/>
      <c r="X163" s="2"/>
      <c r="Y163" s="2"/>
      <c r="Z163" s="2"/>
      <c r="AA163" s="2"/>
      <c r="AB163" s="2"/>
      <c r="AC163" s="2"/>
      <c r="AD163" s="2"/>
      <c r="AE163" s="2"/>
      <c r="AF163" s="2"/>
      <c r="AG163" s="2"/>
    </row>
    <row r="164" spans="1:33" x14ac:dyDescent="0.25">
      <c r="A164"/>
      <c r="B164"/>
      <c r="C164"/>
      <c r="D164"/>
      <c r="E164"/>
      <c r="F164"/>
      <c r="G164"/>
      <c r="H164"/>
      <c r="I164"/>
      <c r="J164"/>
      <c r="K164"/>
      <c r="L164"/>
      <c r="M164"/>
      <c r="N164"/>
      <c r="O164"/>
      <c r="P164"/>
      <c r="Q164"/>
      <c r="R164"/>
      <c r="S164"/>
      <c r="T164"/>
      <c r="U164"/>
      <c r="V164" s="2"/>
      <c r="W164" s="2"/>
      <c r="X164" s="2"/>
      <c r="Y164" s="2"/>
      <c r="Z164" s="2"/>
      <c r="AA164" s="2"/>
      <c r="AB164" s="2"/>
      <c r="AC164" s="2"/>
      <c r="AD164" s="2"/>
      <c r="AE164" s="2"/>
      <c r="AF164" s="2"/>
      <c r="AG164" s="2"/>
    </row>
    <row r="165" spans="1:33" x14ac:dyDescent="0.25">
      <c r="A165"/>
      <c r="B165"/>
      <c r="C165"/>
      <c r="D165"/>
      <c r="E165"/>
      <c r="F165"/>
      <c r="G165"/>
      <c r="H165"/>
      <c r="I165"/>
      <c r="J165"/>
      <c r="K165"/>
      <c r="L165"/>
      <c r="M165"/>
      <c r="N165"/>
      <c r="O165"/>
      <c r="P165"/>
      <c r="Q165"/>
      <c r="R165"/>
      <c r="S165"/>
      <c r="T165"/>
      <c r="U165"/>
      <c r="V165" s="2"/>
      <c r="W165" s="2"/>
      <c r="X165" s="2"/>
      <c r="Y165" s="2"/>
      <c r="Z165" s="2"/>
      <c r="AA165" s="2"/>
      <c r="AB165" s="2"/>
      <c r="AC165" s="2"/>
      <c r="AD165" s="2"/>
      <c r="AE165" s="2"/>
      <c r="AF165" s="2"/>
      <c r="AG165" s="2"/>
    </row>
    <row r="166" spans="1:33" x14ac:dyDescent="0.25">
      <c r="A166"/>
      <c r="B166"/>
      <c r="C166"/>
      <c r="D166"/>
      <c r="E166"/>
      <c r="F166"/>
      <c r="G166"/>
      <c r="H166"/>
      <c r="I166"/>
      <c r="J166"/>
      <c r="K166"/>
      <c r="L166"/>
      <c r="M166"/>
      <c r="N166"/>
      <c r="O166"/>
      <c r="P166"/>
      <c r="Q166"/>
      <c r="R166"/>
      <c r="S166"/>
      <c r="T166"/>
      <c r="U166"/>
      <c r="V166" s="2"/>
      <c r="W166" s="2"/>
      <c r="X166" s="2"/>
      <c r="Y166" s="2"/>
      <c r="Z166" s="2"/>
      <c r="AA166" s="2"/>
      <c r="AB166" s="2"/>
      <c r="AC166" s="2"/>
      <c r="AD166" s="2"/>
      <c r="AE166" s="2"/>
      <c r="AF166" s="2"/>
      <c r="AG166" s="2"/>
    </row>
    <row r="167" spans="1:33" x14ac:dyDescent="0.25">
      <c r="A167"/>
      <c r="B167"/>
      <c r="C167"/>
      <c r="D167"/>
      <c r="E167"/>
      <c r="F167"/>
      <c r="G167"/>
      <c r="H167"/>
      <c r="I167"/>
      <c r="J167"/>
      <c r="K167"/>
      <c r="L167"/>
      <c r="M167"/>
      <c r="N167"/>
      <c r="O167"/>
      <c r="P167"/>
      <c r="Q167"/>
      <c r="R167"/>
      <c r="S167"/>
      <c r="T167"/>
      <c r="U167"/>
      <c r="V167" s="2"/>
      <c r="W167" s="2"/>
      <c r="X167" s="2"/>
      <c r="Y167" s="2"/>
      <c r="Z167" s="2"/>
      <c r="AA167" s="2"/>
      <c r="AB167" s="2"/>
      <c r="AC167" s="2"/>
      <c r="AD167" s="2"/>
      <c r="AE167" s="2"/>
      <c r="AF167" s="2"/>
      <c r="AG167" s="2"/>
    </row>
    <row r="168" spans="1:33" x14ac:dyDescent="0.25">
      <c r="A168"/>
      <c r="B168"/>
      <c r="C168"/>
      <c r="D168"/>
      <c r="E168"/>
      <c r="F168"/>
      <c r="G168"/>
      <c r="H168"/>
      <c r="I168"/>
      <c r="J168"/>
      <c r="K168"/>
      <c r="L168"/>
      <c r="M168"/>
      <c r="N168"/>
      <c r="O168"/>
      <c r="P168"/>
      <c r="Q168"/>
      <c r="R168"/>
      <c r="S168"/>
      <c r="T168"/>
      <c r="U168"/>
      <c r="V168" s="2"/>
      <c r="W168" s="2"/>
      <c r="X168" s="2"/>
      <c r="Y168" s="2"/>
      <c r="Z168" s="2"/>
      <c r="AA168" s="2"/>
      <c r="AB168" s="2"/>
      <c r="AC168" s="2"/>
      <c r="AD168" s="2"/>
      <c r="AE168" s="2"/>
      <c r="AF168" s="2"/>
      <c r="AG168" s="2"/>
    </row>
    <row r="169" spans="1:33" x14ac:dyDescent="0.25">
      <c r="A169"/>
      <c r="B169"/>
      <c r="C169"/>
      <c r="D169"/>
      <c r="E169"/>
      <c r="F169"/>
      <c r="G169"/>
      <c r="H169"/>
      <c r="I169"/>
      <c r="J169"/>
      <c r="K169"/>
      <c r="L169"/>
      <c r="M169"/>
      <c r="N169"/>
      <c r="O169"/>
      <c r="P169"/>
      <c r="Q169"/>
      <c r="R169"/>
      <c r="S169"/>
      <c r="T169"/>
      <c r="U169"/>
      <c r="V169" s="2"/>
      <c r="W169" s="2"/>
      <c r="X169" s="2"/>
      <c r="Y169" s="2"/>
      <c r="Z169" s="2"/>
      <c r="AA169" s="2"/>
      <c r="AB169" s="2"/>
      <c r="AC169" s="2"/>
      <c r="AD169" s="2"/>
      <c r="AE169" s="2"/>
      <c r="AF169" s="2"/>
      <c r="AG169" s="2"/>
    </row>
    <row r="170" spans="1:33" x14ac:dyDescent="0.25">
      <c r="A170"/>
      <c r="B170"/>
      <c r="C170"/>
      <c r="D170"/>
      <c r="E170"/>
      <c r="F170"/>
      <c r="G170"/>
      <c r="H170"/>
      <c r="I170"/>
      <c r="J170"/>
      <c r="K170"/>
      <c r="L170"/>
      <c r="M170"/>
      <c r="N170"/>
      <c r="O170"/>
      <c r="P170"/>
      <c r="Q170"/>
      <c r="R170"/>
      <c r="S170"/>
      <c r="T170"/>
      <c r="U170"/>
      <c r="V170" s="2"/>
      <c r="W170" s="2"/>
      <c r="X170" s="2"/>
      <c r="Y170" s="2"/>
      <c r="Z170" s="2"/>
      <c r="AA170" s="2"/>
      <c r="AB170" s="2"/>
      <c r="AC170" s="2"/>
      <c r="AD170" s="2"/>
      <c r="AE170" s="2"/>
      <c r="AF170" s="2"/>
      <c r="AG170" s="2"/>
    </row>
    <row r="171" spans="1:33" x14ac:dyDescent="0.25">
      <c r="A171"/>
      <c r="B171"/>
      <c r="C171"/>
      <c r="D171"/>
      <c r="E171"/>
      <c r="F171"/>
      <c r="G171"/>
      <c r="H171"/>
      <c r="I171"/>
      <c r="J171"/>
      <c r="K171"/>
      <c r="L171"/>
      <c r="M171"/>
      <c r="N171"/>
      <c r="O171"/>
      <c r="P171"/>
      <c r="Q171"/>
      <c r="R171"/>
      <c r="S171"/>
      <c r="T171"/>
      <c r="U171"/>
      <c r="V171" s="2"/>
      <c r="W171" s="2"/>
      <c r="X171" s="2"/>
      <c r="Y171" s="2"/>
      <c r="Z171" s="2"/>
      <c r="AA171" s="2"/>
      <c r="AB171" s="2"/>
      <c r="AC171" s="2"/>
      <c r="AD171" s="2"/>
      <c r="AE171" s="2"/>
      <c r="AF171" s="2"/>
      <c r="AG171" s="2"/>
    </row>
    <row r="172" spans="1:33" x14ac:dyDescent="0.25">
      <c r="A172"/>
      <c r="B172"/>
      <c r="C172"/>
      <c r="D172"/>
      <c r="E172"/>
      <c r="F172"/>
      <c r="G172"/>
      <c r="H172"/>
      <c r="I172"/>
      <c r="J172"/>
      <c r="K172"/>
      <c r="L172"/>
      <c r="M172"/>
      <c r="N172"/>
      <c r="O172"/>
      <c r="P172"/>
      <c r="Q172"/>
      <c r="R172"/>
      <c r="S172"/>
      <c r="T172"/>
      <c r="U172"/>
      <c r="V172" s="2"/>
      <c r="W172" s="2"/>
      <c r="X172" s="2"/>
      <c r="Y172" s="2"/>
      <c r="Z172" s="2"/>
      <c r="AA172" s="2"/>
      <c r="AB172" s="2"/>
      <c r="AC172" s="2"/>
      <c r="AD172" s="2"/>
      <c r="AE172" s="2"/>
      <c r="AF172" s="2"/>
      <c r="AG172" s="2"/>
    </row>
    <row r="173" spans="1:33" x14ac:dyDescent="0.25">
      <c r="A173"/>
      <c r="B173"/>
      <c r="C173"/>
      <c r="D173"/>
      <c r="E173"/>
      <c r="F173"/>
      <c r="G173"/>
      <c r="H173"/>
      <c r="I173"/>
      <c r="J173"/>
      <c r="K173"/>
      <c r="L173"/>
      <c r="M173"/>
      <c r="N173"/>
      <c r="O173"/>
      <c r="P173"/>
      <c r="Q173"/>
      <c r="R173"/>
      <c r="S173"/>
      <c r="T173"/>
      <c r="U173"/>
      <c r="V173" s="2"/>
      <c r="W173" s="2"/>
      <c r="X173" s="2"/>
      <c r="Y173" s="2"/>
      <c r="Z173" s="2"/>
      <c r="AA173" s="2"/>
      <c r="AB173" s="2"/>
      <c r="AC173" s="2"/>
      <c r="AD173" s="2"/>
      <c r="AE173" s="2"/>
      <c r="AF173" s="2"/>
      <c r="AG173" s="2"/>
    </row>
    <row r="174" spans="1:33" x14ac:dyDescent="0.25">
      <c r="A174"/>
      <c r="B174"/>
      <c r="C174"/>
      <c r="D174"/>
      <c r="E174"/>
      <c r="F174"/>
      <c r="G174"/>
      <c r="H174"/>
      <c r="I174"/>
      <c r="J174"/>
      <c r="K174"/>
      <c r="L174"/>
      <c r="M174"/>
      <c r="N174"/>
      <c r="O174"/>
      <c r="P174"/>
      <c r="Q174"/>
      <c r="R174"/>
      <c r="S174"/>
      <c r="T174"/>
      <c r="U174"/>
      <c r="V174" s="2"/>
      <c r="W174" s="2"/>
      <c r="X174" s="2"/>
      <c r="Y174" s="2"/>
      <c r="Z174" s="2"/>
      <c r="AA174" s="2"/>
      <c r="AB174" s="2"/>
      <c r="AC174" s="2"/>
      <c r="AD174" s="2"/>
      <c r="AE174" s="2"/>
      <c r="AF174" s="2"/>
      <c r="AG174" s="2"/>
    </row>
    <row r="175" spans="1:33" x14ac:dyDescent="0.25">
      <c r="A175"/>
      <c r="B175"/>
      <c r="C175"/>
      <c r="D175"/>
      <c r="E175"/>
      <c r="F175"/>
      <c r="G175"/>
      <c r="H175"/>
      <c r="I175"/>
      <c r="J175"/>
      <c r="K175"/>
      <c r="L175"/>
      <c r="M175"/>
      <c r="N175"/>
      <c r="O175"/>
      <c r="P175"/>
      <c r="Q175"/>
      <c r="R175"/>
      <c r="S175"/>
      <c r="T175"/>
      <c r="U175"/>
      <c r="V175" s="2"/>
      <c r="W175" s="2"/>
      <c r="X175" s="2"/>
      <c r="Y175" s="2"/>
      <c r="Z175" s="2"/>
      <c r="AA175" s="2"/>
      <c r="AB175" s="2"/>
      <c r="AC175" s="2"/>
      <c r="AD175" s="2"/>
      <c r="AE175" s="2"/>
      <c r="AF175" s="2"/>
      <c r="AG175" s="2"/>
    </row>
    <row r="176" spans="1:33" x14ac:dyDescent="0.25">
      <c r="A176"/>
      <c r="B176"/>
      <c r="C176"/>
      <c r="D176"/>
      <c r="E176"/>
      <c r="F176"/>
      <c r="G176"/>
      <c r="H176"/>
      <c r="I176"/>
      <c r="J176"/>
      <c r="K176"/>
      <c r="L176"/>
      <c r="M176"/>
      <c r="N176"/>
      <c r="O176"/>
      <c r="P176"/>
      <c r="Q176"/>
      <c r="R176"/>
      <c r="S176"/>
      <c r="T176"/>
      <c r="U176"/>
      <c r="V176" s="2"/>
      <c r="W176" s="2"/>
      <c r="X176" s="2"/>
      <c r="Y176" s="2"/>
      <c r="Z176" s="2"/>
      <c r="AA176" s="2"/>
      <c r="AB176" s="2"/>
      <c r="AC176" s="2"/>
      <c r="AD176" s="2"/>
      <c r="AE176" s="2"/>
      <c r="AF176" s="2"/>
      <c r="AG176" s="2"/>
    </row>
    <row r="177" spans="1:33" x14ac:dyDescent="0.25">
      <c r="A177"/>
      <c r="B177"/>
      <c r="C177"/>
      <c r="D177"/>
      <c r="E177"/>
      <c r="F177"/>
      <c r="G177"/>
      <c r="H177"/>
      <c r="I177"/>
      <c r="J177"/>
      <c r="K177"/>
      <c r="L177"/>
      <c r="M177"/>
      <c r="N177"/>
      <c r="O177"/>
      <c r="P177"/>
      <c r="Q177"/>
      <c r="R177"/>
      <c r="S177"/>
      <c r="T177"/>
      <c r="U177"/>
      <c r="V177" s="2"/>
      <c r="W177" s="2"/>
      <c r="X177" s="2"/>
      <c r="Y177" s="2"/>
      <c r="Z177" s="2"/>
      <c r="AA177" s="2"/>
      <c r="AB177" s="2"/>
      <c r="AC177" s="2"/>
      <c r="AD177" s="2"/>
      <c r="AE177" s="2"/>
      <c r="AF177" s="2"/>
      <c r="AG177" s="2"/>
    </row>
    <row r="178" spans="1:33" x14ac:dyDescent="0.25">
      <c r="A178"/>
      <c r="B178"/>
      <c r="C178"/>
      <c r="D178"/>
      <c r="E178"/>
      <c r="F178"/>
      <c r="G178"/>
      <c r="H178"/>
      <c r="I178"/>
      <c r="J178"/>
      <c r="K178"/>
      <c r="L178"/>
      <c r="M178"/>
      <c r="N178"/>
      <c r="O178"/>
      <c r="P178"/>
      <c r="Q178"/>
      <c r="R178"/>
      <c r="S178"/>
      <c r="T178"/>
      <c r="U178"/>
      <c r="V178" s="2"/>
      <c r="W178" s="2"/>
      <c r="X178" s="2"/>
      <c r="Y178" s="2"/>
      <c r="Z178" s="2"/>
      <c r="AA178" s="2"/>
      <c r="AB178" s="2"/>
      <c r="AC178" s="2"/>
      <c r="AD178" s="2"/>
      <c r="AE178" s="2"/>
      <c r="AF178" s="2"/>
      <c r="AG178" s="2"/>
    </row>
    <row r="179" spans="1:33" x14ac:dyDescent="0.25">
      <c r="A179"/>
      <c r="B179"/>
      <c r="C179"/>
      <c r="D179"/>
      <c r="E179"/>
      <c r="F179"/>
      <c r="G179"/>
      <c r="H179"/>
      <c r="I179"/>
      <c r="J179"/>
      <c r="K179"/>
      <c r="L179"/>
      <c r="M179"/>
      <c r="N179"/>
      <c r="O179"/>
      <c r="P179"/>
      <c r="Q179"/>
      <c r="R179"/>
      <c r="S179"/>
      <c r="T179"/>
      <c r="U179"/>
      <c r="V179" s="2"/>
      <c r="W179" s="2"/>
      <c r="X179" s="2"/>
      <c r="Y179" s="2"/>
      <c r="Z179" s="2"/>
      <c r="AA179" s="2"/>
      <c r="AB179" s="2"/>
      <c r="AC179" s="2"/>
      <c r="AD179" s="2"/>
      <c r="AE179" s="2"/>
      <c r="AF179" s="2"/>
      <c r="AG179" s="2"/>
    </row>
    <row r="180" spans="1:33" x14ac:dyDescent="0.25">
      <c r="A180"/>
      <c r="B180"/>
      <c r="C180"/>
      <c r="D180"/>
      <c r="E180"/>
      <c r="F180"/>
      <c r="G180"/>
      <c r="H180"/>
      <c r="I180"/>
      <c r="J180"/>
      <c r="K180"/>
      <c r="L180"/>
      <c r="M180"/>
      <c r="N180"/>
      <c r="O180"/>
      <c r="P180"/>
      <c r="Q180"/>
      <c r="R180"/>
      <c r="S180"/>
      <c r="T180"/>
      <c r="U180"/>
      <c r="V180" s="2"/>
      <c r="W180" s="2"/>
      <c r="X180" s="2"/>
      <c r="Y180" s="2"/>
      <c r="Z180" s="2"/>
      <c r="AA180" s="2"/>
      <c r="AB180" s="2"/>
      <c r="AC180" s="2"/>
      <c r="AD180" s="2"/>
      <c r="AE180" s="2"/>
      <c r="AF180" s="2"/>
      <c r="AG180" s="2"/>
    </row>
    <row r="181" spans="1:33" x14ac:dyDescent="0.25">
      <c r="A181"/>
      <c r="B181"/>
      <c r="C181"/>
      <c r="D181"/>
      <c r="E181"/>
      <c r="F181"/>
      <c r="G181"/>
      <c r="H181"/>
      <c r="I181"/>
      <c r="J181"/>
      <c r="K181"/>
      <c r="L181"/>
      <c r="M181"/>
      <c r="N181"/>
      <c r="O181"/>
      <c r="P181"/>
      <c r="Q181"/>
      <c r="R181"/>
      <c r="S181"/>
      <c r="T181"/>
      <c r="U181"/>
      <c r="V181" s="2"/>
      <c r="W181" s="2"/>
      <c r="X181" s="2"/>
      <c r="Y181" s="2"/>
      <c r="Z181" s="2"/>
      <c r="AA181" s="2"/>
      <c r="AB181" s="2"/>
      <c r="AC181" s="2"/>
      <c r="AD181" s="2"/>
      <c r="AE181" s="2"/>
      <c r="AF181" s="2"/>
      <c r="AG181" s="2"/>
    </row>
    <row r="182" spans="1:33" x14ac:dyDescent="0.25">
      <c r="A182"/>
      <c r="B182"/>
      <c r="C182"/>
      <c r="D182"/>
      <c r="E182"/>
      <c r="F182"/>
      <c r="G182"/>
      <c r="H182"/>
      <c r="I182"/>
      <c r="J182"/>
      <c r="K182"/>
      <c r="L182"/>
      <c r="M182"/>
      <c r="N182"/>
      <c r="O182"/>
      <c r="P182"/>
      <c r="Q182"/>
      <c r="R182"/>
      <c r="S182"/>
      <c r="T182"/>
      <c r="U182"/>
      <c r="V182" s="2"/>
      <c r="W182" s="2"/>
      <c r="X182" s="2"/>
      <c r="Y182" s="2"/>
      <c r="Z182" s="2"/>
      <c r="AA182" s="2"/>
      <c r="AB182" s="2"/>
      <c r="AC182" s="2"/>
      <c r="AD182" s="2"/>
      <c r="AE182" s="2"/>
      <c r="AF182" s="2"/>
      <c r="AG182" s="2"/>
    </row>
    <row r="183" spans="1:33" x14ac:dyDescent="0.25">
      <c r="A183"/>
      <c r="B183"/>
      <c r="C183"/>
      <c r="D183"/>
      <c r="E183"/>
      <c r="F183"/>
      <c r="G183"/>
      <c r="H183"/>
      <c r="I183"/>
      <c r="J183"/>
      <c r="K183"/>
      <c r="L183"/>
      <c r="M183"/>
      <c r="N183"/>
      <c r="O183"/>
      <c r="P183"/>
      <c r="Q183"/>
      <c r="R183"/>
      <c r="S183"/>
      <c r="T183"/>
      <c r="U183"/>
      <c r="V183" s="2"/>
      <c r="W183" s="2"/>
      <c r="X183" s="2"/>
      <c r="Y183" s="2"/>
      <c r="Z183" s="2"/>
      <c r="AA183" s="2"/>
      <c r="AB183" s="2"/>
      <c r="AC183" s="2"/>
      <c r="AD183" s="2"/>
      <c r="AE183" s="2"/>
      <c r="AF183" s="2"/>
      <c r="AG183" s="2"/>
    </row>
    <row r="184" spans="1:33" x14ac:dyDescent="0.25">
      <c r="A184"/>
      <c r="B184"/>
      <c r="C184"/>
      <c r="D184"/>
      <c r="E184"/>
      <c r="F184"/>
      <c r="G184"/>
      <c r="H184"/>
      <c r="I184"/>
      <c r="J184"/>
      <c r="K184"/>
      <c r="L184"/>
      <c r="M184"/>
      <c r="N184"/>
      <c r="O184"/>
      <c r="P184"/>
      <c r="Q184"/>
      <c r="R184"/>
      <c r="S184"/>
      <c r="T184"/>
      <c r="U184"/>
      <c r="V184" s="2"/>
      <c r="W184" s="2"/>
      <c r="X184" s="2"/>
      <c r="Y184" s="2"/>
      <c r="Z184" s="2"/>
      <c r="AA184" s="2"/>
      <c r="AB184" s="2"/>
      <c r="AC184" s="2"/>
      <c r="AD184" s="2"/>
      <c r="AE184" s="2"/>
      <c r="AF184" s="2"/>
      <c r="AG184" s="2"/>
    </row>
    <row r="185" spans="1:33" x14ac:dyDescent="0.25">
      <c r="A185"/>
      <c r="B185"/>
      <c r="C185"/>
      <c r="D185"/>
      <c r="E185"/>
      <c r="F185"/>
      <c r="G185"/>
      <c r="H185"/>
      <c r="I185"/>
      <c r="J185"/>
      <c r="K185"/>
      <c r="L185"/>
      <c r="M185"/>
      <c r="N185"/>
      <c r="O185"/>
      <c r="P185"/>
      <c r="Q185"/>
      <c r="R185"/>
      <c r="S185"/>
      <c r="T185"/>
      <c r="U185"/>
      <c r="V185" s="2"/>
      <c r="W185" s="2"/>
      <c r="X185" s="2"/>
      <c r="Y185" s="2"/>
      <c r="Z185" s="2"/>
      <c r="AA185" s="2"/>
      <c r="AB185" s="2"/>
      <c r="AC185" s="2"/>
      <c r="AD185" s="2"/>
      <c r="AE185" s="2"/>
      <c r="AF185" s="2"/>
      <c r="AG185" s="2"/>
    </row>
    <row r="186" spans="1:33" x14ac:dyDescent="0.25">
      <c r="A186"/>
      <c r="B186"/>
      <c r="C186"/>
      <c r="D186"/>
      <c r="E186"/>
      <c r="F186"/>
      <c r="G186"/>
      <c r="H186"/>
      <c r="I186"/>
      <c r="J186"/>
      <c r="K186"/>
      <c r="L186"/>
      <c r="M186"/>
      <c r="N186"/>
      <c r="O186"/>
      <c r="P186"/>
      <c r="Q186"/>
      <c r="R186"/>
      <c r="S186"/>
      <c r="T186"/>
      <c r="U186"/>
      <c r="V186" s="2"/>
      <c r="W186" s="2"/>
      <c r="X186" s="2"/>
      <c r="Y186" s="2"/>
      <c r="Z186" s="2"/>
      <c r="AA186" s="2"/>
      <c r="AB186" s="2"/>
      <c r="AC186" s="2"/>
      <c r="AD186" s="2"/>
      <c r="AE186" s="2"/>
      <c r="AF186" s="2"/>
      <c r="AG186" s="2"/>
    </row>
  </sheetData>
  <phoneticPr fontId="4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82"/>
  <sheetViews>
    <sheetView topLeftCell="A4" workbookViewId="0">
      <selection activeCell="B16" sqref="B16"/>
    </sheetView>
  </sheetViews>
  <sheetFormatPr defaultRowHeight="15.75" x14ac:dyDescent="0.25"/>
  <cols>
    <col min="1" max="1" width="12.140625" customWidth="1"/>
    <col min="2" max="2" width="13.7109375" bestFit="1" customWidth="1"/>
  </cols>
  <sheetData>
    <row r="1" spans="1:10" ht="27.75" x14ac:dyDescent="0.4">
      <c r="A1" s="294" t="s">
        <v>65</v>
      </c>
      <c r="B1" s="294"/>
      <c r="C1" s="294"/>
      <c r="D1" s="294"/>
      <c r="E1" s="294"/>
      <c r="F1" s="294"/>
      <c r="G1" s="294"/>
      <c r="H1" s="294"/>
      <c r="J1" t="s">
        <v>339</v>
      </c>
    </row>
    <row r="2" spans="1:10" x14ac:dyDescent="0.25">
      <c r="A2" s="24"/>
      <c r="B2" s="24" t="s">
        <v>66</v>
      </c>
      <c r="C2" s="25"/>
      <c r="D2" s="24"/>
      <c r="E2" s="24"/>
      <c r="F2" s="24"/>
      <c r="G2" s="24"/>
      <c r="H2" s="24"/>
    </row>
    <row r="3" spans="1:10" x14ac:dyDescent="0.25">
      <c r="A3" s="24"/>
      <c r="B3" s="24" t="s">
        <v>67</v>
      </c>
      <c r="C3" s="26"/>
      <c r="D3" s="24"/>
      <c r="E3" s="24"/>
      <c r="F3" s="24"/>
      <c r="G3" s="24"/>
      <c r="H3" s="24"/>
    </row>
    <row r="4" spans="1:10" x14ac:dyDescent="0.25">
      <c r="A4" s="24"/>
      <c r="B4" s="24" t="s">
        <v>68</v>
      </c>
      <c r="C4" s="27"/>
      <c r="D4" s="24"/>
      <c r="E4" s="24"/>
      <c r="F4" s="24"/>
      <c r="G4" s="24"/>
      <c r="H4" s="24"/>
    </row>
    <row r="5" spans="1:10" x14ac:dyDescent="0.25">
      <c r="A5" s="28" t="s">
        <v>69</v>
      </c>
      <c r="B5" s="28" t="s">
        <v>70</v>
      </c>
      <c r="C5" s="28" t="s">
        <v>71</v>
      </c>
      <c r="D5" s="295" t="s">
        <v>72</v>
      </c>
      <c r="E5" s="295"/>
      <c r="F5" s="295"/>
      <c r="G5" s="295"/>
      <c r="H5" s="28" t="s">
        <v>73</v>
      </c>
    </row>
    <row r="6" spans="1:10" ht="16.5" thickBot="1" x14ac:dyDescent="0.3">
      <c r="A6" s="29" t="s">
        <v>74</v>
      </c>
      <c r="B6" s="30"/>
      <c r="C6" s="30"/>
      <c r="D6" s="31"/>
      <c r="E6" s="31"/>
      <c r="F6" s="31"/>
      <c r="G6" s="31"/>
      <c r="H6" s="30"/>
    </row>
    <row r="7" spans="1:10" x14ac:dyDescent="0.25">
      <c r="A7" s="32" t="s">
        <v>75</v>
      </c>
      <c r="B7" s="35" t="str">
        <f>Calculator!C15&amp;"V VIN(nom)"</f>
        <v>12V VIN(nom)</v>
      </c>
      <c r="C7" s="33" t="s">
        <v>76</v>
      </c>
      <c r="D7" s="33" t="s">
        <v>77</v>
      </c>
      <c r="E7" s="33"/>
      <c r="F7" s="33"/>
      <c r="G7" s="33"/>
      <c r="H7" s="34">
        <v>1</v>
      </c>
    </row>
    <row r="8" spans="1:10" x14ac:dyDescent="0.25">
      <c r="A8" s="20" t="s">
        <v>220</v>
      </c>
      <c r="B8" s="149" t="str">
        <f>Calculator!C17&amp;"V"</f>
        <v>6.6V</v>
      </c>
      <c r="C8" s="36" t="s">
        <v>76</v>
      </c>
      <c r="D8" s="36" t="s">
        <v>78</v>
      </c>
      <c r="E8" s="36"/>
      <c r="F8" s="36"/>
      <c r="G8" s="36"/>
      <c r="H8" s="37">
        <v>1</v>
      </c>
    </row>
    <row r="9" spans="1:10" x14ac:dyDescent="0.25">
      <c r="A9" s="20"/>
      <c r="B9" s="35" t="e">
        <f>Calculator!#REF!&amp;"V"</f>
        <v>#REF!</v>
      </c>
      <c r="C9" s="36" t="s">
        <v>76</v>
      </c>
      <c r="D9" s="36"/>
      <c r="E9" s="36"/>
      <c r="F9" s="36"/>
      <c r="G9" s="36"/>
      <c r="H9" s="37"/>
    </row>
    <row r="10" spans="1:10" x14ac:dyDescent="0.25">
      <c r="A10" s="20" t="s">
        <v>222</v>
      </c>
      <c r="B10" s="35" t="str">
        <f>Calculator!C18&amp;"A"</f>
        <v>3A</v>
      </c>
      <c r="C10" s="53" t="s">
        <v>79</v>
      </c>
      <c r="D10" s="36"/>
      <c r="E10" s="36"/>
      <c r="F10" s="36"/>
      <c r="G10" s="36"/>
      <c r="H10" s="37"/>
    </row>
    <row r="11" spans="1:10" x14ac:dyDescent="0.25">
      <c r="A11" s="20"/>
      <c r="B11" s="35" t="e">
        <f>Calculator!#REF!&amp;"A"</f>
        <v>#REF!</v>
      </c>
      <c r="C11" s="36" t="s">
        <v>79</v>
      </c>
      <c r="D11" s="36" t="s">
        <v>80</v>
      </c>
      <c r="E11" s="36"/>
      <c r="F11" s="36"/>
      <c r="G11" s="36"/>
      <c r="H11" s="37">
        <v>1</v>
      </c>
    </row>
    <row r="12" spans="1:10" x14ac:dyDescent="0.25">
      <c r="A12" s="38" t="s">
        <v>81</v>
      </c>
      <c r="B12" s="35">
        <f>Calculator!C27</f>
        <v>440000</v>
      </c>
      <c r="C12" s="40" t="s">
        <v>82</v>
      </c>
      <c r="D12" s="36" t="s">
        <v>83</v>
      </c>
      <c r="E12" s="36"/>
      <c r="F12" s="36"/>
      <c r="G12" s="36"/>
      <c r="H12" s="37">
        <v>1</v>
      </c>
    </row>
    <row r="13" spans="1:10" x14ac:dyDescent="0.25">
      <c r="A13" s="38" t="s">
        <v>84</v>
      </c>
      <c r="B13" s="41">
        <v>1.2</v>
      </c>
      <c r="C13" s="36" t="s">
        <v>76</v>
      </c>
      <c r="D13" s="36" t="s">
        <v>85</v>
      </c>
      <c r="E13" s="36"/>
      <c r="F13" s="36"/>
      <c r="G13" s="36"/>
      <c r="H13" s="37"/>
    </row>
    <row r="14" spans="1:10" x14ac:dyDescent="0.25">
      <c r="A14" s="20" t="s">
        <v>86</v>
      </c>
      <c r="B14" s="42"/>
      <c r="C14" s="43" t="s">
        <v>63</v>
      </c>
      <c r="D14" s="36"/>
      <c r="E14" s="36"/>
      <c r="F14" s="36"/>
      <c r="G14" s="36"/>
      <c r="H14" s="37"/>
    </row>
    <row r="15" spans="1:10" x14ac:dyDescent="0.25">
      <c r="A15" s="20" t="s">
        <v>342</v>
      </c>
      <c r="B15" s="39" t="str">
        <f>Calculator!C30&amp;"µF"</f>
        <v>0.0082µF</v>
      </c>
      <c r="C15" s="36">
        <f>Calculator!C30</f>
        <v>8.2000000000000007E-3</v>
      </c>
      <c r="D15" s="36"/>
      <c r="E15" s="36"/>
      <c r="F15" s="36"/>
      <c r="G15" s="36"/>
      <c r="H15" s="37"/>
    </row>
    <row r="16" spans="1:10" ht="16.5" thickBot="1" x14ac:dyDescent="0.3">
      <c r="A16" s="45"/>
      <c r="B16" s="46"/>
      <c r="C16" s="47"/>
      <c r="D16" s="47"/>
      <c r="E16" s="47"/>
      <c r="F16" s="47"/>
      <c r="G16" s="47"/>
      <c r="H16" s="48"/>
    </row>
    <row r="17" spans="1:8" x14ac:dyDescent="0.25">
      <c r="A17" s="36"/>
      <c r="B17" s="36"/>
      <c r="C17" s="36"/>
      <c r="D17" s="36"/>
      <c r="E17" s="36"/>
      <c r="F17" s="36"/>
      <c r="G17" s="36"/>
      <c r="H17" s="36"/>
    </row>
    <row r="18" spans="1:8" x14ac:dyDescent="0.25">
      <c r="A18" s="36"/>
      <c r="B18" s="36"/>
      <c r="C18" s="36"/>
      <c r="D18" s="36"/>
      <c r="E18" s="36"/>
      <c r="F18" s="36"/>
      <c r="G18" s="36"/>
      <c r="H18" s="36"/>
    </row>
    <row r="19" spans="1:8" ht="16.5" thickBot="1" x14ac:dyDescent="0.3">
      <c r="A19" s="29" t="s">
        <v>87</v>
      </c>
      <c r="B19" s="36"/>
      <c r="C19" s="36"/>
      <c r="D19" s="36"/>
      <c r="E19" s="36"/>
      <c r="F19" s="36"/>
      <c r="G19" s="36"/>
      <c r="H19" s="36"/>
    </row>
    <row r="20" spans="1:8" x14ac:dyDescent="0.25">
      <c r="A20" s="49" t="s">
        <v>225</v>
      </c>
      <c r="B20" s="146">
        <f>Calculator!C19</f>
        <v>0.44</v>
      </c>
      <c r="C20" s="33" t="s">
        <v>88</v>
      </c>
      <c r="D20" s="33" t="s">
        <v>89</v>
      </c>
      <c r="E20" s="33"/>
      <c r="F20" s="33"/>
      <c r="G20" s="33"/>
      <c r="H20" s="34">
        <v>1</v>
      </c>
    </row>
    <row r="21" spans="1:8" x14ac:dyDescent="0.25">
      <c r="A21" s="50" t="s">
        <v>226</v>
      </c>
      <c r="B21" s="146">
        <f>Calculator!C20</f>
        <v>0.6</v>
      </c>
      <c r="C21" s="36" t="s">
        <v>88</v>
      </c>
      <c r="D21" s="36" t="s">
        <v>90</v>
      </c>
      <c r="E21" s="36"/>
      <c r="F21" s="36"/>
      <c r="G21" s="36"/>
      <c r="H21" s="37">
        <v>1</v>
      </c>
    </row>
    <row r="22" spans="1:8" x14ac:dyDescent="0.25">
      <c r="A22" s="50" t="s">
        <v>223</v>
      </c>
      <c r="B22" s="146" t="e">
        <f>Calculator!#REF!</f>
        <v>#REF!</v>
      </c>
      <c r="C22" s="36"/>
      <c r="D22" s="36"/>
      <c r="E22" s="36"/>
      <c r="F22" s="36"/>
      <c r="G22" s="36"/>
      <c r="H22" s="37"/>
    </row>
    <row r="23" spans="1:8" x14ac:dyDescent="0.25">
      <c r="A23" s="50" t="s">
        <v>224</v>
      </c>
      <c r="B23" s="146" t="e">
        <f>Calculator!#REF!</f>
        <v>#REF!</v>
      </c>
      <c r="C23" s="36"/>
      <c r="D23" s="36"/>
      <c r="E23" s="36"/>
      <c r="F23" s="36"/>
      <c r="G23" s="36"/>
      <c r="H23" s="37"/>
    </row>
    <row r="24" spans="1:8" x14ac:dyDescent="0.25">
      <c r="A24" s="50" t="s">
        <v>91</v>
      </c>
      <c r="B24" s="159" t="str">
        <f>Calculator!C32&amp;"µH"</f>
        <v>6.8µH</v>
      </c>
      <c r="C24" s="154">
        <f>Calculator!C31</f>
        <v>16.666666666666668</v>
      </c>
      <c r="D24" s="36" t="s">
        <v>92</v>
      </c>
      <c r="E24" s="36"/>
      <c r="F24" s="36"/>
      <c r="G24" s="36"/>
      <c r="H24" s="37">
        <v>1</v>
      </c>
    </row>
    <row r="25" spans="1:8" x14ac:dyDescent="0.25">
      <c r="A25" s="20"/>
      <c r="B25" s="147" t="e">
        <f>Calculator!#REF!&amp;"µH"</f>
        <v>#REF!</v>
      </c>
      <c r="C25" s="154" t="e">
        <f>Calculator!#REF!</f>
        <v>#REF!</v>
      </c>
      <c r="D25" s="40" t="s">
        <v>93</v>
      </c>
      <c r="E25" s="36"/>
      <c r="F25" s="36"/>
      <c r="G25" s="36"/>
      <c r="H25" s="37">
        <v>2</v>
      </c>
    </row>
    <row r="26" spans="1:8" x14ac:dyDescent="0.25">
      <c r="A26" s="20" t="s">
        <v>227</v>
      </c>
      <c r="B26" s="147" t="str">
        <f>Calculator!C33*1000&amp;"mΩ"</f>
        <v>11.3mΩ</v>
      </c>
      <c r="C26" s="165" t="str">
        <f>Calculator!C40*1000&amp;"mΩ"</f>
        <v>10mΩ</v>
      </c>
      <c r="D26" s="40" t="s">
        <v>94</v>
      </c>
      <c r="E26" s="36"/>
      <c r="F26" s="36"/>
      <c r="G26" s="36"/>
      <c r="H26" s="37">
        <v>1</v>
      </c>
    </row>
    <row r="27" spans="1:8" x14ac:dyDescent="0.25">
      <c r="A27" s="50"/>
      <c r="B27" s="147" t="e">
        <f>Calculator!#REF!*1000&amp;"mΩ"</f>
        <v>#REF!</v>
      </c>
      <c r="C27" s="166" t="e">
        <f>Calculator!#REF!*1000&amp;"mΩ"</f>
        <v>#REF!</v>
      </c>
      <c r="D27" s="36" t="s">
        <v>95</v>
      </c>
      <c r="E27" s="36"/>
      <c r="F27" s="36"/>
      <c r="G27" s="36"/>
      <c r="H27" s="37">
        <v>2</v>
      </c>
    </row>
    <row r="28" spans="1:8" x14ac:dyDescent="0.25">
      <c r="A28" s="50"/>
      <c r="B28" s="51"/>
      <c r="C28" s="36"/>
      <c r="D28" s="36"/>
      <c r="E28" s="36"/>
      <c r="F28" s="36"/>
      <c r="G28" s="36"/>
      <c r="H28" s="37">
        <v>2</v>
      </c>
    </row>
    <row r="29" spans="1:8" x14ac:dyDescent="0.25">
      <c r="A29" s="20"/>
      <c r="B29" s="44"/>
      <c r="C29" s="36"/>
      <c r="D29" s="36"/>
      <c r="E29" s="36"/>
      <c r="F29" s="36"/>
      <c r="G29" s="36"/>
      <c r="H29" s="37">
        <v>1</v>
      </c>
    </row>
    <row r="30" spans="1:8" x14ac:dyDescent="0.25">
      <c r="A30" s="52"/>
      <c r="B30" s="51"/>
      <c r="C30" s="36"/>
      <c r="D30" s="40"/>
      <c r="E30" s="36"/>
      <c r="F30" s="36"/>
      <c r="G30" s="36"/>
      <c r="H30" s="37">
        <v>1</v>
      </c>
    </row>
    <row r="31" spans="1:8" x14ac:dyDescent="0.25">
      <c r="A31" s="52"/>
      <c r="B31" s="51"/>
      <c r="C31" s="53"/>
      <c r="D31" s="36"/>
      <c r="E31" s="36"/>
      <c r="F31" s="36"/>
      <c r="G31" s="36"/>
      <c r="H31" s="37"/>
    </row>
    <row r="32" spans="1:8" ht="16.5" thickBot="1" x14ac:dyDescent="0.3">
      <c r="A32" s="54"/>
      <c r="B32" s="55"/>
      <c r="C32" s="47" t="s">
        <v>96</v>
      </c>
      <c r="D32" s="47"/>
      <c r="E32" s="47"/>
      <c r="F32" s="47"/>
      <c r="G32" s="47"/>
      <c r="H32" s="48"/>
    </row>
    <row r="33" spans="1:8" x14ac:dyDescent="0.25">
      <c r="A33" s="30"/>
      <c r="B33" s="56"/>
      <c r="C33" s="36"/>
      <c r="D33" s="36"/>
      <c r="E33" s="36"/>
      <c r="F33" s="36"/>
      <c r="G33" s="36"/>
      <c r="H33" s="36"/>
    </row>
    <row r="34" spans="1:8" ht="16.5" thickBot="1" x14ac:dyDescent="0.3">
      <c r="A34" s="29" t="s">
        <v>97</v>
      </c>
      <c r="B34" s="56"/>
      <c r="C34" s="36"/>
      <c r="D34" s="36"/>
      <c r="E34" s="36"/>
      <c r="F34" s="36"/>
      <c r="G34" s="36"/>
      <c r="H34" s="36"/>
    </row>
    <row r="35" spans="1:8" x14ac:dyDescent="0.25">
      <c r="A35" s="57" t="s">
        <v>98</v>
      </c>
      <c r="B35" s="58" t="str">
        <f>"n"</f>
        <v>n</v>
      </c>
      <c r="C35" s="33"/>
      <c r="D35" s="33"/>
      <c r="E35" s="33"/>
      <c r="F35" s="33"/>
      <c r="G35" s="33"/>
      <c r="H35" s="34"/>
    </row>
    <row r="36" spans="1:8" x14ac:dyDescent="0.25">
      <c r="A36" s="52"/>
      <c r="B36" s="59" t="s">
        <v>99</v>
      </c>
      <c r="C36" s="36"/>
      <c r="D36" s="36"/>
      <c r="E36" s="36"/>
      <c r="F36" s="36"/>
      <c r="G36" s="36"/>
      <c r="H36" s="37"/>
    </row>
    <row r="37" spans="1:8" x14ac:dyDescent="0.25">
      <c r="A37" s="52"/>
      <c r="B37" s="59" t="s">
        <v>100</v>
      </c>
      <c r="C37" s="36"/>
      <c r="D37" s="36"/>
      <c r="E37" s="36"/>
      <c r="F37" s="36"/>
      <c r="G37" s="36"/>
      <c r="H37" s="37"/>
    </row>
    <row r="38" spans="1:8" x14ac:dyDescent="0.25">
      <c r="A38" s="20" t="s">
        <v>101</v>
      </c>
      <c r="B38" s="147">
        <f>Calculator!C21</f>
        <v>7.4999999999999997E-2</v>
      </c>
      <c r="C38" s="36" t="s">
        <v>76</v>
      </c>
      <c r="D38" s="36" t="s">
        <v>102</v>
      </c>
      <c r="E38" s="36"/>
      <c r="F38" s="36"/>
      <c r="G38" s="36"/>
      <c r="H38" s="37"/>
    </row>
    <row r="39" spans="1:8" x14ac:dyDescent="0.25">
      <c r="A39" s="38"/>
      <c r="B39" s="60"/>
      <c r="C39" s="36"/>
      <c r="D39" s="36"/>
      <c r="E39" s="36"/>
      <c r="F39" s="36"/>
      <c r="G39" s="36"/>
      <c r="H39" s="37"/>
    </row>
    <row r="41" spans="1:8" ht="16.5" thickBot="1" x14ac:dyDescent="0.3">
      <c r="A41" s="29" t="s">
        <v>106</v>
      </c>
      <c r="B41" s="36"/>
      <c r="C41" s="36"/>
      <c r="D41" s="36"/>
      <c r="E41" s="36"/>
      <c r="F41" s="36"/>
      <c r="G41" s="36"/>
      <c r="H41" s="36"/>
    </row>
    <row r="42" spans="1:8" x14ac:dyDescent="0.25">
      <c r="A42" s="32" t="s">
        <v>107</v>
      </c>
      <c r="B42" s="63">
        <f>Iripple1/SQRT(3)/2</f>
        <v>0</v>
      </c>
      <c r="C42" s="33"/>
      <c r="D42" s="64" t="s">
        <v>108</v>
      </c>
      <c r="E42" s="33"/>
      <c r="F42" s="33"/>
      <c r="G42" s="33"/>
      <c r="H42" s="34"/>
    </row>
    <row r="43" spans="1:8" x14ac:dyDescent="0.25">
      <c r="A43" s="50" t="s">
        <v>109</v>
      </c>
      <c r="B43" s="51" t="e">
        <f>(Iripple1/(Vripple1*Fsw*8))</f>
        <v>#VALUE!</v>
      </c>
      <c r="C43" s="36" t="s">
        <v>104</v>
      </c>
      <c r="D43" s="36" t="s">
        <v>110</v>
      </c>
      <c r="E43" s="36"/>
      <c r="F43" s="36"/>
      <c r="G43" s="36"/>
      <c r="H43" s="37">
        <v>1</v>
      </c>
    </row>
    <row r="44" spans="1:8" ht="18.75" x14ac:dyDescent="0.35">
      <c r="A44" s="20" t="s">
        <v>228</v>
      </c>
      <c r="B44" s="147" t="str">
        <f>Calculator!C47&amp;"µF"</f>
        <v>82µF</v>
      </c>
      <c r="C44" s="152">
        <f>(Calculator!C47)</f>
        <v>82</v>
      </c>
      <c r="D44" s="36">
        <f>C44/82</f>
        <v>1</v>
      </c>
      <c r="E44" s="36">
        <v>82</v>
      </c>
      <c r="F44" s="36"/>
      <c r="G44" s="36"/>
      <c r="H44" s="37">
        <v>1</v>
      </c>
    </row>
    <row r="45" spans="1:8" x14ac:dyDescent="0.25">
      <c r="A45" s="20"/>
      <c r="B45" s="147" t="e">
        <f>Calculator!#REF!&amp;"µF"</f>
        <v>#REF!</v>
      </c>
      <c r="C45" s="152" t="e">
        <f>Calculator!#REF!</f>
        <v>#REF!</v>
      </c>
      <c r="D45" s="36" t="e">
        <f>C45/82</f>
        <v>#REF!</v>
      </c>
      <c r="E45" s="36">
        <v>82</v>
      </c>
      <c r="F45" s="36"/>
      <c r="G45" s="36"/>
      <c r="H45" s="37"/>
    </row>
    <row r="46" spans="1:8" ht="18.75" x14ac:dyDescent="0.35">
      <c r="A46" s="20" t="s">
        <v>229</v>
      </c>
      <c r="B46" s="147" t="str">
        <f>Calculator!C48&amp;"µF"</f>
        <v>47µF</v>
      </c>
      <c r="C46" s="36">
        <f>Calculator!C48</f>
        <v>47</v>
      </c>
      <c r="D46" s="36">
        <f>C46/47</f>
        <v>1</v>
      </c>
      <c r="E46" s="36">
        <v>47</v>
      </c>
      <c r="F46" s="36"/>
      <c r="G46" s="36"/>
      <c r="H46" s="37"/>
    </row>
    <row r="47" spans="1:8" ht="18.75" x14ac:dyDescent="0.35">
      <c r="A47" s="20" t="s">
        <v>230</v>
      </c>
      <c r="B47" s="147" t="e">
        <f>Calculator!#REF!&amp;"µF"</f>
        <v>#REF!</v>
      </c>
      <c r="C47" s="36" t="e">
        <f>Calculator!#REF!</f>
        <v>#REF!</v>
      </c>
      <c r="D47" s="36" t="e">
        <f>C47/47</f>
        <v>#REF!</v>
      </c>
      <c r="E47" s="36">
        <v>47</v>
      </c>
      <c r="F47" s="36"/>
      <c r="G47" s="36"/>
      <c r="H47" s="37"/>
    </row>
    <row r="48" spans="1:8" x14ac:dyDescent="0.25">
      <c r="A48" s="20" t="s">
        <v>231</v>
      </c>
      <c r="B48" s="147">
        <f>Calculator!C49</f>
        <v>0.03</v>
      </c>
      <c r="C48" s="43"/>
      <c r="D48" s="36"/>
      <c r="E48" s="36"/>
      <c r="F48" s="36"/>
      <c r="G48" s="36"/>
      <c r="H48" s="37"/>
    </row>
    <row r="49" spans="1:11" x14ac:dyDescent="0.25">
      <c r="A49" s="38"/>
      <c r="B49" s="147" t="e">
        <f>Calculator!#REF!</f>
        <v>#REF!</v>
      </c>
      <c r="C49" s="43"/>
      <c r="D49" s="40" t="s">
        <v>111</v>
      </c>
      <c r="E49" s="36"/>
      <c r="F49" s="36"/>
      <c r="G49" s="36"/>
      <c r="H49" s="37">
        <v>1</v>
      </c>
    </row>
    <row r="50" spans="1:11" x14ac:dyDescent="0.25">
      <c r="A50" s="20" t="s">
        <v>232</v>
      </c>
      <c r="B50" s="147">
        <f>Calculator!C51</f>
        <v>3.7058823529411776E-2</v>
      </c>
      <c r="C50" s="43"/>
      <c r="D50" s="40" t="s">
        <v>112</v>
      </c>
      <c r="E50" s="36"/>
      <c r="F50" s="36"/>
      <c r="G50" s="36"/>
      <c r="H50" s="37">
        <v>1</v>
      </c>
    </row>
    <row r="51" spans="1:11" ht="16.5" thickBot="1" x14ac:dyDescent="0.3">
      <c r="A51" s="148"/>
      <c r="B51" s="147" t="e">
        <f>Calculator!#REF!</f>
        <v>#REF!</v>
      </c>
      <c r="C51" s="62"/>
      <c r="D51" s="47"/>
      <c r="E51" s="47"/>
      <c r="F51" s="47"/>
      <c r="G51" s="47"/>
      <c r="H51" s="48"/>
    </row>
    <row r="53" spans="1:11" ht="16.5" thickBot="1" x14ac:dyDescent="0.3">
      <c r="A53" s="36"/>
      <c r="B53" s="36"/>
      <c r="C53" s="36"/>
      <c r="D53" s="36"/>
      <c r="E53" s="36"/>
      <c r="F53" s="36"/>
      <c r="G53" s="36"/>
      <c r="H53" s="36"/>
    </row>
    <row r="54" spans="1:11" x14ac:dyDescent="0.25">
      <c r="A54" s="66" t="s">
        <v>114</v>
      </c>
      <c r="B54" s="67"/>
      <c r="C54" s="67"/>
      <c r="D54" s="67"/>
      <c r="E54" s="67"/>
      <c r="F54" s="67"/>
      <c r="G54" s="67"/>
      <c r="H54" s="68"/>
    </row>
    <row r="55" spans="1:11" x14ac:dyDescent="0.25">
      <c r="A55" s="69" t="s">
        <v>115</v>
      </c>
      <c r="B55" s="70">
        <v>0.3</v>
      </c>
      <c r="C55" s="71" t="s">
        <v>113</v>
      </c>
      <c r="D55" s="36"/>
      <c r="E55" s="36"/>
      <c r="F55" s="36"/>
      <c r="G55" s="36"/>
      <c r="H55" s="72"/>
    </row>
    <row r="56" spans="1:11" x14ac:dyDescent="0.25">
      <c r="A56" s="73" t="s">
        <v>116</v>
      </c>
      <c r="B56" s="74" t="e">
        <f>IOUT*SQRT(_Don2*Doff2)</f>
        <v>#REF!</v>
      </c>
      <c r="C56" s="75" t="s">
        <v>79</v>
      </c>
      <c r="D56" s="36"/>
      <c r="E56" s="36"/>
      <c r="F56" s="36"/>
      <c r="G56" s="36"/>
      <c r="H56" s="72"/>
    </row>
    <row r="57" spans="1:11" x14ac:dyDescent="0.25">
      <c r="A57" s="73" t="s">
        <v>117</v>
      </c>
      <c r="B57" s="76" t="e">
        <f>IOUT*_Don2*(1-_Don2)/(Vinripple1*Fsw)</f>
        <v>#REF!</v>
      </c>
      <c r="C57" s="75" t="s">
        <v>104</v>
      </c>
      <c r="D57" s="36"/>
      <c r="E57" s="36"/>
      <c r="F57" s="36"/>
      <c r="G57" s="36"/>
      <c r="H57" s="72"/>
      <c r="K57" s="18"/>
    </row>
    <row r="58" spans="1:11" x14ac:dyDescent="0.25">
      <c r="A58" s="73" t="s">
        <v>118</v>
      </c>
      <c r="B58" s="146" t="str">
        <f>Calculator!C55&amp;"µF"</f>
        <v>82µF</v>
      </c>
      <c r="C58" s="154">
        <v>2.2000000000000002</v>
      </c>
      <c r="D58" s="156">
        <f>Calculator!C55/2.2</f>
        <v>37.272727272727266</v>
      </c>
      <c r="E58" s="36"/>
      <c r="F58" s="36"/>
      <c r="G58" s="36"/>
      <c r="H58" s="72"/>
    </row>
    <row r="59" spans="1:11" x14ac:dyDescent="0.25">
      <c r="A59" s="78" t="s">
        <v>233</v>
      </c>
      <c r="B59" s="147">
        <f>Calculator!C56</f>
        <v>4.573170731707317E-2</v>
      </c>
      <c r="C59" s="43" t="s">
        <v>113</v>
      </c>
      <c r="D59" s="36"/>
      <c r="E59" s="36"/>
      <c r="F59" s="36"/>
      <c r="G59" s="36"/>
      <c r="H59" s="72"/>
    </row>
    <row r="60" spans="1:11" x14ac:dyDescent="0.25">
      <c r="A60" s="73" t="s">
        <v>119</v>
      </c>
      <c r="B60" s="77">
        <v>1E-3</v>
      </c>
      <c r="C60" s="43" t="s">
        <v>63</v>
      </c>
      <c r="D60" s="40" t="s">
        <v>120</v>
      </c>
      <c r="E60" s="36"/>
      <c r="F60" s="36"/>
      <c r="G60" s="36"/>
      <c r="H60" s="72"/>
    </row>
    <row r="61" spans="1:11" x14ac:dyDescent="0.25">
      <c r="A61" s="73" t="s">
        <v>121</v>
      </c>
      <c r="B61" s="79" t="e">
        <f>IOUT*_Don2*(1-_Don2)/(Cin*Fsw)+(IOUT +Iripple1/2)*RCinEsr</f>
        <v>#REF!</v>
      </c>
      <c r="C61" s="75" t="s">
        <v>113</v>
      </c>
      <c r="D61" s="36"/>
      <c r="E61" s="36"/>
      <c r="F61" s="36"/>
      <c r="G61" s="36"/>
      <c r="H61" s="72"/>
    </row>
    <row r="62" spans="1:11" ht="16.5" thickBot="1" x14ac:dyDescent="0.3">
      <c r="A62" s="80"/>
      <c r="B62" s="81" t="e">
        <f>IOUT*_Don1*(1-_Don1)/(Cin*Fsw)</f>
        <v>#VALUE!</v>
      </c>
      <c r="C62" s="82"/>
      <c r="D62" s="83"/>
      <c r="E62" s="83"/>
      <c r="F62" s="83"/>
      <c r="G62" s="83"/>
      <c r="H62" s="84"/>
    </row>
    <row r="63" spans="1:11" x14ac:dyDescent="0.25">
      <c r="A63" s="36"/>
      <c r="B63" s="36"/>
      <c r="C63" s="36"/>
      <c r="D63" s="36"/>
      <c r="E63" s="36"/>
      <c r="F63" s="36"/>
      <c r="G63" s="36"/>
      <c r="H63" s="36"/>
    </row>
    <row r="64" spans="1:11" ht="16.5" thickBot="1" x14ac:dyDescent="0.3">
      <c r="A64" s="29" t="s">
        <v>122</v>
      </c>
      <c r="B64" s="36"/>
      <c r="C64" s="36"/>
      <c r="D64" s="36"/>
      <c r="E64" s="36"/>
      <c r="F64" s="36"/>
      <c r="G64" s="36"/>
      <c r="H64" s="36"/>
    </row>
    <row r="65" spans="1:8" x14ac:dyDescent="0.25">
      <c r="A65" s="32" t="s">
        <v>234</v>
      </c>
      <c r="B65" s="147">
        <f>Calculator!C71*10-3</f>
        <v>27</v>
      </c>
      <c r="C65" s="33" t="s">
        <v>96</v>
      </c>
      <c r="D65" s="33" t="s">
        <v>123</v>
      </c>
      <c r="E65" s="33"/>
      <c r="F65" s="33"/>
      <c r="G65" s="33"/>
      <c r="H65" s="34"/>
    </row>
    <row r="66" spans="1:8" x14ac:dyDescent="0.25">
      <c r="A66" s="20" t="s">
        <v>235</v>
      </c>
      <c r="B66" s="147" t="e">
        <f>Calculator!#REF!*10-3</f>
        <v>#REF!</v>
      </c>
      <c r="C66" s="36" t="s">
        <v>96</v>
      </c>
      <c r="D66" s="40" t="s">
        <v>124</v>
      </c>
      <c r="E66" s="36"/>
      <c r="F66" s="36"/>
      <c r="G66" s="36"/>
      <c r="H66" s="37"/>
    </row>
    <row r="67" spans="1:8" x14ac:dyDescent="0.25">
      <c r="A67" s="20" t="s">
        <v>125</v>
      </c>
      <c r="B67" s="39" t="str">
        <f>Calculator!C73&amp;"µF"</f>
        <v>0.068µF</v>
      </c>
      <c r="C67" s="36">
        <f>Calculator!C73</f>
        <v>6.8000000000000005E-2</v>
      </c>
      <c r="D67" s="36"/>
      <c r="E67" s="36"/>
      <c r="F67" s="36"/>
      <c r="G67" s="36"/>
      <c r="H67" s="37"/>
    </row>
    <row r="68" spans="1:8" ht="16.5" thickBot="1" x14ac:dyDescent="0.3">
      <c r="A68" s="45" t="s">
        <v>311</v>
      </c>
      <c r="B68" s="39" t="str">
        <f>Calculator!C86&amp;"µF"</f>
        <v>0.1µF</v>
      </c>
      <c r="C68" s="47" t="e">
        <f>Calculator!#REF!</f>
        <v>#REF!</v>
      </c>
      <c r="D68" s="47"/>
      <c r="E68" s="47"/>
      <c r="F68" s="47"/>
      <c r="G68" s="47"/>
      <c r="H68" s="48"/>
    </row>
    <row r="70" spans="1:8" ht="16.5" thickBot="1" x14ac:dyDescent="0.3">
      <c r="A70" s="29" t="s">
        <v>126</v>
      </c>
      <c r="B70" s="36"/>
      <c r="C70" s="36"/>
      <c r="D70" s="36"/>
      <c r="E70" s="36"/>
      <c r="F70" s="36"/>
      <c r="G70" s="36"/>
      <c r="H70" s="36"/>
    </row>
    <row r="71" spans="1:8" x14ac:dyDescent="0.25">
      <c r="A71" s="85"/>
      <c r="B71" s="86"/>
      <c r="C71" s="64"/>
      <c r="D71" s="33"/>
      <c r="E71" s="33"/>
      <c r="F71" s="33"/>
      <c r="G71" s="33"/>
      <c r="H71" s="34"/>
    </row>
    <row r="72" spans="1:8" x14ac:dyDescent="0.25">
      <c r="A72" s="38" t="s">
        <v>236</v>
      </c>
      <c r="B72" s="146" t="str">
        <f>Calculator!C67/1000&amp;"kΩ"</f>
        <v>6.6kΩ</v>
      </c>
      <c r="C72" s="146">
        <f>Calculator!C67/1000</f>
        <v>6.6</v>
      </c>
      <c r="D72" s="36"/>
      <c r="E72" s="36"/>
      <c r="F72" s="36"/>
      <c r="G72" s="36"/>
      <c r="H72" s="37"/>
    </row>
    <row r="73" spans="1:8" x14ac:dyDescent="0.25">
      <c r="A73" s="38" t="s">
        <v>237</v>
      </c>
      <c r="B73" s="146" t="e">
        <f>Calculator!#REF!/1000&amp;"kΩ"</f>
        <v>#REF!</v>
      </c>
      <c r="C73" s="146" t="e">
        <f>Calculator!#REF!/1000</f>
        <v>#REF!</v>
      </c>
      <c r="D73" s="36"/>
      <c r="E73" s="36"/>
      <c r="F73" s="36"/>
      <c r="G73" s="36"/>
      <c r="H73" s="37"/>
    </row>
    <row r="74" spans="1:8" x14ac:dyDescent="0.25">
      <c r="A74" s="38" t="s">
        <v>238</v>
      </c>
      <c r="B74" s="146" t="str">
        <f>Calculator!C69*0.001&amp;"µF"</f>
        <v>0.01µF</v>
      </c>
      <c r="C74" s="168">
        <f>Calculator!C69</f>
        <v>10</v>
      </c>
      <c r="D74" s="36">
        <v>78.7</v>
      </c>
      <c r="E74" s="88" t="s">
        <v>127</v>
      </c>
      <c r="F74" s="87">
        <f>IF(Ruvlo1&lt;0,"N/A",D74)</f>
        <v>78.7</v>
      </c>
      <c r="G74" s="87" t="str">
        <f>IF(Ruvlo1&lt;0,"N/A",D74&amp;"kΩ")</f>
        <v>78.7kΩ</v>
      </c>
      <c r="H74" s="37"/>
    </row>
    <row r="75" spans="1:8" x14ac:dyDescent="0.25">
      <c r="A75" s="38" t="s">
        <v>239</v>
      </c>
      <c r="B75" s="146" t="e">
        <f>Calculator!#REF!*0.001&amp;"µF"</f>
        <v>#REF!</v>
      </c>
      <c r="C75" s="151" t="e">
        <f>Calculator!#REF!</f>
        <v>#REF!</v>
      </c>
      <c r="D75" s="36">
        <v>11.3</v>
      </c>
      <c r="E75" s="88" t="s">
        <v>127</v>
      </c>
      <c r="F75" s="87">
        <f>IF(F74="N/A","N/A",D75)</f>
        <v>11.3</v>
      </c>
      <c r="G75" s="87" t="str">
        <f>IF(G74="N/A","N/A",D75&amp;"kΩ")</f>
        <v>11.3kΩ</v>
      </c>
      <c r="H75" s="37"/>
    </row>
    <row r="76" spans="1:8" x14ac:dyDescent="0.25">
      <c r="A76" s="38" t="s">
        <v>240</v>
      </c>
      <c r="B76" s="146" t="str">
        <f>Calculator!C92&amp;"µF"</f>
        <v>0.1µF</v>
      </c>
      <c r="C76" s="151">
        <f>Calculator!C92</f>
        <v>0.1</v>
      </c>
      <c r="D76" s="36"/>
      <c r="E76" s="88"/>
      <c r="F76" s="36"/>
      <c r="G76" s="36"/>
      <c r="H76" s="37"/>
    </row>
    <row r="77" spans="1:8" x14ac:dyDescent="0.25">
      <c r="A77" s="38"/>
      <c r="B77" s="89">
        <f>(D74+D75)/D75*Vuvlo_on-Iuvlo1*D74</f>
        <v>430088.4955752212</v>
      </c>
      <c r="C77" s="88"/>
      <c r="D77" s="36"/>
      <c r="E77" s="88"/>
      <c r="F77" s="36"/>
      <c r="G77" s="36"/>
      <c r="H77" s="37"/>
    </row>
    <row r="78" spans="1:8" x14ac:dyDescent="0.25">
      <c r="A78" s="38"/>
      <c r="B78" s="89" t="e">
        <f>(D74+D75)/D75*Vuvlo_off-Iuvlo2*D74</f>
        <v>#REF!</v>
      </c>
      <c r="C78" s="88"/>
      <c r="D78" s="36"/>
      <c r="E78" s="88"/>
      <c r="F78" s="36"/>
      <c r="G78" s="36"/>
      <c r="H78" s="37"/>
    </row>
    <row r="79" spans="1:8" x14ac:dyDescent="0.25">
      <c r="A79" s="38" t="s">
        <v>258</v>
      </c>
      <c r="B79" s="87">
        <f>Calculator!C61</f>
        <v>12000</v>
      </c>
      <c r="C79" s="88">
        <f>B79/1000</f>
        <v>12</v>
      </c>
      <c r="D79" s="36"/>
      <c r="E79" s="88"/>
      <c r="F79" s="36"/>
      <c r="G79" s="36"/>
      <c r="H79" s="37"/>
    </row>
    <row r="80" spans="1:8" x14ac:dyDescent="0.25">
      <c r="A80" s="38" t="s">
        <v>259</v>
      </c>
      <c r="B80" s="89">
        <f>(Calculator!C62)</f>
        <v>54000</v>
      </c>
      <c r="C80" s="169">
        <f>D80/1000</f>
        <v>54</v>
      </c>
      <c r="D80" s="152">
        <f>ROUND(B80,-1)</f>
        <v>54000</v>
      </c>
      <c r="E80" s="36"/>
      <c r="F80" s="36"/>
      <c r="G80" s="36"/>
      <c r="H80" s="37"/>
    </row>
    <row r="81" spans="1:8" x14ac:dyDescent="0.25">
      <c r="A81" s="38" t="s">
        <v>260</v>
      </c>
      <c r="B81" s="158" t="e">
        <f>Calculator!#REF!</f>
        <v>#REF!</v>
      </c>
      <c r="C81" s="36" t="e">
        <f t="shared" ref="C81" si="0">B81/1000</f>
        <v>#REF!</v>
      </c>
      <c r="D81" s="36"/>
      <c r="E81" s="36"/>
      <c r="F81" s="36"/>
      <c r="G81" s="36"/>
      <c r="H81" s="37"/>
    </row>
    <row r="82" spans="1:8" x14ac:dyDescent="0.25">
      <c r="A82" s="38" t="s">
        <v>261</v>
      </c>
      <c r="B82" s="158" t="e">
        <f>Calculator!#REF!</f>
        <v>#REF!</v>
      </c>
      <c r="C82" s="169" t="e">
        <f>D82/1000</f>
        <v>#REF!</v>
      </c>
      <c r="D82" s="152" t="e">
        <f>ROUND(B82,-1)</f>
        <v>#REF!</v>
      </c>
      <c r="E82" s="36"/>
      <c r="F82" s="36"/>
      <c r="G82" s="36"/>
      <c r="H82" s="37"/>
    </row>
    <row r="83" spans="1:8" x14ac:dyDescent="0.25">
      <c r="A83" s="38"/>
      <c r="B83" s="87"/>
      <c r="C83" s="36"/>
      <c r="D83" s="36"/>
      <c r="E83" s="36"/>
      <c r="F83" s="36"/>
      <c r="G83" s="36"/>
      <c r="H83" s="37"/>
    </row>
    <row r="84" spans="1:8" x14ac:dyDescent="0.25">
      <c r="A84" s="161">
        <f>(Calculator!C17/Calculator!C15)*Calculator!C18^2*Calculator!C78</f>
        <v>0.18314999999999995</v>
      </c>
      <c r="B84" s="171">
        <f>A84</f>
        <v>0.18314999999999995</v>
      </c>
      <c r="C84" s="161" t="e">
        <f>(Calculator!#REF!/Calculator!C15)*Calculator!#REF!^2*Calculator!#REF!</f>
        <v>#REF!</v>
      </c>
      <c r="D84" s="171" t="e">
        <f>C84</f>
        <v>#REF!</v>
      </c>
      <c r="E84" s="36"/>
      <c r="F84" s="36"/>
      <c r="G84" s="36"/>
      <c r="H84" s="37"/>
    </row>
    <row r="85" spans="1:8" x14ac:dyDescent="0.25">
      <c r="A85" s="160">
        <f>(1-(Calculator!C17/Calculator!C15))*Calculator!C18^2*Calculator!C78</f>
        <v>0.14985000000000001</v>
      </c>
      <c r="B85" s="172">
        <f>A85</f>
        <v>0.14985000000000001</v>
      </c>
      <c r="C85" s="160" t="e">
        <f>(1-(Calculator!#REF!/Calculator!C15))*Calculator!#REF!^2*Calculator!#REF!</f>
        <v>#REF!</v>
      </c>
      <c r="D85" s="172" t="e">
        <f>C85</f>
        <v>#REF!</v>
      </c>
      <c r="E85" s="36"/>
      <c r="F85" s="36"/>
      <c r="G85" s="36"/>
      <c r="H85" s="37"/>
    </row>
    <row r="86" spans="1:8" x14ac:dyDescent="0.25">
      <c r="A86" s="89">
        <f>0.5*Calculator!C15*Calculator!C18*Calculator!C27*Calculator!C75*0.000000001</f>
        <v>0.19800000000000001</v>
      </c>
      <c r="B86" s="18">
        <f>A86</f>
        <v>0.19800000000000001</v>
      </c>
      <c r="C86" s="89" t="e">
        <f>0.5*Calculator!C15*Calculator!#REF!*Calculator!C27*Calculator!#REF!*0.000000001</f>
        <v>#REF!</v>
      </c>
      <c r="D86" s="18" t="e">
        <f>C86</f>
        <v>#REF!</v>
      </c>
      <c r="E86" s="36"/>
      <c r="F86" s="36"/>
      <c r="G86" s="36"/>
      <c r="H86" s="37"/>
    </row>
    <row r="87" spans="1:8" x14ac:dyDescent="0.25">
      <c r="A87" s="89">
        <f>Calculator!C80*Calculator!C79*Calculator!C18*Calculator!C27*0.000000001</f>
        <v>4.752E-2</v>
      </c>
      <c r="B87" s="18">
        <f>A87</f>
        <v>4.752E-2</v>
      </c>
      <c r="C87" s="89" t="e">
        <f>Calculator!#REF!*Calculator!#REF!*Calculator!#REF!*Calculator!C27*0.000000001</f>
        <v>#REF!</v>
      </c>
      <c r="D87" s="18" t="e">
        <f>C87</f>
        <v>#REF!</v>
      </c>
      <c r="E87" s="36"/>
      <c r="F87" s="36"/>
      <c r="G87" s="36"/>
      <c r="H87" s="37"/>
    </row>
    <row r="88" spans="1:8" x14ac:dyDescent="0.25">
      <c r="A88" s="162">
        <f>A84+A85+A86+A87</f>
        <v>0.57851999999999992</v>
      </c>
      <c r="B88" s="171">
        <f>A88</f>
        <v>0.57851999999999992</v>
      </c>
      <c r="C88" s="43"/>
      <c r="D88" s="36"/>
      <c r="E88" s="36"/>
      <c r="F88" s="36"/>
      <c r="G88" s="36"/>
      <c r="H88" s="37"/>
    </row>
    <row r="89" spans="1:8" x14ac:dyDescent="0.25">
      <c r="A89" s="20"/>
      <c r="B89" s="87"/>
      <c r="C89" s="43"/>
      <c r="D89" s="36"/>
      <c r="E89" s="36"/>
      <c r="F89" s="36"/>
      <c r="G89" s="36"/>
      <c r="H89" s="37"/>
    </row>
    <row r="90" spans="1:8" x14ac:dyDescent="0.25">
      <c r="A90" s="20"/>
      <c r="B90" s="87"/>
      <c r="C90" s="43"/>
      <c r="D90" s="36"/>
      <c r="E90" s="36"/>
      <c r="F90" s="36"/>
      <c r="G90" s="36"/>
      <c r="H90" s="37"/>
    </row>
    <row r="91" spans="1:8" x14ac:dyDescent="0.25">
      <c r="A91" s="20"/>
      <c r="B91" s="87"/>
      <c r="C91" s="36"/>
      <c r="D91" s="36"/>
      <c r="E91" s="36"/>
      <c r="F91" s="36"/>
      <c r="G91" s="36"/>
      <c r="H91" s="37"/>
    </row>
    <row r="92" spans="1:8" x14ac:dyDescent="0.25">
      <c r="A92" s="20"/>
      <c r="B92" s="87"/>
      <c r="C92" s="36"/>
      <c r="D92" s="36"/>
      <c r="E92" s="36"/>
      <c r="F92" s="36"/>
      <c r="G92" s="36"/>
      <c r="H92" s="37"/>
    </row>
    <row r="93" spans="1:8" x14ac:dyDescent="0.25">
      <c r="A93" s="20"/>
      <c r="B93" s="87"/>
      <c r="C93" s="40"/>
      <c r="D93" s="36"/>
      <c r="E93" s="36"/>
      <c r="F93" s="36"/>
      <c r="G93" s="36"/>
      <c r="H93" s="37"/>
    </row>
    <row r="94" spans="1:8" x14ac:dyDescent="0.25">
      <c r="A94" s="20"/>
      <c r="B94" s="87"/>
      <c r="C94" s="36"/>
      <c r="D94" s="36"/>
      <c r="E94" s="36"/>
      <c r="F94" s="36"/>
      <c r="G94" s="36"/>
      <c r="H94" s="37"/>
    </row>
    <row r="95" spans="1:8" ht="16.5" thickBot="1" x14ac:dyDescent="0.3">
      <c r="A95" s="45"/>
      <c r="B95" s="90"/>
      <c r="C95" s="47"/>
      <c r="D95" s="47"/>
      <c r="E95" s="47"/>
      <c r="F95" s="47"/>
      <c r="G95" s="47"/>
      <c r="H95" s="48"/>
    </row>
    <row r="96" spans="1:8" x14ac:dyDescent="0.25">
      <c r="B96" s="91"/>
    </row>
    <row r="97" spans="1:8" ht="16.5" thickBot="1" x14ac:dyDescent="0.3">
      <c r="A97" s="29" t="s">
        <v>129</v>
      </c>
      <c r="B97" s="36"/>
      <c r="C97" s="36"/>
      <c r="D97" s="36"/>
      <c r="E97" s="36"/>
      <c r="F97" s="36"/>
      <c r="G97" s="36"/>
      <c r="H97" s="36"/>
    </row>
    <row r="98" spans="1:8" x14ac:dyDescent="0.25">
      <c r="A98" s="32" t="s">
        <v>130</v>
      </c>
      <c r="B98" s="92">
        <v>3162</v>
      </c>
      <c r="C98" s="33" t="s">
        <v>131</v>
      </c>
      <c r="D98" s="64" t="s">
        <v>132</v>
      </c>
      <c r="E98" s="33"/>
      <c r="F98" s="33"/>
      <c r="G98" s="33"/>
      <c r="H98" s="34"/>
    </row>
    <row r="99" spans="1:8" x14ac:dyDescent="0.25">
      <c r="A99" s="20" t="s">
        <v>133</v>
      </c>
      <c r="B99" s="41">
        <v>6000000</v>
      </c>
      <c r="C99" s="36" t="s">
        <v>82</v>
      </c>
      <c r="D99" s="40" t="s">
        <v>134</v>
      </c>
      <c r="E99" s="36"/>
      <c r="F99" s="36"/>
      <c r="G99" s="36"/>
      <c r="H99" s="37"/>
    </row>
    <row r="100" spans="1:8" x14ac:dyDescent="0.25">
      <c r="A100" s="38" t="s">
        <v>135</v>
      </c>
      <c r="B100" s="93">
        <v>45000</v>
      </c>
      <c r="C100" s="40" t="s">
        <v>82</v>
      </c>
      <c r="D100" s="36"/>
      <c r="E100" s="36"/>
      <c r="F100" s="36"/>
      <c r="G100" s="36"/>
      <c r="H100" s="37"/>
    </row>
    <row r="101" spans="1:8" x14ac:dyDescent="0.25">
      <c r="A101" s="20" t="s">
        <v>136</v>
      </c>
      <c r="B101" s="94" t="e">
        <f>Fcross/Fo/9</f>
        <v>#VALUE!</v>
      </c>
      <c r="C101" s="36" t="s">
        <v>131</v>
      </c>
      <c r="D101" s="40" t="s">
        <v>137</v>
      </c>
      <c r="E101" s="36"/>
      <c r="F101" s="36"/>
      <c r="G101" s="36"/>
      <c r="H101" s="37">
        <v>1</v>
      </c>
    </row>
    <row r="102" spans="1:8" x14ac:dyDescent="0.25">
      <c r="A102" s="20" t="s">
        <v>138</v>
      </c>
      <c r="B102" s="70">
        <v>10000</v>
      </c>
      <c r="C102" s="43" t="s">
        <v>63</v>
      </c>
      <c r="D102" s="36" t="s">
        <v>139</v>
      </c>
      <c r="E102" s="36"/>
      <c r="F102" s="36"/>
      <c r="G102" s="36"/>
      <c r="H102" s="37">
        <v>1</v>
      </c>
    </row>
    <row r="103" spans="1:8" x14ac:dyDescent="0.25">
      <c r="A103" s="52" t="s">
        <v>140</v>
      </c>
      <c r="B103" s="51">
        <f>IF(Vout=Vref,100000000,Vref/((Vout-Vref)/_RFB1))</f>
        <v>0.57391304347826078</v>
      </c>
      <c r="C103" s="43" t="s">
        <v>63</v>
      </c>
      <c r="D103" s="40" t="s">
        <v>141</v>
      </c>
      <c r="E103" s="36"/>
      <c r="F103" s="36"/>
      <c r="G103" s="36"/>
      <c r="H103" s="37"/>
    </row>
    <row r="104" spans="1:8" x14ac:dyDescent="0.25">
      <c r="A104" s="20" t="s">
        <v>142</v>
      </c>
      <c r="B104" s="42">
        <v>10000</v>
      </c>
      <c r="C104" s="43" t="s">
        <v>63</v>
      </c>
      <c r="D104" s="40" t="s">
        <v>143</v>
      </c>
      <c r="E104" s="36"/>
      <c r="F104" s="36"/>
      <c r="G104" s="36"/>
      <c r="H104" s="37"/>
    </row>
    <row r="105" spans="1:8" x14ac:dyDescent="0.25">
      <c r="A105" s="50" t="s">
        <v>144</v>
      </c>
      <c r="B105" s="51" t="e">
        <f>Vin/9</f>
        <v>#VALUE!</v>
      </c>
      <c r="C105" s="36" t="s">
        <v>113</v>
      </c>
      <c r="D105" s="40" t="s">
        <v>145</v>
      </c>
      <c r="E105" s="36"/>
      <c r="F105" s="36"/>
      <c r="G105" s="36"/>
      <c r="H105" s="37"/>
    </row>
    <row r="106" spans="1:8" x14ac:dyDescent="0.25">
      <c r="A106" s="50" t="s">
        <v>146</v>
      </c>
      <c r="B106" s="95" t="e">
        <f>Kmidband*_RFB1</f>
        <v>#VALUE!</v>
      </c>
      <c r="C106" s="43" t="s">
        <v>63</v>
      </c>
      <c r="D106" s="40" t="s">
        <v>147</v>
      </c>
      <c r="E106" s="36"/>
      <c r="F106" s="36"/>
      <c r="G106" s="36"/>
      <c r="H106" s="37">
        <v>1</v>
      </c>
    </row>
    <row r="107" spans="1:8" x14ac:dyDescent="0.25">
      <c r="A107" s="50" t="s">
        <v>148</v>
      </c>
      <c r="B107" s="96" t="e">
        <v>#VALUE!</v>
      </c>
      <c r="C107" s="36" t="s">
        <v>104</v>
      </c>
      <c r="D107" s="36" t="s">
        <v>149</v>
      </c>
      <c r="E107" s="36"/>
      <c r="F107" s="36"/>
      <c r="G107" s="36"/>
      <c r="H107" s="37">
        <v>1</v>
      </c>
    </row>
    <row r="108" spans="1:8" x14ac:dyDescent="0.25">
      <c r="A108" s="50" t="s">
        <v>150</v>
      </c>
      <c r="B108" s="96" t="e">
        <v>#VALUE!</v>
      </c>
      <c r="C108" s="36" t="s">
        <v>104</v>
      </c>
      <c r="D108" s="36"/>
      <c r="E108" s="36"/>
      <c r="F108" s="36"/>
      <c r="G108" s="36"/>
      <c r="H108" s="37">
        <v>1</v>
      </c>
    </row>
    <row r="109" spans="1:8" x14ac:dyDescent="0.25">
      <c r="A109" s="50" t="s">
        <v>151</v>
      </c>
      <c r="B109" s="97">
        <v>2.8568514013261381E-2</v>
      </c>
      <c r="C109" s="43" t="s">
        <v>63</v>
      </c>
      <c r="D109" s="36"/>
      <c r="E109" s="36"/>
      <c r="F109" s="36"/>
      <c r="G109" s="36"/>
      <c r="H109" s="37">
        <v>1</v>
      </c>
    </row>
    <row r="110" spans="1:8" x14ac:dyDescent="0.25">
      <c r="A110" s="50" t="s">
        <v>152</v>
      </c>
      <c r="B110" s="98">
        <v>3.8503927767800069E-6</v>
      </c>
      <c r="C110" s="36" t="s">
        <v>104</v>
      </c>
      <c r="D110" s="36"/>
      <c r="E110" s="36"/>
      <c r="F110" s="36"/>
      <c r="G110" s="36"/>
      <c r="H110" s="37">
        <v>1</v>
      </c>
    </row>
    <row r="111" spans="1:8" x14ac:dyDescent="0.25">
      <c r="A111" s="50"/>
      <c r="B111" s="56"/>
      <c r="C111" s="36"/>
      <c r="D111" s="36"/>
      <c r="E111" s="36"/>
      <c r="F111" s="36"/>
      <c r="G111" s="36"/>
      <c r="H111" s="37"/>
    </row>
    <row r="112" spans="1:8" x14ac:dyDescent="0.25">
      <c r="A112" s="52" t="s">
        <v>153</v>
      </c>
      <c r="B112" s="36"/>
      <c r="C112" s="36"/>
      <c r="D112" s="36"/>
      <c r="E112" s="36"/>
      <c r="F112" s="36"/>
      <c r="G112" s="36"/>
      <c r="H112" s="37"/>
    </row>
    <row r="113" spans="1:8" x14ac:dyDescent="0.25">
      <c r="A113" s="20" t="s">
        <v>154</v>
      </c>
      <c r="B113" s="99">
        <v>4640</v>
      </c>
      <c r="C113" s="43" t="s">
        <v>63</v>
      </c>
      <c r="D113" s="36"/>
      <c r="E113" s="36"/>
      <c r="F113" s="36"/>
      <c r="G113" s="36"/>
      <c r="H113" s="37">
        <v>2</v>
      </c>
    </row>
    <row r="114" spans="1:8" x14ac:dyDescent="0.25">
      <c r="A114" s="20" t="s">
        <v>155</v>
      </c>
      <c r="B114" s="61">
        <v>4.6999999999999999E-9</v>
      </c>
      <c r="C114" s="36" t="s">
        <v>104</v>
      </c>
      <c r="D114" s="36"/>
      <c r="E114" s="36"/>
      <c r="F114" s="36"/>
      <c r="G114" s="36"/>
      <c r="H114" s="37">
        <v>2</v>
      </c>
    </row>
    <row r="115" spans="1:8" x14ac:dyDescent="0.25">
      <c r="A115" s="20" t="s">
        <v>156</v>
      </c>
      <c r="B115" s="61">
        <v>2.1999999999999999E-10</v>
      </c>
      <c r="C115" s="36" t="s">
        <v>104</v>
      </c>
      <c r="D115" s="36"/>
      <c r="E115" s="36"/>
      <c r="F115" s="36"/>
      <c r="G115" s="36"/>
      <c r="H115" s="37">
        <v>2</v>
      </c>
    </row>
    <row r="116" spans="1:8" x14ac:dyDescent="0.25">
      <c r="A116" s="20" t="s">
        <v>157</v>
      </c>
      <c r="B116" s="99">
        <v>75</v>
      </c>
      <c r="C116" s="43" t="s">
        <v>63</v>
      </c>
      <c r="D116" s="36"/>
      <c r="E116" s="36"/>
      <c r="F116" s="36"/>
      <c r="G116" s="36"/>
      <c r="H116" s="37">
        <v>2</v>
      </c>
    </row>
    <row r="117" spans="1:8" x14ac:dyDescent="0.25">
      <c r="A117" s="20" t="s">
        <v>158</v>
      </c>
      <c r="B117" s="61">
        <v>1.5E-9</v>
      </c>
      <c r="C117" s="36" t="s">
        <v>104</v>
      </c>
      <c r="D117" s="36"/>
      <c r="E117" s="36"/>
      <c r="F117" s="36"/>
      <c r="G117" s="36"/>
      <c r="H117" s="37">
        <v>2</v>
      </c>
    </row>
    <row r="118" spans="1:8" x14ac:dyDescent="0.25">
      <c r="A118" s="20"/>
      <c r="B118" s="36"/>
      <c r="C118" s="36"/>
      <c r="D118" s="36"/>
      <c r="E118" s="36"/>
      <c r="F118" s="36"/>
      <c r="G118" s="36"/>
      <c r="H118" s="37"/>
    </row>
    <row r="119" spans="1:8" x14ac:dyDescent="0.25">
      <c r="A119" s="52" t="s">
        <v>159</v>
      </c>
      <c r="B119" s="36"/>
      <c r="C119" s="36"/>
      <c r="D119" s="36" t="str">
        <f>Cout</f>
        <v>82µF</v>
      </c>
      <c r="E119" s="36">
        <f>CoutEsr</f>
        <v>3.7058823529411776E-2</v>
      </c>
      <c r="F119" s="36"/>
      <c r="G119" s="36"/>
      <c r="H119" s="37"/>
    </row>
    <row r="120" spans="1:8" x14ac:dyDescent="0.25">
      <c r="A120" s="50" t="s">
        <v>160</v>
      </c>
      <c r="B120" s="51" t="e">
        <f>SQRT((Rfets+Rdcr+Ro)/(Cout*Lout2*(CoutEsr+Ro)))/(2*Pi)</f>
        <v>#VALUE!</v>
      </c>
      <c r="C120" s="36" t="s">
        <v>82</v>
      </c>
      <c r="D120" s="36" t="s">
        <v>161</v>
      </c>
      <c r="E120" s="36"/>
      <c r="F120" s="36"/>
      <c r="G120" s="36"/>
      <c r="H120" s="37"/>
    </row>
    <row r="121" spans="1:8" x14ac:dyDescent="0.25">
      <c r="A121" s="50" t="s">
        <v>162</v>
      </c>
      <c r="B121" s="51" t="e">
        <f>(Rfets+Rdcr+Ro)/(Lout2+Cout*(Rdcr+Rfets)*(CoutEsr+Ro)+Cout*CoutEsr*Ro)/(Fo*2*Pi)</f>
        <v>#VALUE!</v>
      </c>
      <c r="C121" s="36" t="s">
        <v>131</v>
      </c>
      <c r="D121" s="36" t="s">
        <v>163</v>
      </c>
      <c r="E121" s="36"/>
      <c r="F121" s="36"/>
      <c r="G121" s="36"/>
      <c r="H121" s="37"/>
    </row>
    <row r="122" spans="1:8" x14ac:dyDescent="0.25">
      <c r="A122" s="50" t="s">
        <v>164</v>
      </c>
      <c r="B122" s="51" t="e">
        <f>1/(2*Pi*Cout*CoutEsr)</f>
        <v>#VALUE!</v>
      </c>
      <c r="C122" s="36" t="s">
        <v>82</v>
      </c>
      <c r="D122" s="40" t="s">
        <v>165</v>
      </c>
      <c r="E122" s="36"/>
      <c r="F122" s="36"/>
      <c r="G122" s="36"/>
      <c r="H122" s="37"/>
    </row>
    <row r="123" spans="1:8" x14ac:dyDescent="0.25">
      <c r="A123" s="50" t="s">
        <v>166</v>
      </c>
      <c r="B123" s="51">
        <f>1/(2*Pi*Rcea1_u*Cc1ea_u)</f>
        <v>7298.0073034554471</v>
      </c>
      <c r="C123" s="36" t="s">
        <v>82</v>
      </c>
      <c r="D123" s="40" t="s">
        <v>167</v>
      </c>
      <c r="E123" s="36"/>
      <c r="F123" s="36"/>
      <c r="G123" s="36"/>
      <c r="H123" s="37"/>
    </row>
    <row r="124" spans="1:8" x14ac:dyDescent="0.25">
      <c r="A124" s="50" t="s">
        <v>168</v>
      </c>
      <c r="B124" s="51">
        <f>1/(2*Pi*Cc3ea_u*(_RFB1+Rcea2_u))</f>
        <v>1300285.4842627156</v>
      </c>
      <c r="C124" s="36" t="s">
        <v>82</v>
      </c>
      <c r="D124" s="40" t="s">
        <v>167</v>
      </c>
      <c r="E124" s="36"/>
      <c r="F124" s="36"/>
      <c r="G124" s="36"/>
      <c r="H124" s="37"/>
    </row>
    <row r="125" spans="1:8" x14ac:dyDescent="0.25">
      <c r="A125" s="50" t="s">
        <v>169</v>
      </c>
      <c r="B125" s="51">
        <f>1/(2*Pi*Rcea2_u*Cc3ea_u)</f>
        <v>1414710.6068778345</v>
      </c>
      <c r="C125" s="36" t="s">
        <v>82</v>
      </c>
      <c r="D125" s="36" t="s">
        <v>170</v>
      </c>
      <c r="E125" s="36"/>
      <c r="F125" s="36"/>
      <c r="G125" s="36"/>
      <c r="H125" s="37"/>
    </row>
    <row r="126" spans="1:8" x14ac:dyDescent="0.25">
      <c r="A126" s="50" t="s">
        <v>171</v>
      </c>
      <c r="B126" s="51">
        <f>1/(2*Pi*Rcea1_u*(Cc1ea_u*Cc2ea_u/(Cc1ea_u+Cc2ea_u)))</f>
        <v>163209.98151364</v>
      </c>
      <c r="C126" s="36" t="s">
        <v>82</v>
      </c>
      <c r="D126" s="36" t="s">
        <v>172</v>
      </c>
      <c r="E126" s="36"/>
      <c r="F126" s="36"/>
      <c r="G126" s="36"/>
      <c r="H126" s="37"/>
    </row>
    <row r="127" spans="1:8" x14ac:dyDescent="0.25">
      <c r="A127" s="50" t="s">
        <v>173</v>
      </c>
      <c r="B127" s="51">
        <v>4.33331946671104</v>
      </c>
      <c r="C127" s="36"/>
      <c r="D127" s="40" t="s">
        <v>174</v>
      </c>
      <c r="E127" s="36"/>
      <c r="F127" s="36"/>
      <c r="G127" s="36"/>
      <c r="H127" s="37"/>
    </row>
    <row r="128" spans="1:8" x14ac:dyDescent="0.25">
      <c r="A128" s="50" t="s">
        <v>175</v>
      </c>
      <c r="B128" s="51">
        <v>3.1415926500000002</v>
      </c>
      <c r="C128" s="36"/>
      <c r="D128" s="36" t="s">
        <v>176</v>
      </c>
      <c r="E128" s="36"/>
      <c r="F128" s="36"/>
      <c r="G128" s="36"/>
      <c r="H128" s="37"/>
    </row>
    <row r="129" spans="1:8" x14ac:dyDescent="0.25">
      <c r="A129" s="50" t="s">
        <v>177</v>
      </c>
      <c r="B129" s="56"/>
      <c r="C129" s="36"/>
      <c r="D129" s="36"/>
      <c r="E129" s="36"/>
      <c r="F129" s="36"/>
      <c r="G129" s="36"/>
      <c r="H129" s="37"/>
    </row>
    <row r="130" spans="1:8" x14ac:dyDescent="0.25">
      <c r="A130" s="50" t="s">
        <v>178</v>
      </c>
      <c r="B130" s="56">
        <v>0</v>
      </c>
      <c r="C130" s="43" t="s">
        <v>63</v>
      </c>
      <c r="D130" s="40" t="s">
        <v>179</v>
      </c>
      <c r="E130" s="36"/>
      <c r="F130" s="36"/>
      <c r="G130" s="36" t="e">
        <f>_Don2*RdsonTop+Doff2*RdsonBot+B135*Vin^2*Fsw/2/(((Iripple1/SQRT(3))^2))</f>
        <v>#REF!</v>
      </c>
      <c r="H130" s="37"/>
    </row>
    <row r="131" spans="1:8" x14ac:dyDescent="0.25">
      <c r="A131" s="20"/>
      <c r="B131" s="36"/>
      <c r="C131" s="36"/>
      <c r="D131" s="36"/>
      <c r="E131" s="36"/>
      <c r="F131" s="36"/>
      <c r="G131" s="36"/>
      <c r="H131" s="37"/>
    </row>
    <row r="132" spans="1:8" x14ac:dyDescent="0.25">
      <c r="A132" s="50" t="s">
        <v>180</v>
      </c>
      <c r="B132" s="30" t="e">
        <f>0.00000002*Fsw*0.6*4/Iripple1</f>
        <v>#VALUE!</v>
      </c>
      <c r="C132" s="36"/>
      <c r="D132" s="30"/>
      <c r="E132" s="36"/>
      <c r="F132" s="36"/>
      <c r="G132" s="36"/>
      <c r="H132" s="37"/>
    </row>
    <row r="133" spans="1:8" x14ac:dyDescent="0.25">
      <c r="A133" s="50" t="s">
        <v>181</v>
      </c>
      <c r="B133" s="30" t="e">
        <f>_Don2*RdsonTop+Doff2*RdsonBot</f>
        <v>#REF!</v>
      </c>
      <c r="C133" s="36"/>
      <c r="D133" s="30"/>
      <c r="E133" s="36"/>
      <c r="F133" s="36"/>
      <c r="G133" s="36"/>
      <c r="H133" s="37"/>
    </row>
    <row r="134" spans="1:8" x14ac:dyDescent="0.25">
      <c r="A134" s="50" t="s">
        <v>182</v>
      </c>
      <c r="B134" s="30" t="e">
        <f>B135*Vin^2*Fsw/2/(((Iripple1/SQRT(3))^2))</f>
        <v>#VALUE!</v>
      </c>
      <c r="C134" s="36"/>
      <c r="D134" s="30"/>
      <c r="E134" s="36"/>
      <c r="F134" s="36"/>
      <c r="G134" s="36"/>
      <c r="H134" s="37"/>
    </row>
    <row r="135" spans="1:8" ht="16.5" thickBot="1" x14ac:dyDescent="0.3">
      <c r="A135" s="65" t="s">
        <v>183</v>
      </c>
      <c r="B135" s="100">
        <v>5.0000000000000001E-9</v>
      </c>
      <c r="C135" s="47"/>
      <c r="D135" s="100"/>
      <c r="E135" s="47"/>
      <c r="F135" s="47"/>
      <c r="G135" s="47"/>
      <c r="H135" s="48"/>
    </row>
    <row r="136" spans="1:8" x14ac:dyDescent="0.25">
      <c r="A136" s="101"/>
      <c r="B136" s="102"/>
      <c r="D136" s="102"/>
    </row>
    <row r="137" spans="1:8" x14ac:dyDescent="0.25">
      <c r="A137" s="101" t="s">
        <v>17</v>
      </c>
      <c r="B137" s="164">
        <v>7.2999999999999995E-2</v>
      </c>
      <c r="D137" s="102"/>
    </row>
    <row r="138" spans="1:8" x14ac:dyDescent="0.25">
      <c r="A138" s="20"/>
      <c r="B138" s="163">
        <v>4.8000000000000001E-2</v>
      </c>
      <c r="C138" s="36"/>
      <c r="D138" s="36"/>
      <c r="E138" s="36"/>
      <c r="F138" s="36"/>
      <c r="G138" s="36"/>
      <c r="H138" s="37"/>
    </row>
    <row r="139" spans="1:8" x14ac:dyDescent="0.25">
      <c r="A139" s="20" t="s">
        <v>81</v>
      </c>
      <c r="B139" s="36">
        <v>2200000</v>
      </c>
      <c r="C139" s="36"/>
      <c r="D139" s="36"/>
      <c r="E139" s="36"/>
      <c r="F139" s="36"/>
      <c r="G139" s="36"/>
      <c r="H139" s="37"/>
    </row>
    <row r="140" spans="1:8" x14ac:dyDescent="0.25">
      <c r="A140" s="20"/>
      <c r="B140" s="36">
        <v>440000</v>
      </c>
      <c r="C140" s="36"/>
      <c r="D140" s="36"/>
      <c r="E140" s="36"/>
      <c r="F140" s="36"/>
      <c r="G140" s="36"/>
      <c r="H140" s="37"/>
    </row>
    <row r="141" spans="1:8" x14ac:dyDescent="0.25">
      <c r="A141" s="20" t="s">
        <v>220</v>
      </c>
      <c r="B141" s="36">
        <v>3.3</v>
      </c>
      <c r="C141" s="36"/>
      <c r="D141" s="36"/>
      <c r="E141" s="36"/>
      <c r="F141" s="36"/>
      <c r="G141" s="36"/>
      <c r="H141" s="37"/>
    </row>
    <row r="142" spans="1:8" x14ac:dyDescent="0.25">
      <c r="A142" s="20"/>
      <c r="B142" s="53">
        <v>5</v>
      </c>
      <c r="C142" s="36"/>
      <c r="D142" s="36"/>
      <c r="E142" s="36"/>
      <c r="F142" s="36"/>
      <c r="G142" s="36"/>
      <c r="H142" s="37"/>
    </row>
    <row r="143" spans="1:8" x14ac:dyDescent="0.25">
      <c r="A143" s="20"/>
      <c r="B143" s="36"/>
      <c r="C143" s="36"/>
      <c r="D143" s="36"/>
      <c r="E143" s="36"/>
      <c r="F143" s="36"/>
      <c r="G143" s="36"/>
      <c r="H143" s="37"/>
    </row>
    <row r="144" spans="1:8" x14ac:dyDescent="0.25">
      <c r="A144" s="20" t="s">
        <v>221</v>
      </c>
      <c r="B144" s="53">
        <v>5</v>
      </c>
      <c r="C144" s="36"/>
      <c r="D144" s="36"/>
      <c r="E144" s="36"/>
      <c r="F144" s="36"/>
      <c r="G144" s="36"/>
      <c r="H144" s="37"/>
    </row>
    <row r="145" spans="1:8" x14ac:dyDescent="0.25">
      <c r="A145" s="20"/>
      <c r="B145" s="53">
        <v>8</v>
      </c>
      <c r="C145" s="36"/>
      <c r="D145" s="36"/>
      <c r="E145" s="36"/>
      <c r="F145" s="36"/>
      <c r="G145" s="36"/>
      <c r="H145" s="37"/>
    </row>
    <row r="146" spans="1:8" x14ac:dyDescent="0.25">
      <c r="A146" s="52" t="s">
        <v>185</v>
      </c>
      <c r="B146" s="36"/>
      <c r="C146" s="36"/>
      <c r="D146" s="36"/>
      <c r="E146" s="36"/>
      <c r="F146" s="36"/>
      <c r="G146" s="36"/>
      <c r="H146" s="37"/>
    </row>
    <row r="147" spans="1:8" x14ac:dyDescent="0.25">
      <c r="A147" s="20" t="s">
        <v>186</v>
      </c>
      <c r="B147" s="36"/>
      <c r="C147" s="36"/>
      <c r="D147" s="36"/>
      <c r="E147" s="36"/>
      <c r="F147" s="36"/>
      <c r="G147" s="36"/>
      <c r="H147" s="37"/>
    </row>
    <row r="148" spans="1:8" ht="16.5" thickBot="1" x14ac:dyDescent="0.3">
      <c r="A148" s="45" t="s">
        <v>184</v>
      </c>
      <c r="B148" s="47"/>
      <c r="C148" s="47"/>
      <c r="D148" s="47"/>
      <c r="E148" s="47"/>
      <c r="F148" s="47"/>
      <c r="G148" s="47"/>
      <c r="H148" s="48"/>
    </row>
    <row r="149" spans="1:8" x14ac:dyDescent="0.25">
      <c r="A149" s="101"/>
      <c r="B149" s="101"/>
    </row>
    <row r="150" spans="1:8" ht="16.5" thickBot="1" x14ac:dyDescent="0.3">
      <c r="A150" s="29" t="s">
        <v>187</v>
      </c>
      <c r="B150" s="36"/>
      <c r="C150" s="36"/>
      <c r="D150" s="36"/>
      <c r="E150" s="36"/>
      <c r="F150" s="36"/>
      <c r="G150" s="36"/>
      <c r="H150" s="36"/>
    </row>
    <row r="151" spans="1:8" x14ac:dyDescent="0.25">
      <c r="A151" s="32" t="s">
        <v>262</v>
      </c>
      <c r="B151" s="33" t="s">
        <v>263</v>
      </c>
      <c r="C151" s="33"/>
      <c r="D151" s="103"/>
      <c r="E151" s="103"/>
      <c r="F151" s="103"/>
      <c r="G151" s="103"/>
      <c r="H151" s="34"/>
    </row>
    <row r="152" spans="1:8" x14ac:dyDescent="0.25">
      <c r="A152" s="20" t="s">
        <v>264</v>
      </c>
      <c r="B152" s="36" t="s">
        <v>265</v>
      </c>
      <c r="C152" s="36"/>
      <c r="D152" s="36"/>
      <c r="E152" s="36"/>
      <c r="F152" s="36"/>
      <c r="G152" s="36"/>
      <c r="H152" s="37"/>
    </row>
    <row r="153" spans="1:8" x14ac:dyDescent="0.25">
      <c r="A153" s="20" t="s">
        <v>266</v>
      </c>
      <c r="B153" s="36" t="s">
        <v>267</v>
      </c>
      <c r="C153" s="36"/>
      <c r="D153" s="36"/>
      <c r="E153" s="36"/>
      <c r="F153" s="36"/>
      <c r="G153" s="36"/>
      <c r="H153" s="37"/>
    </row>
    <row r="154" spans="1:8" x14ac:dyDescent="0.25">
      <c r="A154" s="20" t="s">
        <v>268</v>
      </c>
      <c r="B154" s="36" t="s">
        <v>269</v>
      </c>
      <c r="C154" s="36"/>
      <c r="D154" s="36"/>
      <c r="E154" s="36"/>
      <c r="F154" s="36"/>
      <c r="G154" s="36"/>
      <c r="H154" s="37"/>
    </row>
    <row r="155" spans="1:8" x14ac:dyDescent="0.25">
      <c r="A155" s="20"/>
      <c r="B155" s="36"/>
      <c r="C155" s="36"/>
      <c r="D155" s="36"/>
      <c r="E155" s="36"/>
      <c r="F155" s="36"/>
      <c r="G155" s="36"/>
      <c r="H155" s="37"/>
    </row>
    <row r="156" spans="1:8" x14ac:dyDescent="0.25">
      <c r="A156" s="20" t="s">
        <v>270</v>
      </c>
      <c r="B156" s="36" t="s">
        <v>271</v>
      </c>
      <c r="C156" s="36"/>
      <c r="D156" s="36"/>
      <c r="E156" s="36"/>
      <c r="F156" s="36"/>
      <c r="G156" s="36"/>
      <c r="H156" s="37"/>
    </row>
    <row r="157" spans="1:8" x14ac:dyDescent="0.25">
      <c r="A157" s="38" t="s">
        <v>188</v>
      </c>
      <c r="B157" s="36" t="str">
        <f>"100µF"</f>
        <v>100µF</v>
      </c>
      <c r="C157" s="36"/>
      <c r="D157" s="36"/>
      <c r="E157" s="36"/>
      <c r="F157" s="36"/>
      <c r="G157" s="36"/>
      <c r="H157" s="37"/>
    </row>
    <row r="158" spans="1:8" x14ac:dyDescent="0.25">
      <c r="A158" s="38" t="s">
        <v>189</v>
      </c>
      <c r="B158" s="104" t="e">
        <f>ROUNDUP(Cout*1000000/100,0)&amp;" x"</f>
        <v>#VALUE!</v>
      </c>
      <c r="C158" s="36"/>
      <c r="D158" s="36"/>
      <c r="E158" s="36"/>
      <c r="F158" s="36"/>
      <c r="G158" s="36"/>
      <c r="H158" s="37"/>
    </row>
    <row r="159" spans="1:8" x14ac:dyDescent="0.25">
      <c r="A159" s="20"/>
      <c r="B159" s="36"/>
      <c r="C159" s="36"/>
      <c r="D159" s="36"/>
      <c r="E159" s="36"/>
      <c r="F159" s="36"/>
      <c r="G159" s="36"/>
      <c r="H159" s="37"/>
    </row>
    <row r="160" spans="1:8" x14ac:dyDescent="0.25">
      <c r="A160" s="20" t="s">
        <v>190</v>
      </c>
      <c r="B160" s="36" t="e">
        <f>Cin*1000000&amp;"µF"</f>
        <v>#VALUE!</v>
      </c>
      <c r="C160" s="36"/>
      <c r="D160" s="36"/>
      <c r="E160" s="36"/>
      <c r="F160" s="36"/>
      <c r="G160" s="36"/>
      <c r="H160" s="37"/>
    </row>
    <row r="161" spans="1:8" x14ac:dyDescent="0.25">
      <c r="A161" s="38" t="s">
        <v>191</v>
      </c>
      <c r="B161" s="36" t="str">
        <f>"22µF"</f>
        <v>22µF</v>
      </c>
      <c r="C161" s="36"/>
      <c r="D161" s="36"/>
      <c r="E161" s="36"/>
      <c r="F161" s="36"/>
      <c r="G161" s="36"/>
      <c r="H161" s="37"/>
    </row>
    <row r="162" spans="1:8" x14ac:dyDescent="0.25">
      <c r="A162" s="38" t="s">
        <v>192</v>
      </c>
      <c r="B162" s="104" t="e">
        <f>ROUNDUP(Cin*1000000/22,0)&amp;" x"</f>
        <v>#VALUE!</v>
      </c>
      <c r="C162" s="36"/>
      <c r="D162" s="36"/>
      <c r="E162" s="36"/>
      <c r="F162" s="36"/>
      <c r="G162" s="36"/>
      <c r="H162" s="37"/>
    </row>
    <row r="163" spans="1:8" x14ac:dyDescent="0.25">
      <c r="A163" s="38"/>
      <c r="B163" s="104"/>
      <c r="C163" s="36"/>
      <c r="D163" s="36"/>
      <c r="E163" s="36"/>
      <c r="F163" s="36"/>
      <c r="G163" s="36"/>
      <c r="H163" s="37"/>
    </row>
    <row r="164" spans="1:8" x14ac:dyDescent="0.25">
      <c r="A164" s="20" t="str">
        <f>"RC1 = "&amp;Rcea1_u/1000&amp;"kΩ"</f>
        <v>RC1 = 4.64kΩ</v>
      </c>
      <c r="B164" s="36" t="str">
        <f>ROUND(Rcea1_u/1000,2)&amp;"kΩ"</f>
        <v>4.64kΩ</v>
      </c>
      <c r="C164" s="36"/>
      <c r="D164" s="36"/>
      <c r="E164" s="36"/>
      <c r="F164" s="36"/>
      <c r="G164" s="36"/>
      <c r="H164" s="37"/>
    </row>
    <row r="165" spans="1:8" x14ac:dyDescent="0.25">
      <c r="A165" s="20" t="str">
        <f>"CC1 = "&amp;Cc1ea_u*10^12&amp;"pF"</f>
        <v>CC1 = 4700pF</v>
      </c>
      <c r="B165" s="36" t="str">
        <f>ROUND(Cc1ea_u*10^12,0)&amp;"pF"</f>
        <v>4700pF</v>
      </c>
      <c r="C165" s="36"/>
      <c r="D165" s="36"/>
      <c r="E165" s="36"/>
      <c r="F165" s="36"/>
      <c r="G165" s="36"/>
      <c r="H165" s="37"/>
    </row>
    <row r="166" spans="1:8" x14ac:dyDescent="0.25">
      <c r="A166" s="20" t="str">
        <f>"CC2 = "&amp;Cc2ea_u*10^12&amp;"pF"</f>
        <v>CC2 = 220pF</v>
      </c>
      <c r="B166" s="36" t="str">
        <f>ROUND(Cc2ea_u*10^12,0)&amp;"pF"</f>
        <v>220pF</v>
      </c>
      <c r="C166" s="36"/>
      <c r="D166" s="36"/>
      <c r="E166" s="36"/>
      <c r="F166" s="36"/>
      <c r="G166" s="36"/>
      <c r="H166" s="37"/>
    </row>
    <row r="167" spans="1:8" x14ac:dyDescent="0.25">
      <c r="A167" s="20" t="str">
        <f>"RC2 = "&amp;Rcea2_u&amp;"Ω"</f>
        <v>RC2 = 75Ω</v>
      </c>
      <c r="B167" s="36" t="str">
        <f>ROUND(Rcea2_u,2)&amp;"Ω"</f>
        <v>75Ω</v>
      </c>
      <c r="C167" s="36"/>
      <c r="D167" s="36"/>
      <c r="E167" s="36"/>
      <c r="F167" s="36"/>
      <c r="G167" s="36"/>
      <c r="H167" s="37"/>
    </row>
    <row r="168" spans="1:8" x14ac:dyDescent="0.25">
      <c r="A168" s="20" t="str">
        <f>"CC3 = "&amp;Cc3ea_u*10^12&amp;"pF"</f>
        <v>CC3 = 1500pF</v>
      </c>
      <c r="B168" s="36" t="str">
        <f>ROUND(Cc3ea_u*10^12,0)&amp;"pF"</f>
        <v>1500pF</v>
      </c>
      <c r="C168" s="36"/>
      <c r="D168" s="36"/>
      <c r="E168" s="36"/>
      <c r="F168" s="36"/>
      <c r="G168" s="36"/>
      <c r="H168" s="37"/>
    </row>
    <row r="169" spans="1:8" x14ac:dyDescent="0.25">
      <c r="A169" s="20" t="s">
        <v>272</v>
      </c>
      <c r="B169" s="36" t="s">
        <v>273</v>
      </c>
      <c r="C169" s="36"/>
      <c r="D169" s="36"/>
      <c r="E169" s="36"/>
      <c r="F169" s="36"/>
      <c r="G169" s="36"/>
      <c r="H169" s="37"/>
    </row>
    <row r="170" spans="1:8" x14ac:dyDescent="0.25">
      <c r="A170" s="20" t="s">
        <v>274</v>
      </c>
      <c r="B170" s="36" t="str">
        <f>IF(Vout=Vref,"OPEN",Rfb2_u/1000&amp;"kΩ")</f>
        <v>10kΩ</v>
      </c>
      <c r="C170" s="36"/>
      <c r="D170" s="36"/>
      <c r="E170" s="36"/>
      <c r="F170" s="36"/>
      <c r="G170" s="36"/>
      <c r="H170" s="37"/>
    </row>
    <row r="171" spans="1:8" x14ac:dyDescent="0.25">
      <c r="A171" s="20" t="s">
        <v>280</v>
      </c>
      <c r="B171" s="36" t="s">
        <v>281</v>
      </c>
      <c r="C171" s="105">
        <v>43.5</v>
      </c>
      <c r="D171" s="36"/>
      <c r="E171" s="36"/>
      <c r="F171" s="36"/>
      <c r="G171" s="36"/>
      <c r="H171" s="37"/>
    </row>
    <row r="172" spans="1:8" x14ac:dyDescent="0.25">
      <c r="A172" s="20" t="s">
        <v>282</v>
      </c>
      <c r="B172" s="104" t="s">
        <v>283</v>
      </c>
      <c r="C172" s="36"/>
      <c r="D172" s="43"/>
      <c r="E172" s="36"/>
      <c r="F172" s="36"/>
      <c r="G172" s="36"/>
      <c r="H172" s="37"/>
    </row>
    <row r="173" spans="1:8" x14ac:dyDescent="0.25">
      <c r="A173" s="20" t="e">
        <f>"Cs = "&amp;Cs*1000000000&amp;"nF"</f>
        <v>#REF!</v>
      </c>
      <c r="B173" s="36" t="e">
        <f>Cs*1000000&amp;"µF"</f>
        <v>#REF!</v>
      </c>
      <c r="C173" s="36"/>
      <c r="D173" s="36"/>
      <c r="E173" s="36"/>
      <c r="F173" s="36"/>
      <c r="G173" s="36"/>
      <c r="H173" s="37"/>
    </row>
    <row r="174" spans="1:8" x14ac:dyDescent="0.25">
      <c r="A174" s="20" t="e">
        <f>"Rs = "&amp;Rs&amp;"Ω"</f>
        <v>#REF!</v>
      </c>
      <c r="B174" s="36" t="s">
        <v>275</v>
      </c>
      <c r="C174" s="36"/>
      <c r="D174" s="36"/>
      <c r="E174" s="36"/>
      <c r="F174" s="36"/>
      <c r="G174" s="36"/>
      <c r="H174" s="37"/>
    </row>
    <row r="175" spans="1:8" x14ac:dyDescent="0.25">
      <c r="A175" s="20" t="s">
        <v>103</v>
      </c>
      <c r="B175" s="36" t="s">
        <v>276</v>
      </c>
      <c r="C175" s="36"/>
      <c r="D175" s="36"/>
      <c r="E175" s="36"/>
      <c r="F175" s="36"/>
      <c r="G175" s="36"/>
      <c r="H175" s="37"/>
    </row>
    <row r="176" spans="1:8" x14ac:dyDescent="0.25">
      <c r="A176" s="20" t="s">
        <v>105</v>
      </c>
      <c r="B176" s="36" t="s">
        <v>275</v>
      </c>
      <c r="C176" s="36"/>
      <c r="D176" s="36"/>
      <c r="E176" s="36"/>
      <c r="F176" s="36"/>
      <c r="G176" s="36"/>
      <c r="H176" s="37"/>
    </row>
    <row r="177" spans="1:8" x14ac:dyDescent="0.25">
      <c r="A177" s="20" t="s">
        <v>128</v>
      </c>
      <c r="B177" s="36" t="s">
        <v>277</v>
      </c>
      <c r="C177" s="36">
        <v>84.5</v>
      </c>
      <c r="D177" s="36"/>
      <c r="E177" s="36"/>
      <c r="F177" s="36"/>
      <c r="G177" s="36"/>
      <c r="H177" s="37"/>
    </row>
    <row r="178" spans="1:8" x14ac:dyDescent="0.25">
      <c r="A178" s="38" t="s">
        <v>193</v>
      </c>
      <c r="B178" s="40" t="s">
        <v>194</v>
      </c>
      <c r="C178" s="36"/>
      <c r="D178" s="36"/>
      <c r="E178" s="36"/>
      <c r="F178" s="36"/>
      <c r="G178" s="36"/>
      <c r="H178" s="37"/>
    </row>
    <row r="179" spans="1:8" x14ac:dyDescent="0.25">
      <c r="A179" s="20" t="s">
        <v>86</v>
      </c>
      <c r="B179" s="36" t="s">
        <v>278</v>
      </c>
      <c r="C179" s="36"/>
      <c r="D179" s="36"/>
      <c r="E179" s="36"/>
      <c r="F179" s="36"/>
      <c r="G179" s="36"/>
      <c r="H179" s="37"/>
    </row>
    <row r="180" spans="1:8" x14ac:dyDescent="0.25">
      <c r="A180" s="20" t="s">
        <v>125</v>
      </c>
      <c r="B180" s="36" t="s">
        <v>279</v>
      </c>
      <c r="C180" s="36"/>
      <c r="D180" s="36"/>
      <c r="E180" s="36"/>
      <c r="F180" s="36"/>
      <c r="G180" s="36"/>
      <c r="H180" s="37"/>
    </row>
    <row r="181" spans="1:8" x14ac:dyDescent="0.25">
      <c r="A181" s="38" t="s">
        <v>195</v>
      </c>
      <c r="B181" s="40" t="s">
        <v>196</v>
      </c>
      <c r="C181" s="36"/>
      <c r="D181" s="36"/>
      <c r="E181" s="36"/>
      <c r="F181" s="36"/>
      <c r="G181" s="36"/>
      <c r="H181" s="37"/>
    </row>
    <row r="182" spans="1:8" x14ac:dyDescent="0.25">
      <c r="A182" s="20" t="s">
        <v>197</v>
      </c>
      <c r="B182" s="36" t="str">
        <f>IF(B35="y","","|")</f>
        <v>|</v>
      </c>
      <c r="C182" s="36"/>
      <c r="D182" s="36"/>
      <c r="E182" s="36"/>
      <c r="F182" s="36"/>
      <c r="G182" s="36"/>
      <c r="H182" s="37"/>
    </row>
  </sheetData>
  <mergeCells count="2">
    <mergeCell ref="A1:H1"/>
    <mergeCell ref="D5:G5"/>
  </mergeCells>
  <phoneticPr fontId="40" type="noConversion"/>
  <dataValidations count="1">
    <dataValidation type="decimal" allowBlank="1" showInputMessage="1" showErrorMessage="1" sqref="B137">
      <formula1>0.048</formula1>
      <formula2>0.073</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L154"/>
  <sheetViews>
    <sheetView tabSelected="1" topLeftCell="A48" zoomScale="85" zoomScaleNormal="85" workbookViewId="0">
      <selection activeCell="C55" sqref="C55"/>
    </sheetView>
  </sheetViews>
  <sheetFormatPr defaultColWidth="8.85546875" defaultRowHeight="15.75" x14ac:dyDescent="0.25"/>
  <cols>
    <col min="1" max="1" width="142.42578125" style="182" customWidth="1"/>
    <col min="2" max="2" width="48.7109375" style="182" customWidth="1"/>
    <col min="3" max="3" width="18.140625" style="182" customWidth="1"/>
    <col min="4" max="4" width="2.7109375" style="182" customWidth="1"/>
    <col min="5" max="5" width="12.7109375" style="182" customWidth="1"/>
    <col min="6" max="7" width="8.85546875" style="182"/>
    <col min="8" max="8" width="16.5703125" style="182" customWidth="1"/>
    <col min="9" max="11" width="8.85546875" style="182"/>
    <col min="12" max="19" width="8.85546875" style="234"/>
    <col min="20" max="28" width="8.85546875" style="182"/>
    <col min="29" max="29" width="8.85546875" style="183"/>
    <col min="30" max="62" width="8.85546875" style="181"/>
    <col min="63" max="16384" width="8.85546875" style="182"/>
  </cols>
  <sheetData>
    <row r="1" spans="1:30" x14ac:dyDescent="0.25">
      <c r="A1" s="180"/>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row>
    <row r="2" spans="1:30" x14ac:dyDescent="0.25">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row>
    <row r="3" spans="1:30" x14ac:dyDescent="0.25">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row>
    <row r="4" spans="1:30" x14ac:dyDescent="0.25">
      <c r="A4" s="180"/>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row>
    <row r="5" spans="1:30" x14ac:dyDescent="0.25">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row>
    <row r="6" spans="1:30" x14ac:dyDescent="0.25">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row>
    <row r="7" spans="1:30" ht="16.5" thickBot="1" x14ac:dyDescent="0.3">
      <c r="A7" s="183"/>
      <c r="B7" s="183"/>
      <c r="C7" s="184" t="s">
        <v>62</v>
      </c>
      <c r="D7" s="183"/>
      <c r="E7" s="183"/>
      <c r="F7" s="183"/>
      <c r="G7" s="183"/>
      <c r="H7" s="184" t="s">
        <v>61</v>
      </c>
      <c r="I7" s="183"/>
      <c r="J7" s="183"/>
      <c r="K7" s="183"/>
      <c r="L7" s="183"/>
      <c r="M7" s="183"/>
      <c r="N7" s="183"/>
      <c r="O7" s="183"/>
      <c r="P7" s="183"/>
      <c r="Q7" s="183"/>
      <c r="R7" s="183"/>
      <c r="S7" s="183"/>
      <c r="T7" s="183"/>
      <c r="U7" s="183"/>
      <c r="V7" s="183"/>
      <c r="W7" s="183"/>
      <c r="X7" s="183"/>
      <c r="Y7" s="183"/>
      <c r="Z7" s="183"/>
      <c r="AA7" s="183"/>
      <c r="AB7" s="183"/>
      <c r="AD7" s="183"/>
    </row>
    <row r="8" spans="1:30" x14ac:dyDescent="0.25">
      <c r="A8" s="183"/>
      <c r="B8" s="183"/>
      <c r="C8" s="183"/>
      <c r="D8" s="185"/>
      <c r="E8" s="183"/>
      <c r="F8" s="183"/>
      <c r="G8" s="183"/>
      <c r="H8" s="183"/>
      <c r="I8" s="186"/>
      <c r="J8" s="186"/>
      <c r="K8" s="186"/>
      <c r="L8" s="183"/>
      <c r="M8" s="183"/>
      <c r="N8" s="183"/>
      <c r="O8" s="183"/>
      <c r="P8" s="183"/>
      <c r="Q8" s="183"/>
      <c r="R8" s="183"/>
      <c r="S8" s="183"/>
      <c r="T8" s="183"/>
      <c r="U8" s="183"/>
      <c r="V8" s="183"/>
      <c r="W8" s="183"/>
      <c r="X8" s="183"/>
      <c r="Y8" s="183"/>
      <c r="Z8" s="183"/>
      <c r="AA8" s="183"/>
      <c r="AB8" s="183"/>
      <c r="AD8" s="183"/>
    </row>
    <row r="9" spans="1:30" x14ac:dyDescent="0.25">
      <c r="A9" s="183"/>
      <c r="B9" s="183"/>
      <c r="C9" s="183"/>
      <c r="D9" s="183"/>
      <c r="E9" s="183"/>
      <c r="F9" s="183"/>
      <c r="G9" s="183"/>
      <c r="H9" s="183"/>
      <c r="I9" s="186"/>
      <c r="J9" s="186"/>
      <c r="K9" s="186"/>
      <c r="L9" s="183"/>
      <c r="M9" s="183"/>
      <c r="N9" s="183"/>
      <c r="O9" s="183"/>
      <c r="P9" s="183"/>
      <c r="Q9" s="183"/>
      <c r="R9" s="183"/>
      <c r="S9" s="183"/>
      <c r="T9" s="183"/>
      <c r="U9" s="183"/>
      <c r="V9" s="183"/>
      <c r="W9" s="183"/>
      <c r="X9" s="183"/>
      <c r="Y9" s="183"/>
      <c r="Z9" s="183"/>
      <c r="AA9" s="183"/>
      <c r="AB9" s="183"/>
      <c r="AD9" s="183"/>
    </row>
    <row r="10" spans="1:30" x14ac:dyDescent="0.25">
      <c r="A10" s="187"/>
      <c r="B10" s="183"/>
      <c r="C10" s="188"/>
      <c r="D10" s="183"/>
      <c r="E10" s="183"/>
      <c r="F10" s="183"/>
      <c r="G10" s="183"/>
      <c r="H10" s="183"/>
      <c r="I10" s="186"/>
      <c r="J10" s="186"/>
      <c r="K10" s="186"/>
      <c r="L10" s="183"/>
      <c r="M10" s="183"/>
      <c r="N10" s="183"/>
      <c r="O10" s="183"/>
      <c r="P10" s="183"/>
      <c r="Q10" s="183"/>
      <c r="R10" s="183"/>
      <c r="S10" s="183"/>
      <c r="T10" s="183"/>
      <c r="U10" s="183"/>
      <c r="V10" s="183"/>
      <c r="W10" s="183"/>
      <c r="X10" s="183"/>
      <c r="Y10" s="183"/>
      <c r="Z10" s="183"/>
      <c r="AA10" s="183"/>
      <c r="AB10" s="183"/>
      <c r="AD10" s="183"/>
    </row>
    <row r="11" spans="1:30" x14ac:dyDescent="0.25">
      <c r="A11" s="187"/>
      <c r="B11" s="189"/>
      <c r="C11" s="183"/>
      <c r="D11" s="190"/>
      <c r="E11" s="183"/>
      <c r="F11" s="183"/>
      <c r="G11" s="183"/>
      <c r="H11" s="183"/>
      <c r="I11" s="186"/>
      <c r="J11" s="186"/>
      <c r="K11" s="186"/>
      <c r="L11" s="183"/>
      <c r="M11" s="183"/>
      <c r="N11" s="183"/>
      <c r="O11" s="183"/>
      <c r="P11" s="183"/>
      <c r="Q11" s="183"/>
      <c r="R11" s="183"/>
      <c r="S11" s="183"/>
      <c r="T11" s="183"/>
      <c r="U11" s="183"/>
      <c r="V11" s="183"/>
      <c r="W11" s="183"/>
      <c r="X11" s="183"/>
      <c r="Y11" s="183"/>
      <c r="Z11" s="183"/>
      <c r="AA11" s="183"/>
      <c r="AB11" s="183"/>
      <c r="AD11" s="183"/>
    </row>
    <row r="12" spans="1:30" x14ac:dyDescent="0.25">
      <c r="A12" s="187"/>
      <c r="B12" s="189"/>
      <c r="C12" s="183"/>
      <c r="D12" s="190"/>
      <c r="E12" s="183"/>
      <c r="F12" s="183"/>
      <c r="G12" s="183"/>
      <c r="H12" s="183"/>
      <c r="I12" s="186"/>
      <c r="J12" s="186"/>
      <c r="K12" s="186"/>
      <c r="L12" s="183"/>
      <c r="M12" s="183"/>
      <c r="N12" s="183"/>
      <c r="O12" s="183"/>
      <c r="P12" s="183"/>
      <c r="Q12" s="183"/>
      <c r="R12" s="183"/>
      <c r="S12" s="183"/>
      <c r="T12" s="183"/>
      <c r="U12" s="183"/>
      <c r="V12" s="183"/>
      <c r="W12" s="183"/>
      <c r="X12" s="183"/>
      <c r="Y12" s="183"/>
      <c r="Z12" s="183"/>
      <c r="AA12" s="183"/>
      <c r="AB12" s="183"/>
      <c r="AD12" s="183"/>
    </row>
    <row r="13" spans="1:30" ht="16.5" thickBot="1" x14ac:dyDescent="0.3">
      <c r="A13" s="191"/>
      <c r="B13" s="177"/>
      <c r="C13" s="248"/>
      <c r="D13" s="192"/>
      <c r="E13" s="192"/>
      <c r="F13" s="192"/>
      <c r="G13" s="192"/>
      <c r="H13" s="192"/>
      <c r="I13" s="193"/>
      <c r="J13" s="193"/>
      <c r="K13" s="193"/>
      <c r="L13" s="192"/>
      <c r="M13" s="192"/>
      <c r="N13" s="192"/>
      <c r="O13" s="192"/>
      <c r="P13" s="192"/>
      <c r="Q13" s="192"/>
      <c r="R13" s="192"/>
      <c r="S13" s="192"/>
      <c r="T13" s="192"/>
      <c r="U13" s="192"/>
      <c r="V13" s="192"/>
      <c r="W13" s="192"/>
      <c r="X13" s="192"/>
      <c r="Y13" s="192"/>
      <c r="Z13" s="192"/>
      <c r="AA13" s="192"/>
      <c r="AB13" s="192"/>
      <c r="AC13" s="192"/>
      <c r="AD13" s="192"/>
    </row>
    <row r="14" spans="1:30" ht="18.75" x14ac:dyDescent="0.3">
      <c r="A14" s="176" t="s">
        <v>0</v>
      </c>
      <c r="B14" s="194" t="s">
        <v>1</v>
      </c>
      <c r="C14" s="236">
        <v>11</v>
      </c>
      <c r="D14" s="192"/>
      <c r="E14" s="192"/>
      <c r="F14" s="192"/>
      <c r="G14" s="192"/>
      <c r="H14" s="192"/>
      <c r="I14" s="193"/>
      <c r="J14" s="193"/>
      <c r="K14" s="193"/>
      <c r="L14" s="192"/>
      <c r="M14" s="192"/>
      <c r="N14" s="192"/>
      <c r="O14" s="192"/>
      <c r="P14" s="192"/>
      <c r="Q14" s="192"/>
      <c r="R14" s="192"/>
      <c r="S14" s="192"/>
      <c r="T14" s="192"/>
      <c r="U14" s="192"/>
      <c r="V14" s="192"/>
      <c r="W14" s="192"/>
      <c r="X14" s="192"/>
      <c r="Y14" s="192"/>
      <c r="Z14" s="192"/>
      <c r="AA14" s="192"/>
      <c r="AB14" s="192"/>
      <c r="AC14" s="192"/>
      <c r="AD14" s="192"/>
    </row>
    <row r="15" spans="1:30" ht="18.75" x14ac:dyDescent="0.3">
      <c r="A15" s="178"/>
      <c r="B15" s="195" t="s">
        <v>64</v>
      </c>
      <c r="C15" s="237">
        <v>12</v>
      </c>
      <c r="D15" s="192"/>
      <c r="E15" s="192"/>
      <c r="F15" s="192"/>
      <c r="G15" s="192"/>
      <c r="H15" s="192"/>
      <c r="I15" s="193"/>
      <c r="J15" s="193"/>
      <c r="K15" s="193"/>
      <c r="L15" s="192"/>
      <c r="M15" s="192"/>
      <c r="N15" s="192"/>
      <c r="O15" s="192"/>
      <c r="P15" s="192"/>
      <c r="Q15" s="192"/>
      <c r="R15" s="192"/>
      <c r="S15" s="192"/>
      <c r="T15" s="192"/>
      <c r="U15" s="192"/>
      <c r="V15" s="192"/>
      <c r="W15" s="192"/>
      <c r="X15" s="192"/>
      <c r="Y15" s="192"/>
      <c r="Z15" s="192"/>
      <c r="AA15" s="192"/>
      <c r="AB15" s="192"/>
      <c r="AC15" s="192"/>
      <c r="AD15" s="192"/>
    </row>
    <row r="16" spans="1:30" ht="16.5" x14ac:dyDescent="0.3">
      <c r="A16" s="174"/>
      <c r="B16" s="195" t="s">
        <v>2</v>
      </c>
      <c r="C16" s="238">
        <v>15</v>
      </c>
      <c r="D16" s="192"/>
      <c r="E16" s="192"/>
      <c r="F16" s="192"/>
      <c r="G16" s="192"/>
      <c r="H16" s="192"/>
      <c r="I16" s="193"/>
      <c r="J16" s="193"/>
      <c r="K16" s="193"/>
      <c r="L16" s="192"/>
      <c r="M16" s="192"/>
      <c r="N16" s="192"/>
      <c r="O16" s="192"/>
      <c r="P16" s="192"/>
      <c r="Q16" s="192"/>
      <c r="R16" s="192"/>
      <c r="S16" s="192"/>
      <c r="T16" s="192"/>
      <c r="U16" s="192"/>
      <c r="V16" s="192"/>
      <c r="W16" s="192"/>
      <c r="X16" s="192"/>
      <c r="Y16" s="192"/>
      <c r="Z16" s="192"/>
      <c r="AA16" s="192"/>
      <c r="AB16" s="192"/>
      <c r="AC16" s="192"/>
      <c r="AD16" s="192"/>
    </row>
    <row r="17" spans="1:30" ht="16.5" x14ac:dyDescent="0.3">
      <c r="A17" s="196" t="s">
        <v>346</v>
      </c>
      <c r="B17" s="197" t="s">
        <v>307</v>
      </c>
      <c r="C17" s="155">
        <v>6.6</v>
      </c>
      <c r="D17" s="192"/>
      <c r="E17" s="192"/>
      <c r="F17" s="192"/>
      <c r="G17" s="192"/>
      <c r="H17" s="192"/>
      <c r="I17" s="193"/>
      <c r="J17" s="193"/>
      <c r="K17" s="193"/>
      <c r="L17" s="192"/>
      <c r="M17" s="192"/>
      <c r="N17" s="192"/>
      <c r="O17" s="192"/>
      <c r="P17" s="192"/>
      <c r="Q17" s="192"/>
      <c r="R17" s="192"/>
      <c r="S17" s="192"/>
      <c r="T17" s="192"/>
      <c r="U17" s="192"/>
      <c r="V17" s="192"/>
      <c r="W17" s="192"/>
      <c r="X17" s="192"/>
      <c r="Y17" s="192"/>
      <c r="Z17" s="192"/>
      <c r="AA17" s="192"/>
      <c r="AB17" s="192"/>
      <c r="AC17" s="192"/>
      <c r="AD17" s="192"/>
    </row>
    <row r="18" spans="1:30" x14ac:dyDescent="0.25">
      <c r="A18" s="196"/>
      <c r="B18" s="195" t="s">
        <v>300</v>
      </c>
      <c r="C18" s="239">
        <v>3</v>
      </c>
      <c r="D18" s="192"/>
      <c r="E18" s="192"/>
      <c r="F18" s="192"/>
      <c r="G18" s="192"/>
      <c r="H18" s="193"/>
      <c r="I18" s="193"/>
      <c r="J18" s="193"/>
      <c r="K18" s="192"/>
      <c r="L18" s="192"/>
      <c r="M18" s="192"/>
      <c r="N18" s="192"/>
      <c r="O18" s="192"/>
      <c r="P18" s="192"/>
      <c r="Q18" s="192"/>
      <c r="R18" s="192"/>
      <c r="S18" s="192"/>
      <c r="T18" s="192"/>
      <c r="U18" s="192"/>
      <c r="V18" s="192"/>
      <c r="W18" s="192"/>
      <c r="X18" s="192"/>
      <c r="Y18" s="192"/>
      <c r="Z18" s="192"/>
      <c r="AA18" s="192"/>
      <c r="AB18" s="192"/>
      <c r="AC18" s="192"/>
      <c r="AD18" s="192"/>
    </row>
    <row r="19" spans="1:30" x14ac:dyDescent="0.25">
      <c r="A19" s="174"/>
      <c r="B19" s="195" t="s">
        <v>3</v>
      </c>
      <c r="C19" s="240">
        <f>C17/C16</f>
        <v>0.44</v>
      </c>
      <c r="D19" s="192"/>
      <c r="E19" s="192"/>
      <c r="F19" s="192"/>
      <c r="G19" s="192"/>
      <c r="H19" s="192"/>
      <c r="I19" s="193"/>
      <c r="J19" s="193"/>
      <c r="K19" s="193"/>
      <c r="L19" s="192"/>
      <c r="M19" s="192"/>
      <c r="N19" s="192"/>
      <c r="O19" s="192"/>
      <c r="P19" s="192"/>
      <c r="Q19" s="192"/>
      <c r="R19" s="192"/>
      <c r="S19" s="192"/>
      <c r="T19" s="192"/>
      <c r="U19" s="192"/>
      <c r="V19" s="192"/>
      <c r="W19" s="192"/>
      <c r="X19" s="192"/>
      <c r="Y19" s="192"/>
      <c r="Z19" s="192"/>
      <c r="AA19" s="192"/>
      <c r="AB19" s="192"/>
      <c r="AC19" s="192"/>
      <c r="AD19" s="192"/>
    </row>
    <row r="20" spans="1:30" x14ac:dyDescent="0.25">
      <c r="A20" s="174"/>
      <c r="B20" s="198" t="s">
        <v>4</v>
      </c>
      <c r="C20" s="241">
        <f>C17/C14</f>
        <v>0.6</v>
      </c>
      <c r="D20" s="192"/>
      <c r="E20" s="192"/>
      <c r="F20" s="192"/>
      <c r="G20" s="192"/>
      <c r="H20" s="192"/>
      <c r="I20" s="193"/>
      <c r="J20" s="193"/>
      <c r="K20" s="193"/>
      <c r="L20" s="192"/>
      <c r="M20" s="192"/>
      <c r="N20" s="192"/>
      <c r="O20" s="192"/>
      <c r="P20" s="192"/>
      <c r="Q20" s="192"/>
      <c r="R20" s="192"/>
      <c r="S20" s="192"/>
      <c r="T20" s="192"/>
      <c r="U20" s="192"/>
      <c r="V20" s="192"/>
      <c r="W20" s="192"/>
      <c r="X20" s="192"/>
      <c r="Y20" s="192"/>
      <c r="Z20" s="192"/>
      <c r="AA20" s="192"/>
      <c r="AB20" s="192"/>
      <c r="AC20" s="192"/>
      <c r="AD20" s="192"/>
    </row>
    <row r="21" spans="1:30" ht="18" x14ac:dyDescent="0.25">
      <c r="A21" s="178" t="s">
        <v>350</v>
      </c>
      <c r="B21" s="199" t="s">
        <v>295</v>
      </c>
      <c r="C21" s="242">
        <v>7.4999999999999997E-2</v>
      </c>
      <c r="D21" s="192"/>
      <c r="E21" s="192"/>
      <c r="F21" s="192"/>
      <c r="G21" s="192"/>
      <c r="H21" s="192"/>
      <c r="I21" s="193"/>
      <c r="J21" s="193"/>
      <c r="K21" s="193"/>
      <c r="L21" s="192"/>
      <c r="M21" s="192"/>
      <c r="N21" s="192"/>
      <c r="O21" s="192"/>
      <c r="P21" s="192"/>
      <c r="Q21" s="192"/>
      <c r="R21" s="192"/>
      <c r="S21" s="192"/>
      <c r="T21" s="192"/>
      <c r="U21" s="192"/>
      <c r="V21" s="192"/>
      <c r="W21" s="192"/>
      <c r="X21" s="192"/>
      <c r="Y21" s="192"/>
      <c r="Z21" s="192"/>
      <c r="AA21" s="192"/>
      <c r="AB21" s="192"/>
      <c r="AC21" s="192"/>
      <c r="AD21" s="192"/>
    </row>
    <row r="22" spans="1:30" ht="18" x14ac:dyDescent="0.25">
      <c r="A22" s="178" t="s">
        <v>360</v>
      </c>
      <c r="B22" s="200"/>
      <c r="C22" s="243"/>
      <c r="D22" s="192"/>
      <c r="E22" s="192"/>
      <c r="F22" s="192"/>
      <c r="G22" s="192"/>
      <c r="H22" s="192"/>
      <c r="I22" s="193"/>
      <c r="J22" s="193"/>
      <c r="K22" s="193"/>
      <c r="L22" s="192"/>
      <c r="M22" s="192"/>
      <c r="N22" s="192"/>
      <c r="O22" s="192"/>
      <c r="P22" s="192"/>
      <c r="Q22" s="192"/>
      <c r="R22" s="192"/>
      <c r="S22" s="192"/>
      <c r="T22" s="192"/>
      <c r="U22" s="192"/>
      <c r="V22" s="192"/>
      <c r="W22" s="192"/>
      <c r="X22" s="192"/>
      <c r="Y22" s="192"/>
      <c r="Z22" s="192"/>
      <c r="AA22" s="192"/>
      <c r="AB22" s="192"/>
      <c r="AC22" s="192"/>
      <c r="AD22" s="192"/>
    </row>
    <row r="23" spans="1:30" ht="18" x14ac:dyDescent="0.25">
      <c r="A23" s="202" t="s">
        <v>357</v>
      </c>
      <c r="B23" s="203" t="s">
        <v>317</v>
      </c>
      <c r="C23" s="244">
        <v>1.8</v>
      </c>
      <c r="D23" s="192"/>
      <c r="E23" s="192"/>
      <c r="F23" s="192"/>
      <c r="G23" s="192"/>
      <c r="H23" s="192"/>
      <c r="I23" s="193"/>
      <c r="J23" s="193"/>
      <c r="K23" s="193"/>
      <c r="L23" s="192"/>
      <c r="M23" s="192"/>
      <c r="N23" s="192"/>
      <c r="O23" s="192"/>
      <c r="P23" s="192"/>
      <c r="Q23" s="192"/>
      <c r="R23" s="192"/>
      <c r="S23" s="192"/>
      <c r="T23" s="192"/>
      <c r="U23" s="192"/>
      <c r="V23" s="192"/>
      <c r="W23" s="192"/>
      <c r="X23" s="192"/>
      <c r="Y23" s="192"/>
      <c r="Z23" s="192"/>
      <c r="AA23" s="192"/>
      <c r="AB23" s="192"/>
      <c r="AC23" s="192"/>
      <c r="AD23" s="192"/>
    </row>
    <row r="24" spans="1:30" ht="18" x14ac:dyDescent="0.25">
      <c r="A24" s="202"/>
      <c r="B24" s="203" t="s">
        <v>321</v>
      </c>
      <c r="C24" s="245">
        <f>((1/C23)-0.02616)/0.0086</f>
        <v>61.557622739018093</v>
      </c>
      <c r="D24" s="192"/>
      <c r="E24" s="192"/>
      <c r="F24" s="192"/>
      <c r="G24" s="192"/>
      <c r="H24" s="192"/>
      <c r="I24" s="193"/>
      <c r="J24" s="193"/>
      <c r="K24" s="193"/>
      <c r="L24" s="192"/>
      <c r="M24" s="192"/>
      <c r="N24" s="192"/>
      <c r="O24" s="192"/>
      <c r="P24" s="192"/>
      <c r="Q24" s="192"/>
      <c r="R24" s="192"/>
      <c r="S24" s="192"/>
      <c r="T24" s="192"/>
      <c r="U24" s="192"/>
      <c r="V24" s="192"/>
      <c r="W24" s="192"/>
      <c r="X24" s="192"/>
      <c r="Y24" s="192"/>
      <c r="Z24" s="192"/>
      <c r="AA24" s="192"/>
      <c r="AB24" s="192"/>
      <c r="AC24" s="192"/>
      <c r="AD24" s="192"/>
    </row>
    <row r="25" spans="1:30" ht="18" x14ac:dyDescent="0.25">
      <c r="A25" s="249" t="s">
        <v>358</v>
      </c>
      <c r="B25" s="195" t="s">
        <v>318</v>
      </c>
      <c r="C25" s="246">
        <v>300</v>
      </c>
      <c r="D25" s="192"/>
      <c r="E25" s="192"/>
      <c r="F25" s="192"/>
      <c r="G25" s="192"/>
      <c r="H25" s="192"/>
      <c r="I25" s="193"/>
      <c r="J25" s="193"/>
      <c r="K25" s="193"/>
      <c r="L25" s="192"/>
      <c r="M25" s="192"/>
      <c r="N25" s="192"/>
      <c r="O25" s="192"/>
      <c r="P25" s="192"/>
      <c r="Q25" s="192"/>
      <c r="R25" s="192"/>
      <c r="S25" s="192"/>
      <c r="T25" s="192"/>
      <c r="U25" s="192"/>
      <c r="V25" s="192"/>
      <c r="W25" s="192"/>
      <c r="X25" s="192"/>
      <c r="Y25" s="192"/>
      <c r="Z25" s="192"/>
      <c r="AA25" s="192"/>
      <c r="AB25" s="192"/>
      <c r="AC25" s="192"/>
      <c r="AD25" s="192"/>
    </row>
    <row r="26" spans="1:30" ht="18" x14ac:dyDescent="0.25">
      <c r="A26" s="202"/>
      <c r="B26" s="195" t="s">
        <v>319</v>
      </c>
      <c r="C26" s="247">
        <f>((1/C25)-0.0000138)/0.000045</f>
        <v>73.767407407407404</v>
      </c>
      <c r="D26" s="192"/>
      <c r="E26" s="192"/>
      <c r="F26" s="235"/>
      <c r="G26" s="192"/>
      <c r="H26" s="192"/>
      <c r="I26" s="193"/>
      <c r="J26" s="193"/>
      <c r="K26" s="193"/>
      <c r="L26" s="192"/>
      <c r="M26" s="192"/>
      <c r="N26" s="192"/>
      <c r="O26" s="192"/>
      <c r="P26" s="192"/>
      <c r="Q26" s="192"/>
      <c r="R26" s="192"/>
      <c r="S26" s="192"/>
      <c r="T26" s="192"/>
      <c r="U26" s="192"/>
      <c r="V26" s="192"/>
      <c r="W26" s="192"/>
      <c r="X26" s="192"/>
      <c r="Y26" s="192"/>
      <c r="Z26" s="192"/>
      <c r="AA26" s="192"/>
      <c r="AB26" s="192"/>
      <c r="AC26" s="192"/>
      <c r="AD26" s="192"/>
    </row>
    <row r="27" spans="1:30" ht="18.75" x14ac:dyDescent="0.3">
      <c r="A27" s="293" t="s">
        <v>359</v>
      </c>
      <c r="B27" s="198" t="s">
        <v>320</v>
      </c>
      <c r="C27" s="286">
        <v>440000</v>
      </c>
      <c r="D27" s="192"/>
      <c r="E27" s="235"/>
      <c r="F27" s="192"/>
      <c r="G27" s="192"/>
      <c r="H27" s="192"/>
      <c r="I27" s="193"/>
      <c r="J27" s="193"/>
      <c r="K27" s="193"/>
      <c r="L27" s="192"/>
      <c r="M27" s="192"/>
      <c r="N27" s="192"/>
      <c r="O27" s="192"/>
      <c r="P27" s="192"/>
      <c r="Q27" s="192"/>
      <c r="R27" s="192"/>
      <c r="S27" s="192"/>
      <c r="T27" s="192"/>
      <c r="U27" s="192"/>
      <c r="V27" s="192"/>
      <c r="W27" s="192"/>
      <c r="X27" s="192"/>
      <c r="Y27" s="192"/>
      <c r="Z27" s="192"/>
      <c r="AA27" s="192"/>
      <c r="AB27" s="192"/>
      <c r="AC27" s="192"/>
      <c r="AD27" s="192"/>
    </row>
    <row r="28" spans="1:30" ht="21" x14ac:dyDescent="0.35">
      <c r="A28" s="292" t="s">
        <v>341</v>
      </c>
      <c r="B28" s="195" t="s">
        <v>82</v>
      </c>
      <c r="C28" s="288">
        <v>10000</v>
      </c>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row>
    <row r="29" spans="1:30" ht="18.75" x14ac:dyDescent="0.3">
      <c r="A29" s="249"/>
      <c r="B29" s="195" t="s">
        <v>340</v>
      </c>
      <c r="C29" s="289">
        <f>20/(2*C28*0.12)</f>
        <v>8.3333333333333332E-3</v>
      </c>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row>
    <row r="30" spans="1:30" ht="19.5" thickBot="1" x14ac:dyDescent="0.35">
      <c r="A30" s="249"/>
      <c r="B30" s="195" t="s">
        <v>344</v>
      </c>
      <c r="C30" s="282">
        <v>8.2000000000000007E-3</v>
      </c>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row>
    <row r="31" spans="1:30" ht="18.75" x14ac:dyDescent="0.3">
      <c r="A31" s="176" t="s">
        <v>47</v>
      </c>
      <c r="B31" s="194" t="s">
        <v>351</v>
      </c>
      <c r="C31" s="287">
        <f>(C17/(C27*(0.3*C18)))*1000000</f>
        <v>16.666666666666668</v>
      </c>
      <c r="D31" s="192"/>
      <c r="E31" s="192"/>
      <c r="F31" s="192"/>
      <c r="G31" s="192"/>
      <c r="H31" s="192"/>
      <c r="I31" s="193"/>
      <c r="J31" s="193"/>
      <c r="K31" s="193"/>
      <c r="L31" s="192"/>
      <c r="M31" s="192"/>
      <c r="N31" s="192"/>
      <c r="O31" s="192"/>
      <c r="P31" s="192"/>
      <c r="Q31" s="192"/>
      <c r="R31" s="192"/>
      <c r="S31" s="192"/>
      <c r="T31" s="192"/>
      <c r="U31" s="192"/>
      <c r="V31" s="192"/>
      <c r="W31" s="192"/>
      <c r="X31" s="192"/>
      <c r="Y31" s="192"/>
      <c r="Z31" s="192"/>
      <c r="AA31" s="192"/>
      <c r="AB31" s="192"/>
      <c r="AC31" s="192"/>
      <c r="AD31" s="192"/>
    </row>
    <row r="32" spans="1:30" ht="16.5" x14ac:dyDescent="0.3">
      <c r="A32" s="174"/>
      <c r="B32" s="195" t="s">
        <v>352</v>
      </c>
      <c r="C32" s="259">
        <v>6.8</v>
      </c>
      <c r="D32" s="192"/>
      <c r="E32" s="192"/>
      <c r="F32" s="192"/>
      <c r="G32" s="192"/>
      <c r="H32" s="192"/>
      <c r="I32" s="193"/>
      <c r="J32" s="193"/>
      <c r="K32" s="193"/>
      <c r="L32" s="192"/>
      <c r="M32" s="192"/>
      <c r="N32" s="192"/>
      <c r="O32" s="192"/>
      <c r="P32" s="192"/>
      <c r="Q32" s="192"/>
      <c r="R32" s="192"/>
      <c r="S32" s="192"/>
      <c r="T32" s="192"/>
      <c r="U32" s="192"/>
      <c r="V32" s="192"/>
      <c r="W32" s="192"/>
      <c r="X32" s="192"/>
      <c r="Y32" s="192"/>
      <c r="Z32" s="192"/>
      <c r="AA32" s="192"/>
      <c r="AB32" s="192"/>
      <c r="AC32" s="192"/>
      <c r="AD32" s="192"/>
    </row>
    <row r="33" spans="1:30" ht="16.5" thickBot="1" x14ac:dyDescent="0.3">
      <c r="A33" s="204"/>
      <c r="B33" s="205" t="s">
        <v>347</v>
      </c>
      <c r="C33" s="260">
        <v>1.1299999999999999E-2</v>
      </c>
      <c r="D33" s="192"/>
      <c r="E33" s="192"/>
      <c r="F33" s="192"/>
      <c r="G33" s="192"/>
      <c r="H33" s="192"/>
      <c r="I33" s="193"/>
      <c r="J33" s="193"/>
      <c r="K33" s="193"/>
      <c r="L33" s="192"/>
      <c r="M33" s="192"/>
      <c r="N33" s="192"/>
      <c r="O33" s="192"/>
      <c r="P33" s="192"/>
      <c r="Q33" s="192"/>
      <c r="R33" s="192"/>
      <c r="S33" s="192"/>
      <c r="T33" s="192"/>
      <c r="U33" s="192"/>
      <c r="V33" s="192"/>
      <c r="W33" s="192"/>
      <c r="X33" s="192"/>
      <c r="Y33" s="192"/>
      <c r="Z33" s="192"/>
      <c r="AA33" s="192"/>
      <c r="AB33" s="192"/>
      <c r="AC33" s="192"/>
      <c r="AD33" s="192"/>
    </row>
    <row r="34" spans="1:30" ht="16.5" thickBot="1" x14ac:dyDescent="0.3">
      <c r="A34" s="177"/>
      <c r="B34" s="206"/>
      <c r="C34" s="177"/>
      <c r="D34" s="192"/>
      <c r="E34" s="192"/>
      <c r="F34" s="192"/>
      <c r="G34" s="192"/>
      <c r="H34" s="192"/>
      <c r="I34" s="193"/>
      <c r="J34" s="193"/>
      <c r="K34" s="193"/>
      <c r="L34" s="192"/>
      <c r="M34" s="192"/>
      <c r="N34" s="192"/>
      <c r="O34" s="192"/>
      <c r="P34" s="192"/>
      <c r="Q34" s="192"/>
      <c r="R34" s="192"/>
      <c r="S34" s="192"/>
      <c r="T34" s="192"/>
      <c r="U34" s="192"/>
      <c r="V34" s="192"/>
      <c r="W34" s="192"/>
      <c r="X34" s="192"/>
      <c r="Y34" s="192"/>
      <c r="Z34" s="192"/>
      <c r="AA34" s="192"/>
      <c r="AB34" s="192"/>
      <c r="AC34" s="192"/>
      <c r="AD34" s="192"/>
    </row>
    <row r="35" spans="1:30" ht="18" x14ac:dyDescent="0.25">
      <c r="A35" s="176" t="s">
        <v>48</v>
      </c>
      <c r="B35" s="194" t="s">
        <v>5</v>
      </c>
      <c r="C35" s="261">
        <v>0.2</v>
      </c>
      <c r="D35" s="192"/>
      <c r="E35" s="192"/>
      <c r="F35" s="192"/>
      <c r="G35" s="192"/>
      <c r="H35" s="192"/>
      <c r="I35" s="193"/>
      <c r="J35" s="193"/>
      <c r="K35" s="193"/>
      <c r="L35" s="192"/>
      <c r="M35" s="192"/>
      <c r="N35" s="192"/>
      <c r="O35" s="192"/>
      <c r="P35" s="192"/>
      <c r="Q35" s="192"/>
      <c r="R35" s="192"/>
      <c r="S35" s="192"/>
      <c r="T35" s="192"/>
      <c r="U35" s="192"/>
      <c r="V35" s="192"/>
      <c r="W35" s="192"/>
      <c r="X35" s="192"/>
      <c r="Y35" s="192"/>
      <c r="Z35" s="192"/>
      <c r="AA35" s="192"/>
      <c r="AB35" s="192"/>
      <c r="AC35" s="192"/>
      <c r="AD35" s="192"/>
    </row>
    <row r="36" spans="1:30" x14ac:dyDescent="0.25">
      <c r="A36" s="174"/>
      <c r="B36" s="207" t="s">
        <v>6</v>
      </c>
      <c r="C36" s="262">
        <f>(1+C35)*C18</f>
        <v>3.5999999999999996</v>
      </c>
      <c r="D36" s="192"/>
      <c r="E36" s="192"/>
      <c r="F36" s="192"/>
      <c r="G36" s="192"/>
      <c r="H36" s="192"/>
      <c r="I36" s="193"/>
      <c r="J36" s="193"/>
      <c r="K36" s="193"/>
      <c r="L36" s="192"/>
      <c r="M36" s="192"/>
      <c r="N36" s="192"/>
      <c r="O36" s="192"/>
      <c r="P36" s="192"/>
      <c r="Q36" s="192"/>
      <c r="R36" s="192"/>
      <c r="S36" s="192"/>
      <c r="T36" s="192"/>
      <c r="U36" s="192"/>
      <c r="V36" s="192"/>
      <c r="W36" s="192"/>
      <c r="X36" s="192"/>
      <c r="Y36" s="192"/>
      <c r="Z36" s="192"/>
      <c r="AA36" s="192"/>
      <c r="AB36" s="192"/>
      <c r="AC36" s="192"/>
      <c r="AD36" s="192"/>
    </row>
    <row r="37" spans="1:30" x14ac:dyDescent="0.25">
      <c r="A37" s="174"/>
      <c r="B37" s="207" t="s">
        <v>296</v>
      </c>
      <c r="C37" s="263">
        <f>((C16-C17)/(C32*0.000001))*(C19/C27)</f>
        <v>1.2352941176470589</v>
      </c>
      <c r="D37" s="192"/>
      <c r="E37" s="192"/>
      <c r="F37" s="192"/>
      <c r="G37" s="192"/>
      <c r="H37" s="192"/>
      <c r="I37" s="193"/>
      <c r="J37" s="193"/>
      <c r="K37" s="193"/>
      <c r="L37" s="192"/>
      <c r="M37" s="192"/>
      <c r="N37" s="192"/>
      <c r="O37" s="192"/>
      <c r="P37" s="192"/>
      <c r="Q37" s="192"/>
      <c r="R37" s="192"/>
      <c r="S37" s="192"/>
      <c r="T37" s="192"/>
      <c r="U37" s="192"/>
      <c r="V37" s="192"/>
      <c r="W37" s="192"/>
      <c r="X37" s="192"/>
      <c r="Y37" s="192"/>
      <c r="Z37" s="192"/>
      <c r="AA37" s="192"/>
      <c r="AB37" s="192"/>
      <c r="AC37" s="192"/>
      <c r="AD37" s="192"/>
    </row>
    <row r="38" spans="1:30" x14ac:dyDescent="0.25">
      <c r="A38" s="174"/>
      <c r="B38" s="207" t="s">
        <v>297</v>
      </c>
      <c r="C38" s="263">
        <f>C18+(C37/2)</f>
        <v>3.6176470588235294</v>
      </c>
      <c r="D38" s="192"/>
      <c r="E38" s="192"/>
      <c r="F38" s="192"/>
      <c r="G38" s="192"/>
      <c r="H38" s="192"/>
      <c r="I38" s="193"/>
      <c r="J38" s="193"/>
      <c r="K38" s="193"/>
      <c r="L38" s="192"/>
      <c r="M38" s="192"/>
      <c r="N38" s="192"/>
      <c r="O38" s="192"/>
      <c r="P38" s="192"/>
      <c r="Q38" s="192"/>
      <c r="R38" s="192"/>
      <c r="S38" s="192"/>
      <c r="T38" s="192"/>
      <c r="U38" s="192"/>
      <c r="V38" s="192"/>
      <c r="W38" s="192"/>
      <c r="X38" s="192"/>
      <c r="Y38" s="192"/>
      <c r="Z38" s="192"/>
      <c r="AA38" s="192"/>
      <c r="AB38" s="192"/>
      <c r="AC38" s="192"/>
      <c r="AD38" s="192"/>
    </row>
    <row r="39" spans="1:30" ht="16.5" x14ac:dyDescent="0.3">
      <c r="A39" s="174"/>
      <c r="B39" s="195" t="s">
        <v>301</v>
      </c>
      <c r="C39" s="264">
        <f>C21/(C38*1.2)</f>
        <v>1.7276422764227643E-2</v>
      </c>
      <c r="D39" s="192"/>
      <c r="E39" s="192"/>
      <c r="F39" s="192"/>
      <c r="G39" s="192"/>
      <c r="H39" s="192"/>
      <c r="I39" s="193"/>
      <c r="J39" s="193"/>
      <c r="K39" s="193"/>
      <c r="L39" s="192"/>
      <c r="M39" s="192"/>
      <c r="N39" s="192"/>
      <c r="O39" s="192"/>
      <c r="P39" s="192"/>
      <c r="Q39" s="192"/>
      <c r="R39" s="192"/>
      <c r="S39" s="192"/>
      <c r="T39" s="192"/>
      <c r="U39" s="192"/>
      <c r="V39" s="192"/>
      <c r="W39" s="192"/>
      <c r="X39" s="192"/>
      <c r="Y39" s="192"/>
      <c r="Z39" s="192"/>
      <c r="AA39" s="192"/>
      <c r="AB39" s="192"/>
      <c r="AC39" s="192"/>
      <c r="AD39" s="192"/>
    </row>
    <row r="40" spans="1:30" x14ac:dyDescent="0.25">
      <c r="A40" s="174"/>
      <c r="B40" s="195" t="s">
        <v>332</v>
      </c>
      <c r="C40" s="265">
        <v>0.01</v>
      </c>
      <c r="D40" s="192"/>
      <c r="E40" s="192"/>
      <c r="F40" s="192"/>
      <c r="G40" s="192"/>
      <c r="H40" s="192"/>
      <c r="I40" s="193"/>
      <c r="J40" s="193"/>
      <c r="K40" s="193"/>
      <c r="L40" s="192"/>
      <c r="M40" s="192"/>
      <c r="N40" s="192"/>
      <c r="O40" s="192"/>
      <c r="P40" s="192"/>
      <c r="Q40" s="192"/>
      <c r="R40" s="192"/>
      <c r="S40" s="192"/>
      <c r="T40" s="192"/>
      <c r="U40" s="192"/>
      <c r="V40" s="192"/>
      <c r="W40" s="192"/>
      <c r="X40" s="192"/>
      <c r="Y40" s="192"/>
      <c r="Z40" s="192"/>
      <c r="AA40" s="192"/>
      <c r="AB40" s="192"/>
      <c r="AC40" s="192"/>
      <c r="AD40" s="192"/>
    </row>
    <row r="41" spans="1:30" ht="16.5" thickBot="1" x14ac:dyDescent="0.3">
      <c r="A41" s="204"/>
      <c r="B41" s="205" t="s">
        <v>7</v>
      </c>
      <c r="C41" s="266">
        <f>(C21/C40)+(C16*0.00000004)/(C32*0.000001)</f>
        <v>7.5882352941176467</v>
      </c>
      <c r="D41" s="192"/>
      <c r="E41" s="208"/>
      <c r="F41" s="192"/>
      <c r="G41" s="192"/>
      <c r="H41" s="192"/>
      <c r="I41" s="193"/>
      <c r="J41" s="193"/>
      <c r="K41" s="193"/>
      <c r="L41" s="192"/>
      <c r="M41" s="192"/>
      <c r="N41" s="192"/>
      <c r="O41" s="192"/>
      <c r="P41" s="192"/>
      <c r="Q41" s="192"/>
      <c r="R41" s="192"/>
      <c r="S41" s="192"/>
      <c r="T41" s="192"/>
      <c r="U41" s="192"/>
      <c r="V41" s="192"/>
      <c r="W41" s="192"/>
      <c r="X41" s="192"/>
      <c r="Y41" s="192"/>
      <c r="Z41" s="192"/>
      <c r="AA41" s="192"/>
      <c r="AB41" s="192"/>
      <c r="AC41" s="192"/>
      <c r="AD41" s="192"/>
    </row>
    <row r="42" spans="1:30" x14ac:dyDescent="0.25">
      <c r="A42" s="177"/>
      <c r="B42" s="177"/>
      <c r="C42" s="177"/>
      <c r="D42" s="192"/>
      <c r="E42" s="192"/>
      <c r="F42" s="192"/>
      <c r="G42" s="192"/>
      <c r="H42" s="192"/>
      <c r="I42" s="193"/>
      <c r="J42" s="193"/>
      <c r="K42" s="193"/>
      <c r="L42" s="192"/>
      <c r="M42" s="192"/>
      <c r="N42" s="192"/>
      <c r="O42" s="192"/>
      <c r="P42" s="192"/>
      <c r="Q42" s="192"/>
      <c r="R42" s="192"/>
      <c r="S42" s="192"/>
      <c r="T42" s="192"/>
      <c r="U42" s="192"/>
      <c r="V42" s="192"/>
      <c r="W42" s="192"/>
      <c r="X42" s="192"/>
      <c r="Y42" s="192"/>
      <c r="Z42" s="192"/>
      <c r="AA42" s="192"/>
      <c r="AB42" s="192"/>
      <c r="AC42" s="192"/>
      <c r="AD42" s="192"/>
    </row>
    <row r="43" spans="1:30" x14ac:dyDescent="0.25">
      <c r="A43" s="177"/>
      <c r="B43" s="177"/>
      <c r="C43" s="177"/>
      <c r="D43" s="192"/>
      <c r="E43" s="192"/>
      <c r="F43" s="192"/>
      <c r="G43" s="192"/>
      <c r="H43" s="192"/>
      <c r="I43" s="193"/>
      <c r="J43" s="193"/>
      <c r="K43" s="193"/>
      <c r="L43" s="192"/>
      <c r="M43" s="192"/>
      <c r="N43" s="192"/>
      <c r="O43" s="192"/>
      <c r="P43" s="192"/>
      <c r="Q43" s="192"/>
      <c r="R43" s="192"/>
      <c r="S43" s="192"/>
      <c r="T43" s="192"/>
      <c r="U43" s="192"/>
      <c r="V43" s="192"/>
      <c r="W43" s="192"/>
      <c r="X43" s="192"/>
      <c r="Y43" s="192"/>
      <c r="Z43" s="192"/>
      <c r="AA43" s="192"/>
      <c r="AB43" s="192"/>
      <c r="AC43" s="192"/>
      <c r="AD43" s="192"/>
    </row>
    <row r="44" spans="1:30" ht="16.5" thickBot="1" x14ac:dyDescent="0.3">
      <c r="A44" s="177"/>
      <c r="B44" s="177"/>
      <c r="C44" s="177"/>
      <c r="D44" s="192"/>
      <c r="E44" s="192"/>
      <c r="F44" s="192"/>
      <c r="G44" s="192"/>
      <c r="H44" s="192"/>
      <c r="I44" s="193"/>
      <c r="J44" s="193"/>
      <c r="K44" s="193"/>
      <c r="L44" s="192"/>
      <c r="M44" s="192"/>
      <c r="N44" s="192"/>
      <c r="O44" s="192"/>
      <c r="P44" s="192"/>
      <c r="Q44" s="192"/>
      <c r="R44" s="192"/>
      <c r="S44" s="192"/>
      <c r="T44" s="192"/>
      <c r="U44" s="192"/>
      <c r="V44" s="192"/>
      <c r="W44" s="192"/>
      <c r="X44" s="192"/>
      <c r="Y44" s="192"/>
      <c r="Z44" s="192"/>
      <c r="AA44" s="192"/>
      <c r="AB44" s="192"/>
      <c r="AC44" s="192"/>
      <c r="AD44" s="192"/>
    </row>
    <row r="45" spans="1:30" ht="18" x14ac:dyDescent="0.25">
      <c r="A45" s="176" t="s">
        <v>49</v>
      </c>
      <c r="B45" s="209" t="s">
        <v>58</v>
      </c>
      <c r="C45" s="267">
        <v>5</v>
      </c>
      <c r="D45" s="192"/>
      <c r="E45" s="192"/>
      <c r="F45" s="192"/>
      <c r="G45" s="192"/>
      <c r="H45" s="192"/>
      <c r="I45" s="193"/>
      <c r="J45" s="193"/>
      <c r="K45" s="193"/>
      <c r="L45" s="192"/>
      <c r="M45" s="192"/>
      <c r="N45" s="192"/>
      <c r="O45" s="192"/>
      <c r="P45" s="192"/>
      <c r="Q45" s="192"/>
      <c r="R45" s="192"/>
      <c r="S45" s="192"/>
      <c r="T45" s="192"/>
      <c r="U45" s="192"/>
      <c r="V45" s="192"/>
      <c r="W45" s="192"/>
      <c r="X45" s="192"/>
      <c r="Y45" s="192"/>
      <c r="Z45" s="192"/>
      <c r="AA45" s="192"/>
      <c r="AB45" s="192"/>
      <c r="AC45" s="192"/>
      <c r="AD45" s="192"/>
    </row>
    <row r="46" spans="1:30" ht="16.5" x14ac:dyDescent="0.3">
      <c r="A46" s="210"/>
      <c r="B46" s="195" t="s">
        <v>8</v>
      </c>
      <c r="C46" s="251">
        <f>(((C32*0.000001)*C45^2)/(2*(C17*0.01)*C19*(C16-C17)))*1000000</f>
        <v>348.45205299750751</v>
      </c>
      <c r="D46" s="192"/>
      <c r="E46" s="192"/>
      <c r="F46" s="192"/>
      <c r="G46" s="192"/>
      <c r="H46" s="192"/>
      <c r="I46" s="193"/>
      <c r="J46" s="193"/>
      <c r="K46" s="193"/>
      <c r="L46" s="192"/>
      <c r="M46" s="192"/>
      <c r="N46" s="192"/>
      <c r="O46" s="192"/>
      <c r="P46" s="192"/>
      <c r="Q46" s="192"/>
      <c r="R46" s="192"/>
      <c r="S46" s="192"/>
      <c r="T46" s="192"/>
      <c r="U46" s="192"/>
      <c r="V46" s="192"/>
      <c r="W46" s="192"/>
      <c r="X46" s="192"/>
      <c r="Y46" s="192"/>
      <c r="Z46" s="192"/>
      <c r="AA46" s="192"/>
      <c r="AB46" s="192"/>
      <c r="AC46" s="192"/>
      <c r="AD46" s="192"/>
    </row>
    <row r="47" spans="1:30" ht="16.5" x14ac:dyDescent="0.3">
      <c r="A47" s="210"/>
      <c r="B47" s="195" t="s">
        <v>330</v>
      </c>
      <c r="C47" s="268">
        <v>82</v>
      </c>
      <c r="D47" s="192"/>
      <c r="E47" s="192"/>
      <c r="F47" s="192"/>
      <c r="G47" s="192"/>
      <c r="H47" s="192"/>
      <c r="I47" s="193"/>
      <c r="J47" s="193"/>
      <c r="K47" s="193"/>
      <c r="L47" s="192"/>
      <c r="M47" s="192"/>
      <c r="N47" s="192"/>
      <c r="O47" s="192"/>
      <c r="P47" s="192"/>
      <c r="Q47" s="192"/>
      <c r="R47" s="192"/>
      <c r="S47" s="192"/>
      <c r="T47" s="192"/>
      <c r="U47" s="192"/>
      <c r="V47" s="192"/>
      <c r="W47" s="192"/>
      <c r="X47" s="192"/>
      <c r="Y47" s="192"/>
      <c r="Z47" s="192"/>
      <c r="AA47" s="192"/>
      <c r="AB47" s="192"/>
      <c r="AC47" s="192"/>
      <c r="AD47" s="192"/>
    </row>
    <row r="48" spans="1:30" ht="16.5" x14ac:dyDescent="0.3">
      <c r="A48" s="174"/>
      <c r="B48" s="195" t="s">
        <v>331</v>
      </c>
      <c r="C48" s="252">
        <v>47</v>
      </c>
      <c r="D48" s="192"/>
      <c r="E48" s="192"/>
      <c r="F48" s="192"/>
      <c r="G48" s="192"/>
      <c r="H48" s="192"/>
      <c r="I48" s="193"/>
      <c r="J48" s="193"/>
      <c r="K48" s="193"/>
      <c r="L48" s="192"/>
      <c r="M48" s="192"/>
      <c r="N48" s="192"/>
      <c r="O48" s="192"/>
      <c r="P48" s="192"/>
      <c r="Q48" s="192"/>
      <c r="R48" s="192"/>
      <c r="S48" s="192"/>
      <c r="T48" s="192"/>
      <c r="U48" s="192"/>
      <c r="V48" s="192"/>
      <c r="W48" s="192"/>
      <c r="X48" s="192"/>
      <c r="Y48" s="192"/>
      <c r="Z48" s="192"/>
      <c r="AA48" s="192"/>
      <c r="AB48" s="192"/>
      <c r="AC48" s="192"/>
      <c r="AD48" s="192"/>
    </row>
    <row r="49" spans="1:30" x14ac:dyDescent="0.25">
      <c r="A49" s="174"/>
      <c r="B49" s="207" t="s">
        <v>9</v>
      </c>
      <c r="C49" s="269">
        <v>0.03</v>
      </c>
      <c r="D49" s="192"/>
      <c r="E49" s="192"/>
      <c r="F49" s="192"/>
      <c r="G49" s="192"/>
      <c r="H49" s="192"/>
      <c r="I49" s="193"/>
      <c r="J49" s="193"/>
      <c r="K49" s="193"/>
      <c r="L49" s="192"/>
      <c r="M49" s="192"/>
      <c r="N49" s="192"/>
      <c r="O49" s="192"/>
      <c r="P49" s="192"/>
      <c r="Q49" s="192"/>
      <c r="R49" s="192"/>
      <c r="S49" s="192"/>
      <c r="T49" s="192"/>
      <c r="U49" s="192"/>
      <c r="V49" s="192"/>
      <c r="W49" s="192"/>
      <c r="X49" s="192"/>
      <c r="Y49" s="192"/>
      <c r="Z49" s="192"/>
      <c r="AA49" s="192"/>
      <c r="AB49" s="192"/>
      <c r="AC49" s="192"/>
      <c r="AD49" s="192"/>
    </row>
    <row r="50" spans="1:30" ht="16.5" x14ac:dyDescent="0.3">
      <c r="A50" s="174"/>
      <c r="B50" s="211" t="s">
        <v>59</v>
      </c>
      <c r="C50" s="253">
        <f>C47+C48</f>
        <v>129</v>
      </c>
      <c r="D50" s="192"/>
      <c r="E50" s="192"/>
      <c r="F50" s="192"/>
      <c r="G50" s="193"/>
      <c r="H50" s="193"/>
      <c r="I50" s="193"/>
      <c r="J50" s="192"/>
      <c r="K50" s="192"/>
      <c r="L50" s="192"/>
      <c r="M50" s="192"/>
      <c r="N50" s="192"/>
      <c r="O50" s="192"/>
      <c r="P50" s="192"/>
      <c r="Q50" s="192"/>
      <c r="R50" s="192"/>
      <c r="S50" s="192"/>
      <c r="T50" s="192"/>
      <c r="U50" s="192"/>
      <c r="V50" s="192"/>
      <c r="W50" s="192"/>
      <c r="X50" s="192"/>
      <c r="Y50" s="192"/>
      <c r="Z50" s="192"/>
      <c r="AA50" s="192"/>
      <c r="AB50" s="192"/>
      <c r="AC50" s="192"/>
      <c r="AD50" s="192"/>
    </row>
    <row r="51" spans="1:30" ht="16.5" thickBot="1" x14ac:dyDescent="0.3">
      <c r="A51" s="204"/>
      <c r="B51" s="205" t="s">
        <v>10</v>
      </c>
      <c r="C51" s="270">
        <f>C37*SQRT(C49^2+((1/(8*C27*C46))^2))</f>
        <v>3.7058823529411776E-2</v>
      </c>
      <c r="D51" s="192"/>
      <c r="E51" s="192"/>
      <c r="F51" s="192"/>
      <c r="G51" s="192"/>
      <c r="H51" s="192"/>
      <c r="I51" s="193"/>
      <c r="J51" s="193"/>
      <c r="K51" s="193"/>
      <c r="L51" s="192"/>
      <c r="M51" s="192"/>
      <c r="N51" s="192"/>
      <c r="O51" s="192"/>
      <c r="P51" s="192"/>
      <c r="Q51" s="192"/>
      <c r="R51" s="192"/>
      <c r="S51" s="192"/>
      <c r="T51" s="192"/>
      <c r="U51" s="192"/>
      <c r="V51" s="192"/>
      <c r="W51" s="192"/>
      <c r="X51" s="192"/>
      <c r="Y51" s="192"/>
      <c r="Z51" s="192"/>
      <c r="AA51" s="192"/>
      <c r="AB51" s="192"/>
      <c r="AC51" s="192"/>
      <c r="AD51" s="192"/>
    </row>
    <row r="52" spans="1:30" x14ac:dyDescent="0.25">
      <c r="A52" s="177"/>
      <c r="B52" s="177"/>
      <c r="C52" s="212"/>
      <c r="D52" s="192"/>
      <c r="E52" s="192"/>
      <c r="F52" s="192"/>
      <c r="G52" s="192"/>
      <c r="H52" s="192"/>
      <c r="I52" s="193"/>
      <c r="J52" s="193"/>
      <c r="K52" s="193"/>
      <c r="L52" s="192"/>
      <c r="M52" s="192"/>
      <c r="N52" s="192"/>
      <c r="O52" s="192"/>
      <c r="P52" s="192"/>
      <c r="Q52" s="192"/>
      <c r="R52" s="192"/>
      <c r="S52" s="192"/>
      <c r="T52" s="192"/>
      <c r="U52" s="192"/>
      <c r="V52" s="192"/>
      <c r="W52" s="192"/>
      <c r="X52" s="192"/>
      <c r="Y52" s="192"/>
      <c r="Z52" s="192"/>
      <c r="AA52" s="192"/>
      <c r="AB52" s="192"/>
      <c r="AC52" s="192"/>
      <c r="AD52" s="192"/>
    </row>
    <row r="53" spans="1:30" ht="16.5" thickBot="1" x14ac:dyDescent="0.3">
      <c r="A53" s="177"/>
      <c r="B53" s="177"/>
      <c r="C53" s="212"/>
      <c r="D53" s="192"/>
      <c r="E53" s="192"/>
      <c r="F53" s="192"/>
      <c r="G53" s="192"/>
      <c r="H53" s="192"/>
      <c r="I53" s="193"/>
      <c r="J53" s="193"/>
      <c r="K53" s="193"/>
      <c r="L53" s="192"/>
      <c r="M53" s="192"/>
      <c r="N53" s="192"/>
      <c r="O53" s="192"/>
      <c r="P53" s="192"/>
      <c r="Q53" s="192"/>
      <c r="R53" s="192"/>
      <c r="S53" s="192"/>
      <c r="T53" s="192"/>
      <c r="U53" s="192"/>
      <c r="V53" s="192"/>
      <c r="W53" s="192"/>
      <c r="X53" s="192"/>
      <c r="Y53" s="192"/>
      <c r="Z53" s="192"/>
      <c r="AA53" s="192"/>
      <c r="AB53" s="192"/>
      <c r="AC53" s="192"/>
      <c r="AD53" s="192"/>
    </row>
    <row r="54" spans="1:30" ht="18" x14ac:dyDescent="0.25">
      <c r="A54" s="176" t="s">
        <v>50</v>
      </c>
      <c r="B54" s="194" t="s">
        <v>304</v>
      </c>
      <c r="C54" s="258">
        <f>C18*SQRT(C20-C20^2)</f>
        <v>1.4696938456699069</v>
      </c>
      <c r="D54" s="192"/>
      <c r="E54" s="192"/>
      <c r="F54" s="192"/>
      <c r="G54" s="192"/>
      <c r="H54" s="192"/>
      <c r="I54" s="193"/>
      <c r="J54" s="193"/>
      <c r="K54" s="193"/>
      <c r="L54" s="192"/>
      <c r="M54" s="192"/>
      <c r="N54" s="192"/>
      <c r="O54" s="192"/>
      <c r="P54" s="192"/>
      <c r="Q54" s="192"/>
      <c r="R54" s="192"/>
      <c r="S54" s="192"/>
      <c r="T54" s="192"/>
      <c r="U54" s="192"/>
      <c r="V54" s="192"/>
      <c r="W54" s="192"/>
      <c r="X54" s="192"/>
      <c r="Y54" s="192"/>
      <c r="Z54" s="192"/>
      <c r="AA54" s="192"/>
      <c r="AB54" s="192"/>
      <c r="AC54" s="192"/>
      <c r="AD54" s="192"/>
    </row>
    <row r="55" spans="1:30" ht="16.5" x14ac:dyDescent="0.3">
      <c r="A55" s="213" t="s">
        <v>333</v>
      </c>
      <c r="B55" s="195" t="s">
        <v>257</v>
      </c>
      <c r="C55" s="284">
        <v>82</v>
      </c>
      <c r="D55" s="192"/>
      <c r="E55" s="192"/>
      <c r="F55" s="192"/>
      <c r="G55" s="192"/>
      <c r="H55" s="192"/>
      <c r="I55" s="193"/>
      <c r="J55" s="193"/>
      <c r="K55" s="193"/>
      <c r="L55" s="192"/>
      <c r="M55" s="192"/>
      <c r="N55" s="192"/>
      <c r="O55" s="192"/>
      <c r="P55" s="192"/>
      <c r="Q55" s="192"/>
      <c r="R55" s="192"/>
      <c r="S55" s="192"/>
      <c r="T55" s="192"/>
      <c r="U55" s="192"/>
      <c r="V55" s="192"/>
      <c r="W55" s="192"/>
      <c r="X55" s="192"/>
      <c r="Y55" s="192"/>
      <c r="Z55" s="192"/>
      <c r="AA55" s="192"/>
      <c r="AB55" s="192"/>
      <c r="AC55" s="192"/>
      <c r="AD55" s="192"/>
    </row>
    <row r="56" spans="1:30" ht="16.5" thickBot="1" x14ac:dyDescent="0.3">
      <c r="A56" s="214"/>
      <c r="B56" s="205" t="s">
        <v>11</v>
      </c>
      <c r="C56" s="285">
        <f>IOUT/(4*C27*C55*10^-6)</f>
        <v>4.573170731707317E-2</v>
      </c>
      <c r="D56" s="192"/>
      <c r="E56" s="192"/>
      <c r="F56" s="192"/>
      <c r="G56" s="192"/>
      <c r="H56" s="192"/>
      <c r="I56" s="193"/>
      <c r="J56" s="193"/>
      <c r="K56" s="193"/>
      <c r="L56" s="192"/>
      <c r="M56" s="192"/>
      <c r="N56" s="192"/>
      <c r="O56" s="192"/>
      <c r="P56" s="192"/>
      <c r="Q56" s="192"/>
      <c r="R56" s="192"/>
      <c r="S56" s="192"/>
      <c r="T56" s="192"/>
      <c r="U56" s="192"/>
      <c r="V56" s="192"/>
      <c r="W56" s="192"/>
      <c r="X56" s="192"/>
      <c r="Y56" s="192"/>
      <c r="Z56" s="192"/>
      <c r="AA56" s="192"/>
      <c r="AB56" s="192"/>
      <c r="AC56" s="192"/>
      <c r="AD56" s="192"/>
    </row>
    <row r="57" spans="1:30" x14ac:dyDescent="0.25">
      <c r="A57" s="175"/>
      <c r="B57" s="203"/>
      <c r="C57" s="215"/>
      <c r="D57" s="192"/>
      <c r="E57" s="192"/>
      <c r="F57" s="192"/>
      <c r="G57" s="192"/>
      <c r="H57" s="192"/>
      <c r="I57" s="193"/>
      <c r="J57" s="193"/>
      <c r="K57" s="193"/>
      <c r="L57" s="192"/>
      <c r="M57" s="192"/>
      <c r="N57" s="192"/>
      <c r="O57" s="192"/>
      <c r="P57" s="192"/>
      <c r="Q57" s="192"/>
      <c r="R57" s="192"/>
      <c r="S57" s="192"/>
      <c r="T57" s="192"/>
      <c r="U57" s="192"/>
      <c r="V57" s="192"/>
      <c r="W57" s="192"/>
      <c r="X57" s="192"/>
      <c r="Y57" s="192"/>
      <c r="Z57" s="192"/>
      <c r="AA57" s="192"/>
      <c r="AB57" s="192"/>
      <c r="AC57" s="192"/>
      <c r="AD57" s="192"/>
    </row>
    <row r="58" spans="1:30" ht="16.5" thickBot="1" x14ac:dyDescent="0.3">
      <c r="A58" s="175"/>
      <c r="B58" s="203"/>
      <c r="C58" s="215"/>
      <c r="D58" s="192"/>
      <c r="E58" s="192"/>
      <c r="F58" s="192"/>
      <c r="G58" s="192"/>
      <c r="H58" s="192"/>
      <c r="I58" s="193"/>
      <c r="J58" s="193"/>
      <c r="K58" s="193"/>
      <c r="L58" s="192"/>
      <c r="M58" s="192"/>
      <c r="N58" s="192"/>
      <c r="O58" s="192"/>
      <c r="P58" s="192"/>
      <c r="Q58" s="192"/>
      <c r="R58" s="192"/>
      <c r="S58" s="192"/>
      <c r="T58" s="192"/>
      <c r="U58" s="192"/>
      <c r="V58" s="192"/>
      <c r="W58" s="192"/>
      <c r="X58" s="192"/>
      <c r="Y58" s="192"/>
      <c r="Z58" s="192"/>
      <c r="AA58" s="192"/>
      <c r="AB58" s="192"/>
      <c r="AC58" s="192"/>
      <c r="AD58" s="192"/>
    </row>
    <row r="59" spans="1:30" ht="18" x14ac:dyDescent="0.25">
      <c r="A59" s="176" t="s">
        <v>353</v>
      </c>
      <c r="B59" s="194"/>
      <c r="C59" s="216"/>
      <c r="D59" s="192"/>
      <c r="E59" s="192"/>
      <c r="F59" s="192"/>
      <c r="G59" s="192"/>
      <c r="H59" s="192"/>
      <c r="I59" s="193"/>
      <c r="J59" s="193"/>
      <c r="K59" s="193"/>
      <c r="L59" s="192"/>
      <c r="M59" s="192"/>
      <c r="N59" s="192"/>
      <c r="O59" s="192"/>
      <c r="P59" s="192"/>
      <c r="Q59" s="192"/>
      <c r="R59" s="192"/>
      <c r="S59" s="192"/>
      <c r="T59" s="192"/>
      <c r="U59" s="192"/>
      <c r="V59" s="192"/>
      <c r="W59" s="192"/>
      <c r="X59" s="192"/>
      <c r="Y59" s="192"/>
      <c r="Z59" s="192"/>
      <c r="AA59" s="192"/>
      <c r="AB59" s="192"/>
      <c r="AC59" s="192"/>
      <c r="AD59" s="192"/>
    </row>
    <row r="60" spans="1:30" ht="18.75" x14ac:dyDescent="0.3">
      <c r="A60" s="290" t="s">
        <v>329</v>
      </c>
      <c r="B60" s="217" t="s">
        <v>328</v>
      </c>
      <c r="C60" s="173">
        <v>6.6</v>
      </c>
      <c r="D60" s="192"/>
      <c r="E60" s="192"/>
      <c r="F60" s="192"/>
      <c r="G60" s="192"/>
      <c r="H60" s="192"/>
      <c r="I60" s="193"/>
      <c r="J60" s="193"/>
      <c r="K60" s="193"/>
      <c r="L60" s="192"/>
      <c r="M60" s="192"/>
      <c r="N60" s="192"/>
      <c r="O60" s="192"/>
      <c r="P60" s="192"/>
      <c r="Q60" s="192"/>
      <c r="R60" s="192"/>
      <c r="S60" s="192"/>
      <c r="T60" s="192"/>
      <c r="U60" s="192"/>
      <c r="V60" s="192"/>
      <c r="W60" s="192"/>
      <c r="X60" s="192"/>
      <c r="Y60" s="192"/>
      <c r="Z60" s="192"/>
      <c r="AA60" s="192"/>
      <c r="AB60" s="192"/>
      <c r="AC60" s="192"/>
      <c r="AD60" s="192"/>
    </row>
    <row r="61" spans="1:30" ht="21" x14ac:dyDescent="0.35">
      <c r="A61" s="291" t="s">
        <v>345</v>
      </c>
      <c r="B61" s="195" t="s">
        <v>287</v>
      </c>
      <c r="C61" s="155">
        <v>12000</v>
      </c>
      <c r="D61" s="192"/>
      <c r="E61" s="192"/>
      <c r="F61" s="192"/>
      <c r="G61" s="192"/>
      <c r="H61" s="192"/>
      <c r="I61" s="193"/>
      <c r="J61" s="193"/>
      <c r="K61" s="193"/>
      <c r="L61" s="192"/>
      <c r="M61" s="192"/>
      <c r="N61" s="192"/>
      <c r="O61" s="192"/>
      <c r="P61" s="192"/>
      <c r="Q61" s="192"/>
      <c r="R61" s="192"/>
      <c r="S61" s="192"/>
      <c r="T61" s="192"/>
      <c r="U61" s="192"/>
      <c r="V61" s="192"/>
      <c r="W61" s="192"/>
      <c r="X61" s="192"/>
      <c r="Y61" s="192"/>
      <c r="Z61" s="192"/>
      <c r="AA61" s="192"/>
      <c r="AB61" s="192"/>
      <c r="AC61" s="192"/>
      <c r="AD61" s="192"/>
    </row>
    <row r="62" spans="1:30" ht="16.5" x14ac:dyDescent="0.3">
      <c r="A62" s="145"/>
      <c r="B62" s="195" t="s">
        <v>288</v>
      </c>
      <c r="C62" s="255">
        <f>((C60/1.2)-1)*C61</f>
        <v>54000</v>
      </c>
      <c r="D62" s="192"/>
      <c r="E62" s="192"/>
      <c r="F62" s="192"/>
      <c r="G62" s="192"/>
      <c r="H62" s="192"/>
      <c r="I62" s="193"/>
      <c r="J62" s="193"/>
      <c r="K62" s="193"/>
      <c r="L62" s="192"/>
      <c r="M62" s="192"/>
      <c r="N62" s="192"/>
      <c r="O62" s="192"/>
      <c r="P62" s="192"/>
      <c r="Q62" s="192"/>
      <c r="R62" s="192"/>
      <c r="S62" s="192"/>
      <c r="T62" s="192"/>
      <c r="U62" s="192"/>
      <c r="V62" s="192"/>
      <c r="W62" s="192"/>
      <c r="X62" s="192"/>
      <c r="Y62" s="192"/>
      <c r="Z62" s="192"/>
      <c r="AA62" s="192"/>
      <c r="AB62" s="192"/>
      <c r="AC62" s="192"/>
      <c r="AD62" s="192"/>
    </row>
    <row r="63" spans="1:30" ht="17.25" thickBot="1" x14ac:dyDescent="0.35">
      <c r="A63" s="145"/>
      <c r="B63" s="195" t="s">
        <v>294</v>
      </c>
      <c r="C63" s="256">
        <v>65</v>
      </c>
      <c r="D63" s="192"/>
      <c r="E63" s="192"/>
      <c r="F63" s="192"/>
      <c r="G63" s="192"/>
      <c r="H63" s="192"/>
      <c r="I63" s="193"/>
      <c r="J63" s="193"/>
      <c r="K63" s="193"/>
      <c r="L63" s="192"/>
      <c r="M63" s="192"/>
      <c r="N63" s="192"/>
      <c r="O63" s="192"/>
      <c r="P63" s="192"/>
      <c r="Q63" s="192"/>
      <c r="R63" s="192"/>
      <c r="S63" s="192"/>
      <c r="T63" s="192"/>
      <c r="U63" s="192"/>
      <c r="V63" s="192"/>
      <c r="W63" s="192"/>
      <c r="X63" s="192"/>
      <c r="Y63" s="192"/>
      <c r="Z63" s="192"/>
      <c r="AA63" s="192"/>
      <c r="AB63" s="192"/>
      <c r="AC63" s="192"/>
      <c r="AD63" s="192"/>
    </row>
    <row r="64" spans="1:30" ht="18" x14ac:dyDescent="0.25">
      <c r="A64" s="176" t="s">
        <v>51</v>
      </c>
      <c r="B64" s="194" t="s">
        <v>19</v>
      </c>
      <c r="C64" s="250">
        <f>(C17/C18)/((C40+C33)*12)</f>
        <v>8.6071987480438175</v>
      </c>
      <c r="D64" s="192"/>
      <c r="E64" s="192"/>
      <c r="F64" s="192"/>
      <c r="G64" s="192"/>
      <c r="H64" s="192"/>
      <c r="I64" s="193"/>
      <c r="J64" s="193"/>
      <c r="K64" s="193"/>
      <c r="L64" s="192"/>
      <c r="M64" s="192"/>
      <c r="N64" s="192"/>
      <c r="O64" s="192"/>
      <c r="P64" s="192"/>
      <c r="Q64" s="192"/>
      <c r="R64" s="192"/>
      <c r="S64" s="192"/>
      <c r="T64" s="192"/>
      <c r="U64" s="192"/>
      <c r="V64" s="192"/>
      <c r="W64" s="192"/>
      <c r="X64" s="192"/>
      <c r="Y64" s="192"/>
      <c r="Z64" s="192"/>
      <c r="AA64" s="192"/>
      <c r="AB64" s="192"/>
      <c r="AC64" s="192"/>
      <c r="AD64" s="192"/>
    </row>
    <row r="65" spans="1:30" x14ac:dyDescent="0.25">
      <c r="A65" s="218"/>
      <c r="B65" s="195" t="s">
        <v>12</v>
      </c>
      <c r="C65" s="155">
        <v>25</v>
      </c>
      <c r="D65" s="192"/>
      <c r="E65" s="192"/>
      <c r="F65" s="192"/>
      <c r="G65" s="192"/>
      <c r="H65" s="192"/>
      <c r="I65" s="193"/>
      <c r="J65" s="193"/>
      <c r="K65" s="193"/>
      <c r="L65" s="192"/>
      <c r="M65" s="192"/>
      <c r="N65" s="192"/>
      <c r="O65" s="192"/>
      <c r="P65" s="192"/>
      <c r="Q65" s="192"/>
      <c r="R65" s="192"/>
      <c r="S65" s="192"/>
      <c r="T65" s="192"/>
      <c r="U65" s="192"/>
      <c r="V65" s="192"/>
      <c r="W65" s="192"/>
      <c r="X65" s="192"/>
      <c r="Y65" s="192"/>
      <c r="Z65" s="192"/>
      <c r="AA65" s="192"/>
      <c r="AB65" s="192"/>
      <c r="AC65" s="192"/>
      <c r="AD65" s="192"/>
    </row>
    <row r="66" spans="1:30" ht="16.5" x14ac:dyDescent="0.3">
      <c r="A66" s="174"/>
      <c r="B66" s="195" t="s">
        <v>354</v>
      </c>
      <c r="C66" s="251">
        <f>(C65*1000)*(C17/1.2)*((2*3.14*C40*C50*0.000001*12)/0.0012)</f>
        <v>11139.15</v>
      </c>
      <c r="D66" s="192"/>
      <c r="E66" s="192"/>
      <c r="F66" s="192"/>
      <c r="G66" s="192"/>
      <c r="H66" s="192"/>
      <c r="I66" s="193"/>
      <c r="J66" s="193"/>
      <c r="K66" s="193"/>
      <c r="L66" s="192"/>
      <c r="M66" s="192"/>
      <c r="N66" s="192"/>
      <c r="O66" s="192"/>
      <c r="P66" s="192"/>
      <c r="Q66" s="192"/>
      <c r="R66" s="192"/>
      <c r="S66" s="192"/>
      <c r="T66" s="192"/>
      <c r="U66" s="192"/>
      <c r="V66" s="192"/>
      <c r="W66" s="192"/>
      <c r="X66" s="192"/>
      <c r="Y66" s="192"/>
      <c r="Z66" s="192"/>
      <c r="AA66" s="192"/>
      <c r="AB66" s="192"/>
      <c r="AC66" s="192"/>
      <c r="AD66" s="192"/>
    </row>
    <row r="67" spans="1:30" ht="16.5" x14ac:dyDescent="0.3">
      <c r="A67" s="174"/>
      <c r="B67" s="195" t="s">
        <v>289</v>
      </c>
      <c r="C67" s="252">
        <v>6600</v>
      </c>
      <c r="D67" s="192"/>
      <c r="E67" s="192"/>
      <c r="F67" s="192"/>
      <c r="G67" s="192"/>
      <c r="H67" s="192"/>
      <c r="I67" s="193"/>
      <c r="J67" s="193"/>
      <c r="K67" s="193"/>
      <c r="L67" s="192"/>
      <c r="M67" s="192"/>
      <c r="N67" s="192"/>
      <c r="O67" s="192"/>
      <c r="P67" s="192"/>
      <c r="Q67" s="192"/>
      <c r="R67" s="192"/>
      <c r="S67" s="192"/>
      <c r="T67" s="192"/>
      <c r="U67" s="192"/>
      <c r="V67" s="192"/>
      <c r="W67" s="192"/>
      <c r="X67" s="192"/>
      <c r="Y67" s="192"/>
      <c r="Z67" s="192"/>
      <c r="AA67" s="192"/>
      <c r="AB67" s="192"/>
      <c r="AC67" s="192"/>
      <c r="AD67" s="192"/>
    </row>
    <row r="68" spans="1:30" ht="16.5" x14ac:dyDescent="0.3">
      <c r="A68" s="174"/>
      <c r="B68" s="197" t="s">
        <v>355</v>
      </c>
      <c r="C68" s="253">
        <f>(((C17/C18)*C50)/C67)*1000</f>
        <v>43</v>
      </c>
      <c r="D68" s="192"/>
      <c r="E68" s="192"/>
      <c r="F68" s="192"/>
      <c r="G68" s="192"/>
      <c r="H68" s="192"/>
      <c r="I68" s="193"/>
      <c r="J68" s="193"/>
      <c r="K68" s="193"/>
      <c r="L68" s="192"/>
      <c r="M68" s="192"/>
      <c r="N68" s="192"/>
      <c r="O68" s="192"/>
      <c r="P68" s="192"/>
      <c r="Q68" s="192"/>
      <c r="R68" s="192"/>
      <c r="S68" s="192"/>
      <c r="T68" s="192"/>
      <c r="U68" s="192"/>
      <c r="V68" s="192"/>
      <c r="W68" s="192"/>
      <c r="X68" s="192"/>
      <c r="Y68" s="192"/>
      <c r="Z68" s="192"/>
      <c r="AA68" s="192"/>
      <c r="AB68" s="192"/>
      <c r="AC68" s="192"/>
      <c r="AD68" s="192"/>
    </row>
    <row r="69" spans="1:30" ht="17.25" thickBot="1" x14ac:dyDescent="0.35">
      <c r="A69" s="204"/>
      <c r="B69" s="205" t="s">
        <v>356</v>
      </c>
      <c r="C69" s="254">
        <v>10</v>
      </c>
      <c r="D69" s="192"/>
      <c r="E69" s="192"/>
      <c r="F69" s="192"/>
      <c r="G69" s="192"/>
      <c r="H69" s="192"/>
      <c r="I69" s="193"/>
      <c r="J69" s="193"/>
      <c r="K69" s="193"/>
      <c r="L69" s="192"/>
      <c r="M69" s="192"/>
      <c r="N69" s="192"/>
      <c r="O69" s="192"/>
      <c r="P69" s="192"/>
      <c r="Q69" s="192"/>
      <c r="R69" s="192"/>
      <c r="S69" s="192"/>
      <c r="T69" s="192"/>
      <c r="U69" s="192"/>
      <c r="V69" s="192"/>
      <c r="W69" s="192"/>
      <c r="X69" s="192"/>
      <c r="Y69" s="192"/>
      <c r="Z69" s="192"/>
      <c r="AA69" s="192"/>
      <c r="AB69" s="192"/>
      <c r="AC69" s="192"/>
      <c r="AD69" s="192"/>
    </row>
    <row r="70" spans="1:30" ht="16.5" thickBot="1" x14ac:dyDescent="0.3">
      <c r="A70" s="177"/>
      <c r="B70" s="203"/>
      <c r="C70" s="177"/>
      <c r="D70" s="192"/>
      <c r="E70" s="192"/>
      <c r="F70" s="192"/>
      <c r="G70" s="192"/>
      <c r="H70" s="192"/>
      <c r="I70" s="193"/>
      <c r="J70" s="193"/>
      <c r="K70" s="193"/>
      <c r="L70" s="192"/>
      <c r="M70" s="192"/>
      <c r="N70" s="192"/>
      <c r="O70" s="192"/>
      <c r="P70" s="192"/>
      <c r="Q70" s="192"/>
      <c r="R70" s="192"/>
      <c r="S70" s="192"/>
      <c r="T70" s="192"/>
      <c r="U70" s="192"/>
      <c r="V70" s="192"/>
      <c r="W70" s="192"/>
      <c r="X70" s="192"/>
      <c r="Y70" s="192"/>
      <c r="Z70" s="192"/>
      <c r="AA70" s="192"/>
      <c r="AB70" s="192"/>
      <c r="AC70" s="192"/>
      <c r="AD70" s="192"/>
    </row>
    <row r="71" spans="1:30" ht="18" x14ac:dyDescent="0.25">
      <c r="A71" s="176" t="s">
        <v>52</v>
      </c>
      <c r="B71" s="194" t="s">
        <v>13</v>
      </c>
      <c r="C71" s="275">
        <v>3</v>
      </c>
      <c r="D71" s="192"/>
      <c r="E71" s="192"/>
      <c r="F71" s="192"/>
      <c r="G71" s="192"/>
      <c r="H71" s="193"/>
      <c r="I71" s="193"/>
      <c r="J71" s="193"/>
      <c r="K71" s="192"/>
      <c r="L71" s="192"/>
      <c r="M71" s="192"/>
      <c r="N71" s="192"/>
      <c r="O71" s="192"/>
      <c r="P71" s="192"/>
      <c r="Q71" s="192"/>
      <c r="R71" s="192"/>
      <c r="S71" s="192"/>
      <c r="T71" s="192"/>
      <c r="U71" s="192"/>
      <c r="V71" s="192"/>
      <c r="W71" s="192"/>
      <c r="X71" s="192"/>
      <c r="Y71" s="192"/>
      <c r="Z71" s="192"/>
      <c r="AA71" s="192"/>
      <c r="AB71" s="192"/>
      <c r="AC71" s="192"/>
      <c r="AD71" s="192"/>
    </row>
    <row r="72" spans="1:30" ht="16.5" x14ac:dyDescent="0.3">
      <c r="A72" s="219"/>
      <c r="B72" s="195" t="s">
        <v>14</v>
      </c>
      <c r="C72" s="272">
        <f>((20*10^-6*C71*10^-3)/0.8)*1000000</f>
        <v>7.4999999999999983E-2</v>
      </c>
      <c r="D72" s="192"/>
      <c r="E72" s="192"/>
      <c r="F72" s="192"/>
      <c r="G72" s="192"/>
      <c r="H72" s="192"/>
      <c r="I72" s="193"/>
      <c r="J72" s="193"/>
      <c r="K72" s="193"/>
      <c r="L72" s="192"/>
      <c r="M72" s="192"/>
      <c r="N72" s="192"/>
      <c r="O72" s="192"/>
      <c r="P72" s="192"/>
      <c r="Q72" s="192"/>
      <c r="R72" s="192"/>
      <c r="S72" s="192"/>
      <c r="T72" s="192"/>
      <c r="U72" s="192"/>
      <c r="V72" s="192"/>
      <c r="W72" s="192"/>
      <c r="X72" s="192"/>
      <c r="Y72" s="192"/>
      <c r="Z72" s="192"/>
      <c r="AA72" s="192"/>
      <c r="AB72" s="192"/>
      <c r="AC72" s="192"/>
      <c r="AD72" s="192"/>
    </row>
    <row r="73" spans="1:30" ht="16.5" thickBot="1" x14ac:dyDescent="0.3">
      <c r="A73" s="220"/>
      <c r="B73" s="205" t="s">
        <v>334</v>
      </c>
      <c r="C73" s="283">
        <v>6.8000000000000005E-2</v>
      </c>
      <c r="D73" s="192"/>
      <c r="E73" s="192"/>
      <c r="F73" s="192"/>
      <c r="G73" s="192"/>
      <c r="H73" s="192"/>
      <c r="I73" s="193"/>
      <c r="J73" s="193"/>
      <c r="K73" s="193"/>
      <c r="L73" s="192"/>
      <c r="M73" s="192"/>
      <c r="N73" s="192"/>
      <c r="O73" s="192"/>
      <c r="P73" s="192"/>
      <c r="Q73" s="192"/>
      <c r="R73" s="192"/>
      <c r="S73" s="192"/>
      <c r="T73" s="192"/>
      <c r="U73" s="192"/>
      <c r="V73" s="192"/>
      <c r="W73" s="192"/>
      <c r="X73" s="192"/>
      <c r="Y73" s="192"/>
      <c r="Z73" s="192"/>
      <c r="AA73" s="192"/>
      <c r="AB73" s="192"/>
      <c r="AC73" s="192"/>
      <c r="AD73" s="192"/>
    </row>
    <row r="74" spans="1:30" ht="16.5" thickBot="1" x14ac:dyDescent="0.3">
      <c r="A74" s="175"/>
      <c r="C74" s="177"/>
      <c r="D74" s="192"/>
      <c r="E74" s="192"/>
      <c r="F74" s="192"/>
      <c r="G74" s="192"/>
      <c r="H74" s="192"/>
      <c r="I74" s="193"/>
      <c r="J74" s="193"/>
      <c r="K74" s="193"/>
      <c r="L74" s="192"/>
      <c r="M74" s="192"/>
      <c r="N74" s="192"/>
      <c r="O74" s="192"/>
      <c r="P74" s="192"/>
      <c r="Q74" s="192"/>
      <c r="R74" s="192"/>
      <c r="S74" s="192"/>
      <c r="T74" s="192"/>
      <c r="U74" s="192"/>
      <c r="V74" s="192"/>
      <c r="W74" s="192"/>
      <c r="X74" s="192"/>
      <c r="Y74" s="192"/>
      <c r="Z74" s="192"/>
      <c r="AA74" s="192"/>
      <c r="AB74" s="192"/>
      <c r="AC74" s="192"/>
      <c r="AD74" s="192"/>
    </row>
    <row r="75" spans="1:30" ht="18" x14ac:dyDescent="0.25">
      <c r="A75" s="176" t="s">
        <v>284</v>
      </c>
      <c r="B75" s="194" t="s">
        <v>290</v>
      </c>
      <c r="C75" s="277">
        <v>25</v>
      </c>
      <c r="D75" s="192"/>
      <c r="E75" s="192"/>
      <c r="F75" s="192"/>
      <c r="G75" s="192"/>
      <c r="H75" s="192"/>
      <c r="I75" s="193"/>
      <c r="J75" s="193"/>
      <c r="K75" s="193"/>
      <c r="L75" s="192"/>
      <c r="M75" s="192"/>
      <c r="N75" s="192"/>
      <c r="O75" s="192"/>
      <c r="P75" s="192"/>
      <c r="Q75" s="192"/>
      <c r="R75" s="192"/>
      <c r="S75" s="192"/>
      <c r="T75" s="192"/>
      <c r="U75" s="192"/>
      <c r="V75" s="192"/>
      <c r="W75" s="192"/>
      <c r="X75" s="192"/>
      <c r="Y75" s="192"/>
      <c r="Z75" s="192"/>
      <c r="AA75" s="192"/>
      <c r="AB75" s="192"/>
      <c r="AC75" s="192"/>
      <c r="AD75" s="192"/>
    </row>
    <row r="76" spans="1:30" x14ac:dyDescent="0.25">
      <c r="A76" s="174"/>
      <c r="B76" s="195" t="s">
        <v>291</v>
      </c>
      <c r="C76" s="278">
        <v>25</v>
      </c>
      <c r="D76" s="192"/>
      <c r="E76" s="192"/>
      <c r="F76" s="192"/>
      <c r="G76" s="192"/>
      <c r="H76" s="192"/>
      <c r="I76" s="193"/>
      <c r="J76" s="193"/>
      <c r="K76" s="193"/>
      <c r="L76" s="192"/>
      <c r="M76" s="192"/>
      <c r="N76" s="192"/>
      <c r="O76" s="192"/>
      <c r="P76" s="192"/>
      <c r="Q76" s="192"/>
      <c r="R76" s="192"/>
      <c r="S76" s="192"/>
      <c r="T76" s="192"/>
      <c r="U76" s="192"/>
      <c r="V76" s="192"/>
      <c r="W76" s="192"/>
      <c r="X76" s="192"/>
      <c r="Y76" s="192"/>
      <c r="Z76" s="192"/>
      <c r="AA76" s="192"/>
      <c r="AB76" s="192"/>
      <c r="AC76" s="192"/>
      <c r="AD76" s="192"/>
    </row>
    <row r="77" spans="1:30" ht="18" x14ac:dyDescent="0.25">
      <c r="A77" s="178"/>
      <c r="B77" s="195" t="s">
        <v>349</v>
      </c>
      <c r="C77" s="155">
        <v>25</v>
      </c>
      <c r="D77" s="192"/>
      <c r="E77" s="192"/>
      <c r="F77" s="192"/>
      <c r="G77" s="192"/>
      <c r="H77" s="192"/>
      <c r="I77" s="193"/>
      <c r="J77" s="193"/>
      <c r="K77" s="193"/>
      <c r="L77" s="192"/>
      <c r="M77" s="192"/>
      <c r="N77" s="192"/>
      <c r="O77" s="192"/>
      <c r="P77" s="192"/>
      <c r="Q77" s="192"/>
      <c r="R77" s="192"/>
      <c r="S77" s="192"/>
      <c r="T77" s="192"/>
      <c r="U77" s="192"/>
      <c r="V77" s="192"/>
      <c r="W77" s="192"/>
      <c r="X77" s="192"/>
      <c r="Y77" s="192"/>
      <c r="Z77" s="192"/>
      <c r="AA77" s="192"/>
      <c r="AB77" s="192"/>
      <c r="AC77" s="192"/>
      <c r="AD77" s="192"/>
    </row>
    <row r="78" spans="1:30" ht="18.75" x14ac:dyDescent="0.3">
      <c r="A78" s="178"/>
      <c r="B78" s="195" t="s">
        <v>298</v>
      </c>
      <c r="C78" s="279">
        <v>3.6999999999999998E-2</v>
      </c>
      <c r="D78" s="192"/>
      <c r="E78" s="192"/>
      <c r="F78" s="192"/>
      <c r="G78" s="192"/>
      <c r="H78" s="192"/>
      <c r="I78" s="193"/>
      <c r="J78" s="193"/>
      <c r="K78" s="193"/>
      <c r="L78" s="192"/>
      <c r="M78" s="192"/>
      <c r="N78" s="192"/>
      <c r="O78" s="192"/>
      <c r="P78" s="192"/>
      <c r="Q78" s="192"/>
      <c r="R78" s="192"/>
      <c r="S78" s="192"/>
      <c r="T78" s="192"/>
      <c r="U78" s="192"/>
      <c r="V78" s="192"/>
      <c r="W78" s="192"/>
      <c r="X78" s="192"/>
      <c r="Y78" s="192"/>
      <c r="Z78" s="192"/>
      <c r="AA78" s="192"/>
      <c r="AB78" s="192"/>
      <c r="AC78" s="192"/>
      <c r="AD78" s="192"/>
    </row>
    <row r="79" spans="1:30" x14ac:dyDescent="0.25">
      <c r="A79" s="174"/>
      <c r="B79" s="195" t="s">
        <v>299</v>
      </c>
      <c r="C79" s="280">
        <v>1.2</v>
      </c>
      <c r="D79" s="192"/>
      <c r="E79" s="192"/>
      <c r="F79" s="192"/>
      <c r="G79" s="192"/>
      <c r="H79" s="192"/>
      <c r="I79" s="193"/>
      <c r="J79" s="193"/>
      <c r="K79" s="193"/>
      <c r="L79" s="192"/>
      <c r="M79" s="192"/>
      <c r="N79" s="192"/>
      <c r="O79" s="192"/>
      <c r="P79" s="192"/>
      <c r="Q79" s="192"/>
      <c r="R79" s="192"/>
      <c r="S79" s="192"/>
      <c r="T79" s="192"/>
      <c r="U79" s="192"/>
      <c r="V79" s="192"/>
      <c r="W79" s="192"/>
      <c r="X79" s="192"/>
      <c r="Y79" s="192"/>
      <c r="Z79" s="192"/>
      <c r="AA79" s="192"/>
      <c r="AB79" s="192"/>
      <c r="AC79" s="192"/>
      <c r="AD79" s="192"/>
    </row>
    <row r="80" spans="1:30" ht="16.5" thickBot="1" x14ac:dyDescent="0.3">
      <c r="A80" s="204"/>
      <c r="B80" s="205" t="s">
        <v>335</v>
      </c>
      <c r="C80" s="278">
        <v>30</v>
      </c>
      <c r="D80" s="192"/>
      <c r="E80" s="192"/>
      <c r="F80" s="192"/>
      <c r="G80" s="192"/>
      <c r="H80" s="192"/>
      <c r="I80" s="193"/>
      <c r="J80" s="193"/>
      <c r="K80" s="193"/>
      <c r="L80" s="192"/>
      <c r="M80" s="192"/>
      <c r="N80" s="192"/>
      <c r="O80" s="192"/>
      <c r="P80" s="192"/>
      <c r="Q80" s="192"/>
      <c r="R80" s="192"/>
      <c r="S80" s="192"/>
      <c r="T80" s="192"/>
      <c r="U80" s="192"/>
      <c r="V80" s="192"/>
      <c r="W80" s="192"/>
      <c r="X80" s="192"/>
      <c r="Y80" s="192"/>
      <c r="Z80" s="192"/>
      <c r="AA80" s="192"/>
      <c r="AB80" s="192"/>
      <c r="AC80" s="192"/>
      <c r="AD80" s="192"/>
    </row>
    <row r="81" spans="1:30" ht="18" x14ac:dyDescent="0.25">
      <c r="A81" s="176" t="s">
        <v>286</v>
      </c>
      <c r="B81" s="194" t="s">
        <v>348</v>
      </c>
      <c r="C81" s="155">
        <v>25</v>
      </c>
      <c r="D81" s="192"/>
      <c r="E81" s="192"/>
      <c r="F81" s="192"/>
      <c r="G81" s="192"/>
      <c r="H81" s="192"/>
      <c r="I81" s="193"/>
      <c r="J81" s="193"/>
      <c r="K81" s="193"/>
      <c r="L81" s="192"/>
      <c r="M81" s="192"/>
      <c r="N81" s="192"/>
      <c r="O81" s="192"/>
      <c r="P81" s="192"/>
      <c r="Q81" s="192"/>
      <c r="R81" s="192"/>
      <c r="S81" s="192"/>
      <c r="T81" s="192"/>
      <c r="U81" s="192"/>
      <c r="V81" s="192"/>
      <c r="W81" s="192"/>
      <c r="X81" s="192"/>
      <c r="Y81" s="192"/>
      <c r="Z81" s="192"/>
      <c r="AA81" s="192"/>
      <c r="AB81" s="192"/>
      <c r="AC81" s="192"/>
      <c r="AD81" s="192"/>
    </row>
    <row r="82" spans="1:30" ht="18.75" x14ac:dyDescent="0.3">
      <c r="A82" s="178"/>
      <c r="B82" s="195" t="s">
        <v>298</v>
      </c>
      <c r="C82" s="279">
        <v>3.6999999999999998E-2</v>
      </c>
      <c r="D82" s="192"/>
      <c r="E82" s="192"/>
      <c r="F82" s="192"/>
      <c r="G82" s="192"/>
      <c r="H82" s="192"/>
      <c r="I82" s="193"/>
      <c r="J82" s="193"/>
      <c r="K82" s="193"/>
      <c r="L82" s="192"/>
      <c r="M82" s="192"/>
      <c r="N82" s="192"/>
      <c r="O82" s="192"/>
      <c r="P82" s="192"/>
      <c r="Q82" s="192"/>
      <c r="R82" s="192"/>
      <c r="S82" s="192"/>
      <c r="T82" s="192"/>
      <c r="U82" s="192"/>
      <c r="V82" s="192"/>
      <c r="W82" s="192"/>
      <c r="X82" s="192"/>
      <c r="Y82" s="192"/>
      <c r="Z82" s="192"/>
      <c r="AA82" s="192"/>
      <c r="AB82" s="192"/>
      <c r="AC82" s="192"/>
      <c r="AD82" s="192"/>
    </row>
    <row r="83" spans="1:30" x14ac:dyDescent="0.25">
      <c r="A83" s="174"/>
      <c r="B83" s="195" t="s">
        <v>290</v>
      </c>
      <c r="C83" s="278">
        <v>25</v>
      </c>
      <c r="D83" s="192"/>
      <c r="E83" s="192"/>
      <c r="F83" s="192"/>
      <c r="G83" s="192"/>
      <c r="H83" s="192"/>
      <c r="I83" s="193"/>
      <c r="J83" s="193"/>
      <c r="K83" s="193"/>
      <c r="L83" s="192"/>
      <c r="M83" s="192"/>
      <c r="N83" s="192"/>
      <c r="O83" s="192"/>
      <c r="P83" s="192"/>
      <c r="Q83" s="192"/>
      <c r="R83" s="192"/>
      <c r="S83" s="192"/>
      <c r="T83" s="192"/>
      <c r="U83" s="192"/>
      <c r="V83" s="192"/>
      <c r="W83" s="192"/>
      <c r="X83" s="192"/>
      <c r="Y83" s="192"/>
      <c r="Z83" s="192"/>
      <c r="AA83" s="192"/>
      <c r="AB83" s="192"/>
      <c r="AC83" s="192"/>
      <c r="AD83" s="192"/>
    </row>
    <row r="84" spans="1:30" x14ac:dyDescent="0.25">
      <c r="A84" s="174"/>
      <c r="B84" s="195" t="s">
        <v>55</v>
      </c>
      <c r="C84" s="280">
        <v>1.2</v>
      </c>
      <c r="D84" s="192"/>
      <c r="E84" s="192"/>
      <c r="F84" s="192"/>
      <c r="G84" s="192"/>
      <c r="H84" s="192"/>
      <c r="I84" s="193"/>
      <c r="J84" s="193"/>
      <c r="K84" s="193"/>
      <c r="L84" s="192"/>
      <c r="M84" s="192"/>
      <c r="N84" s="192"/>
      <c r="O84" s="192"/>
      <c r="P84" s="192"/>
      <c r="Q84" s="192"/>
      <c r="R84" s="192"/>
      <c r="S84" s="192"/>
      <c r="T84" s="192"/>
      <c r="U84" s="192"/>
      <c r="V84" s="192"/>
      <c r="W84" s="192"/>
      <c r="X84" s="192"/>
      <c r="Y84" s="192"/>
      <c r="Z84" s="192"/>
      <c r="AA84" s="192"/>
      <c r="AB84" s="192"/>
      <c r="AC84" s="192"/>
      <c r="AD84" s="192"/>
    </row>
    <row r="85" spans="1:30" x14ac:dyDescent="0.25">
      <c r="A85" s="174"/>
      <c r="B85" s="195" t="s">
        <v>292</v>
      </c>
      <c r="C85" s="278">
        <v>16.7</v>
      </c>
      <c r="D85" s="192"/>
      <c r="E85" s="192"/>
      <c r="F85" s="192"/>
      <c r="G85" s="192"/>
      <c r="H85" s="192"/>
      <c r="I85" s="193"/>
      <c r="J85" s="193"/>
      <c r="K85" s="193"/>
      <c r="L85" s="192"/>
      <c r="M85" s="192"/>
      <c r="N85" s="192"/>
      <c r="O85" s="192"/>
      <c r="P85" s="192"/>
      <c r="Q85" s="192"/>
      <c r="R85" s="192"/>
      <c r="S85" s="192"/>
      <c r="T85" s="192"/>
      <c r="U85" s="192"/>
      <c r="V85" s="192"/>
      <c r="W85" s="192"/>
      <c r="X85" s="192"/>
      <c r="Y85" s="192"/>
      <c r="Z85" s="192"/>
      <c r="AA85" s="192"/>
      <c r="AB85" s="192"/>
      <c r="AC85" s="192"/>
      <c r="AD85" s="192"/>
    </row>
    <row r="86" spans="1:30" ht="16.5" x14ac:dyDescent="0.3">
      <c r="A86" s="179"/>
      <c r="B86" s="195" t="s">
        <v>310</v>
      </c>
      <c r="C86" s="281">
        <f>(C77*10^-9/0.25)*1000000</f>
        <v>0.1</v>
      </c>
      <c r="D86" s="192"/>
      <c r="E86" s="192"/>
      <c r="F86" s="192"/>
      <c r="G86" s="192"/>
      <c r="H86" s="192"/>
      <c r="I86" s="193"/>
      <c r="J86" s="193"/>
      <c r="K86" s="193"/>
      <c r="L86" s="192"/>
      <c r="M86" s="192"/>
      <c r="N86" s="192"/>
      <c r="O86" s="192"/>
      <c r="P86" s="192"/>
      <c r="Q86" s="192"/>
      <c r="R86" s="192"/>
      <c r="S86" s="192"/>
      <c r="T86" s="192"/>
      <c r="U86" s="192"/>
      <c r="V86" s="192"/>
      <c r="W86" s="192"/>
      <c r="X86" s="192"/>
      <c r="Y86" s="192"/>
      <c r="Z86" s="192"/>
      <c r="AA86" s="192"/>
      <c r="AB86" s="192"/>
      <c r="AC86" s="192"/>
      <c r="AD86" s="192"/>
    </row>
    <row r="87" spans="1:30" ht="17.25" thickBot="1" x14ac:dyDescent="0.35">
      <c r="A87" s="221"/>
      <c r="B87" s="205" t="s">
        <v>57</v>
      </c>
      <c r="C87" s="282">
        <f>((C77*C27)+0.012)*0.000000001</f>
        <v>1.1000000012000001E-2</v>
      </c>
      <c r="D87" s="192"/>
      <c r="E87" s="192"/>
      <c r="F87" s="192"/>
      <c r="G87" s="192"/>
      <c r="H87" s="192"/>
      <c r="I87" s="193"/>
      <c r="J87" s="193"/>
      <c r="K87" s="193"/>
      <c r="L87" s="192"/>
      <c r="M87" s="192"/>
      <c r="N87" s="192"/>
      <c r="O87" s="192"/>
      <c r="P87" s="192"/>
      <c r="Q87" s="192"/>
      <c r="R87" s="192"/>
      <c r="S87" s="192"/>
      <c r="T87" s="192"/>
      <c r="U87" s="192"/>
      <c r="V87" s="192"/>
      <c r="W87" s="192"/>
      <c r="X87" s="192"/>
      <c r="Y87" s="192"/>
      <c r="Z87" s="192"/>
      <c r="AA87" s="192"/>
      <c r="AB87" s="192"/>
      <c r="AC87" s="192"/>
      <c r="AD87" s="192"/>
    </row>
    <row r="88" spans="1:30" x14ac:dyDescent="0.25">
      <c r="A88" s="177"/>
      <c r="B88" s="177"/>
      <c r="C88" s="222"/>
      <c r="D88" s="192"/>
      <c r="E88" s="192"/>
      <c r="F88" s="192"/>
      <c r="G88" s="192"/>
      <c r="H88" s="192"/>
      <c r="I88" s="193"/>
      <c r="J88" s="193"/>
      <c r="K88" s="193"/>
      <c r="L88" s="192"/>
      <c r="M88" s="192"/>
      <c r="N88" s="192"/>
      <c r="O88" s="192"/>
      <c r="P88" s="192"/>
      <c r="Q88" s="192"/>
      <c r="R88" s="192"/>
      <c r="S88" s="192"/>
      <c r="T88" s="192"/>
      <c r="U88" s="192"/>
      <c r="V88" s="192"/>
      <c r="W88" s="192"/>
      <c r="X88" s="192"/>
      <c r="Y88" s="192"/>
      <c r="Z88" s="192"/>
      <c r="AA88" s="192"/>
      <c r="AB88" s="192"/>
      <c r="AC88" s="192"/>
      <c r="AD88" s="192"/>
    </row>
    <row r="89" spans="1:30" ht="16.5" thickBot="1" x14ac:dyDescent="0.3">
      <c r="A89" s="223"/>
      <c r="B89" s="203"/>
      <c r="C89" s="177"/>
      <c r="D89" s="192"/>
      <c r="E89" s="192"/>
      <c r="F89" s="192"/>
      <c r="G89" s="192"/>
      <c r="H89" s="192"/>
      <c r="I89" s="193"/>
      <c r="J89" s="193"/>
      <c r="K89" s="193"/>
      <c r="L89" s="192"/>
      <c r="M89" s="192"/>
      <c r="N89" s="192"/>
      <c r="O89" s="192"/>
      <c r="P89" s="192"/>
      <c r="Q89" s="192"/>
      <c r="R89" s="192"/>
      <c r="S89" s="192"/>
      <c r="T89" s="192"/>
      <c r="U89" s="192"/>
      <c r="V89" s="192"/>
      <c r="W89" s="192"/>
      <c r="X89" s="192"/>
      <c r="Y89" s="192"/>
      <c r="Z89" s="192"/>
      <c r="AA89" s="192"/>
      <c r="AB89" s="192"/>
      <c r="AC89" s="192"/>
      <c r="AD89" s="192"/>
    </row>
    <row r="90" spans="1:30" ht="18" x14ac:dyDescent="0.25">
      <c r="A90" s="176" t="s">
        <v>285</v>
      </c>
      <c r="B90" s="194" t="s">
        <v>15</v>
      </c>
      <c r="C90" s="275">
        <v>10</v>
      </c>
      <c r="D90" s="192"/>
      <c r="E90" s="192"/>
      <c r="F90" s="192"/>
      <c r="G90" s="192"/>
      <c r="H90" s="193"/>
      <c r="I90" s="193"/>
      <c r="J90" s="192"/>
      <c r="K90" s="192"/>
      <c r="L90" s="192"/>
      <c r="M90" s="192"/>
      <c r="N90" s="192"/>
      <c r="O90" s="192"/>
      <c r="P90" s="192"/>
      <c r="Q90" s="192"/>
      <c r="R90" s="192"/>
      <c r="S90" s="192"/>
      <c r="T90" s="192"/>
      <c r="U90" s="192"/>
      <c r="V90" s="192"/>
      <c r="W90" s="192"/>
      <c r="X90" s="192"/>
      <c r="Y90" s="192"/>
      <c r="Z90" s="192"/>
      <c r="AA90" s="192"/>
      <c r="AB90" s="192"/>
      <c r="AC90" s="192"/>
      <c r="AD90" s="192"/>
    </row>
    <row r="91" spans="1:30" ht="16.5" x14ac:dyDescent="0.3">
      <c r="A91" s="179"/>
      <c r="B91" s="195" t="s">
        <v>16</v>
      </c>
      <c r="C91" s="274">
        <f>10*10^-6*C90*10^-3/1.2*10^6</f>
        <v>8.3333333333333343E-2</v>
      </c>
      <c r="D91" s="192"/>
      <c r="E91" s="192"/>
      <c r="F91" s="192"/>
      <c r="G91" s="192"/>
      <c r="H91" s="192"/>
      <c r="I91" s="193"/>
      <c r="J91" s="193"/>
      <c r="K91" s="192"/>
      <c r="L91" s="192"/>
      <c r="M91" s="192"/>
      <c r="N91" s="192"/>
      <c r="O91" s="192"/>
      <c r="P91" s="192"/>
      <c r="Q91" s="192"/>
      <c r="R91" s="192"/>
      <c r="S91" s="192"/>
      <c r="T91" s="192"/>
      <c r="U91" s="192"/>
      <c r="V91" s="192"/>
      <c r="W91" s="192"/>
      <c r="X91" s="192"/>
      <c r="Y91" s="192"/>
      <c r="Z91" s="192"/>
      <c r="AA91" s="192"/>
      <c r="AB91" s="192"/>
      <c r="AC91" s="192"/>
      <c r="AD91" s="192"/>
    </row>
    <row r="92" spans="1:30" ht="16.5" thickBot="1" x14ac:dyDescent="0.3">
      <c r="A92" s="221"/>
      <c r="B92" s="205" t="s">
        <v>293</v>
      </c>
      <c r="C92" s="276">
        <v>0.1</v>
      </c>
      <c r="D92" s="192"/>
      <c r="E92" s="192"/>
      <c r="F92" s="192"/>
      <c r="G92" s="192"/>
      <c r="H92" s="192"/>
      <c r="I92" s="193"/>
      <c r="J92" s="193"/>
      <c r="K92" s="192"/>
      <c r="L92" s="192"/>
      <c r="M92" s="192"/>
      <c r="N92" s="192"/>
      <c r="O92" s="192"/>
      <c r="P92" s="192"/>
      <c r="Q92" s="192"/>
      <c r="R92" s="192"/>
      <c r="S92" s="192"/>
      <c r="T92" s="192"/>
      <c r="U92" s="192"/>
      <c r="V92" s="192"/>
      <c r="W92" s="192"/>
      <c r="X92" s="192"/>
      <c r="Y92" s="192"/>
      <c r="Z92" s="192"/>
      <c r="AA92" s="192"/>
      <c r="AB92" s="192"/>
      <c r="AC92" s="192"/>
      <c r="AD92" s="192"/>
    </row>
    <row r="93" spans="1:30" ht="16.5" thickBot="1" x14ac:dyDescent="0.3">
      <c r="A93" s="177"/>
      <c r="B93" s="177"/>
      <c r="C93" s="177"/>
      <c r="D93" s="192"/>
      <c r="E93" s="192"/>
      <c r="F93" s="192"/>
      <c r="G93" s="192"/>
      <c r="H93" s="192"/>
      <c r="I93" s="192"/>
      <c r="J93" s="192"/>
      <c r="K93" s="192"/>
      <c r="L93" s="192"/>
      <c r="M93" s="192"/>
      <c r="N93" s="192"/>
      <c r="O93" s="192"/>
      <c r="P93" s="192"/>
      <c r="Q93" s="192"/>
      <c r="R93" s="192"/>
      <c r="S93" s="192"/>
      <c r="T93" s="192"/>
      <c r="U93" s="192"/>
      <c r="V93" s="192"/>
      <c r="W93" s="192"/>
      <c r="X93" s="192"/>
      <c r="Y93" s="192"/>
      <c r="Z93" s="192"/>
      <c r="AA93" s="192"/>
      <c r="AB93" s="192"/>
      <c r="AC93" s="192"/>
      <c r="AD93" s="192"/>
    </row>
    <row r="94" spans="1:30" ht="18" x14ac:dyDescent="0.25">
      <c r="A94" s="176" t="s">
        <v>336</v>
      </c>
      <c r="B94" s="224"/>
      <c r="C94" s="216"/>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row>
    <row r="95" spans="1:30" x14ac:dyDescent="0.25">
      <c r="A95" s="174"/>
      <c r="B95" s="201"/>
      <c r="C95" s="257"/>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row>
    <row r="96" spans="1:30" ht="18.75" x14ac:dyDescent="0.35">
      <c r="A96" s="218" t="s">
        <v>305</v>
      </c>
      <c r="B96" s="225" t="s">
        <v>323</v>
      </c>
      <c r="C96" s="257"/>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row>
    <row r="97" spans="1:30" ht="19.5" x14ac:dyDescent="0.35">
      <c r="A97" s="174" t="s">
        <v>306</v>
      </c>
      <c r="B97" s="226" t="s">
        <v>325</v>
      </c>
      <c r="C97" s="271">
        <f>'Variable Management'!B84</f>
        <v>0.18314999999999995</v>
      </c>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row>
    <row r="98" spans="1:30" ht="19.5" x14ac:dyDescent="0.35">
      <c r="A98" s="174"/>
      <c r="B98" s="226" t="s">
        <v>324</v>
      </c>
      <c r="C98" s="272">
        <f>'Variable Management'!B85</f>
        <v>0.14985000000000001</v>
      </c>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row>
    <row r="99" spans="1:30" ht="19.5" x14ac:dyDescent="0.35">
      <c r="A99" s="174"/>
      <c r="B99" s="226" t="s">
        <v>322</v>
      </c>
      <c r="C99" s="272">
        <f>'Variable Management'!B86</f>
        <v>0.19800000000000001</v>
      </c>
      <c r="D99" s="192"/>
      <c r="E99" s="192"/>
      <c r="F99" s="192"/>
      <c r="G99" s="192"/>
      <c r="H99" s="192"/>
      <c r="I99" s="192"/>
      <c r="J99" s="192"/>
      <c r="K99" s="192"/>
      <c r="L99" s="192"/>
      <c r="M99" s="192"/>
      <c r="N99" s="192"/>
      <c r="O99" s="192"/>
      <c r="P99" s="192"/>
      <c r="Q99" s="192"/>
      <c r="R99" s="192"/>
      <c r="S99" s="192"/>
      <c r="T99" s="192"/>
      <c r="U99" s="192"/>
      <c r="V99" s="192"/>
      <c r="W99" s="192"/>
      <c r="X99" s="192"/>
      <c r="Y99" s="192"/>
      <c r="Z99" s="192"/>
      <c r="AA99" s="192"/>
      <c r="AB99" s="192"/>
      <c r="AC99" s="192"/>
      <c r="AD99" s="192"/>
    </row>
    <row r="100" spans="1:30" x14ac:dyDescent="0.25">
      <c r="A100" s="174" t="s">
        <v>18</v>
      </c>
      <c r="B100" s="226" t="s">
        <v>56</v>
      </c>
      <c r="C100" s="272">
        <f>'Variable Management'!B87</f>
        <v>4.752E-2</v>
      </c>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row>
    <row r="101" spans="1:30" ht="18.75" x14ac:dyDescent="0.35">
      <c r="A101" s="174"/>
      <c r="B101" s="227" t="s">
        <v>326</v>
      </c>
      <c r="C101" s="272">
        <f>SUM(C97:C100)</f>
        <v>0.57851999999999992</v>
      </c>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row>
    <row r="102" spans="1:30" x14ac:dyDescent="0.25">
      <c r="A102" s="174"/>
      <c r="B102" s="228"/>
      <c r="C102" s="243"/>
      <c r="D102" s="192"/>
      <c r="E102" s="192"/>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row>
    <row r="103" spans="1:30" x14ac:dyDescent="0.25">
      <c r="A103" s="174"/>
      <c r="B103" s="225" t="s">
        <v>53</v>
      </c>
      <c r="C103" s="243"/>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row>
    <row r="104" spans="1:30" ht="19.5" x14ac:dyDescent="0.35">
      <c r="A104" s="174"/>
      <c r="B104" s="226" t="s">
        <v>327</v>
      </c>
      <c r="C104" s="273">
        <f>C18^2*C33</f>
        <v>0.1017</v>
      </c>
      <c r="D104" s="229"/>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row>
    <row r="105" spans="1:30" x14ac:dyDescent="0.25">
      <c r="A105" s="174"/>
      <c r="B105" s="230" t="s">
        <v>54</v>
      </c>
      <c r="C105" s="243"/>
      <c r="D105" s="192"/>
      <c r="E105" s="192"/>
      <c r="F105" s="192"/>
      <c r="G105" s="192"/>
      <c r="H105" s="192"/>
      <c r="I105" s="192"/>
      <c r="J105" s="192"/>
      <c r="K105" s="192"/>
      <c r="L105" s="192"/>
      <c r="M105" s="192"/>
      <c r="N105" s="192"/>
      <c r="O105" s="192"/>
      <c r="P105" s="192"/>
      <c r="Q105" s="192"/>
      <c r="R105" s="192"/>
      <c r="S105" s="192"/>
      <c r="T105" s="192"/>
      <c r="U105" s="192"/>
      <c r="V105" s="192"/>
      <c r="W105" s="192"/>
      <c r="X105" s="192"/>
      <c r="Y105" s="192"/>
      <c r="Z105" s="192"/>
      <c r="AA105" s="192"/>
      <c r="AB105" s="192"/>
      <c r="AC105" s="192"/>
      <c r="AD105" s="192"/>
    </row>
    <row r="106" spans="1:30" x14ac:dyDescent="0.25">
      <c r="A106" s="174"/>
      <c r="B106" s="231" t="s">
        <v>308</v>
      </c>
      <c r="C106" s="273">
        <f>C18^2*C40</f>
        <v>0.09</v>
      </c>
      <c r="D106" s="23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c r="AA106" s="192"/>
      <c r="AB106" s="192"/>
      <c r="AC106" s="192"/>
      <c r="AD106" s="192"/>
    </row>
    <row r="107" spans="1:30" x14ac:dyDescent="0.25">
      <c r="A107" s="174"/>
      <c r="B107" s="230" t="s">
        <v>309</v>
      </c>
      <c r="C107" s="243"/>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2"/>
      <c r="AD107" s="192"/>
    </row>
    <row r="108" spans="1:30" x14ac:dyDescent="0.25">
      <c r="A108" s="174"/>
      <c r="B108" s="228" t="s">
        <v>337</v>
      </c>
      <c r="C108" s="274">
        <f>(C15-5)*C77*C27*2*0.000000001</f>
        <v>0.154</v>
      </c>
      <c r="D108" s="192"/>
      <c r="E108" s="192"/>
      <c r="F108" s="192"/>
      <c r="G108" s="192"/>
      <c r="H108" s="192"/>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2"/>
    </row>
    <row r="109" spans="1:30" x14ac:dyDescent="0.25">
      <c r="A109" s="174"/>
      <c r="B109" s="228" t="s">
        <v>302</v>
      </c>
      <c r="C109" s="274">
        <f>5*C77*C27*2*0.000000001</f>
        <v>0.11</v>
      </c>
      <c r="D109" s="192"/>
      <c r="E109" s="192"/>
      <c r="F109" s="192"/>
      <c r="G109" s="192"/>
      <c r="H109" s="192"/>
      <c r="I109" s="192"/>
      <c r="J109" s="192"/>
      <c r="K109" s="192"/>
      <c r="L109" s="192"/>
      <c r="M109" s="192"/>
      <c r="N109" s="192"/>
      <c r="O109" s="192"/>
      <c r="P109" s="192"/>
      <c r="Q109" s="192"/>
      <c r="R109" s="192"/>
      <c r="S109" s="192"/>
      <c r="T109" s="192"/>
      <c r="U109" s="192"/>
      <c r="V109" s="192"/>
      <c r="W109" s="192"/>
      <c r="X109" s="192"/>
      <c r="Y109" s="192"/>
      <c r="Z109" s="192"/>
      <c r="AA109" s="192"/>
      <c r="AB109" s="192"/>
      <c r="AC109" s="192"/>
      <c r="AD109" s="192"/>
    </row>
    <row r="110" spans="1:30" x14ac:dyDescent="0.25">
      <c r="A110" s="174"/>
      <c r="B110" s="225" t="s">
        <v>303</v>
      </c>
      <c r="C110" s="274">
        <f>C101+C104+C109+C106</f>
        <v>0.88021999999999989</v>
      </c>
      <c r="D110" s="192"/>
      <c r="E110" s="192"/>
      <c r="F110" s="192"/>
      <c r="G110" s="192"/>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row>
    <row r="111" spans="1:30" x14ac:dyDescent="0.25">
      <c r="A111" s="174"/>
      <c r="B111" s="228"/>
      <c r="C111" s="243"/>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row>
    <row r="112" spans="1:30" ht="16.5" thickBot="1" x14ac:dyDescent="0.3">
      <c r="A112" s="204"/>
      <c r="B112" s="233" t="s">
        <v>338</v>
      </c>
      <c r="C112" s="266">
        <f>((C17*C18)/((C17*C18)+(C110)))*100</f>
        <v>95.743662301464866</v>
      </c>
      <c r="D112" s="192"/>
      <c r="E112" s="192"/>
      <c r="F112" s="192"/>
      <c r="G112" s="192"/>
      <c r="H112" s="192"/>
      <c r="I112" s="192"/>
      <c r="J112" s="192"/>
      <c r="K112" s="192"/>
      <c r="L112" s="192"/>
      <c r="M112" s="192"/>
      <c r="N112" s="192"/>
      <c r="O112" s="192"/>
      <c r="P112" s="192"/>
      <c r="Q112" s="192"/>
      <c r="R112" s="192"/>
      <c r="S112" s="192"/>
      <c r="T112" s="192"/>
      <c r="U112" s="192"/>
      <c r="V112" s="192"/>
      <c r="W112" s="192"/>
      <c r="X112" s="192"/>
      <c r="Y112" s="192"/>
      <c r="Z112" s="192"/>
      <c r="AA112" s="192"/>
      <c r="AB112" s="192"/>
      <c r="AC112" s="192"/>
      <c r="AD112" s="192"/>
    </row>
    <row r="113" spans="1:64" x14ac:dyDescent="0.25">
      <c r="A113" s="201"/>
      <c r="B113" s="228"/>
      <c r="C113" s="201"/>
      <c r="D113" s="192"/>
      <c r="E113" s="192"/>
      <c r="F113" s="192"/>
      <c r="G113" s="192"/>
      <c r="H113" s="192"/>
      <c r="I113" s="192"/>
      <c r="J113" s="192"/>
      <c r="K113" s="192"/>
      <c r="L113" s="192"/>
      <c r="M113" s="192"/>
      <c r="N113" s="192"/>
      <c r="O113" s="192"/>
      <c r="P113" s="192"/>
      <c r="Q113" s="192"/>
      <c r="R113" s="192"/>
      <c r="S113" s="192"/>
      <c r="T113" s="192"/>
      <c r="U113" s="192"/>
      <c r="V113" s="192"/>
      <c r="W113" s="192"/>
      <c r="X113" s="192"/>
      <c r="Y113" s="192"/>
      <c r="Z113" s="192"/>
      <c r="AA113" s="192"/>
      <c r="AB113" s="192"/>
      <c r="AC113" s="192"/>
      <c r="AD113" s="192"/>
      <c r="BK113" s="181"/>
      <c r="BL113" s="181"/>
    </row>
    <row r="114" spans="1:64" s="183" customFormat="1" x14ac:dyDescent="0.25">
      <c r="A114" s="192"/>
      <c r="B114" s="192"/>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81"/>
      <c r="AF114" s="181"/>
      <c r="AG114" s="181"/>
      <c r="AH114" s="181"/>
      <c r="AI114" s="181"/>
      <c r="AJ114" s="181"/>
      <c r="AK114" s="181"/>
      <c r="AL114" s="181"/>
      <c r="AM114" s="181"/>
      <c r="AN114" s="181"/>
      <c r="AO114" s="181"/>
      <c r="AP114" s="181"/>
      <c r="AQ114" s="181"/>
      <c r="AR114" s="181"/>
      <c r="AS114" s="181"/>
      <c r="AT114" s="181"/>
      <c r="AU114" s="181"/>
      <c r="AV114" s="181"/>
      <c r="AW114" s="181"/>
      <c r="AX114" s="181"/>
      <c r="AY114" s="181"/>
      <c r="AZ114" s="181"/>
      <c r="BA114" s="181"/>
      <c r="BB114" s="181"/>
      <c r="BC114" s="181"/>
      <c r="BD114" s="181"/>
      <c r="BE114" s="181"/>
      <c r="BF114" s="181"/>
      <c r="BG114" s="181"/>
      <c r="BH114" s="181"/>
      <c r="BI114" s="181"/>
      <c r="BJ114" s="181"/>
      <c r="BK114" s="181"/>
      <c r="BL114" s="181"/>
    </row>
    <row r="115" spans="1:64" x14ac:dyDescent="0.25">
      <c r="A115" s="192"/>
      <c r="B115" s="192"/>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row>
    <row r="116" spans="1:64" x14ac:dyDescent="0.25">
      <c r="A116" s="192"/>
      <c r="B116" s="192"/>
      <c r="C116" s="192"/>
      <c r="D116" s="192"/>
      <c r="E116" s="192"/>
      <c r="F116" s="192"/>
      <c r="G116" s="192"/>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row>
    <row r="117" spans="1:64" s="181" customFormat="1" x14ac:dyDescent="0.25"/>
    <row r="118" spans="1:64" s="181" customFormat="1" x14ac:dyDescent="0.25"/>
    <row r="119" spans="1:64" s="181" customFormat="1" x14ac:dyDescent="0.25"/>
    <row r="120" spans="1:64" s="181" customFormat="1" x14ac:dyDescent="0.25"/>
    <row r="121" spans="1:64" s="181" customFormat="1" x14ac:dyDescent="0.25"/>
    <row r="122" spans="1:64" s="181" customFormat="1" x14ac:dyDescent="0.25"/>
    <row r="123" spans="1:64" s="181" customFormat="1" x14ac:dyDescent="0.25"/>
    <row r="124" spans="1:64" s="181" customFormat="1" x14ac:dyDescent="0.25"/>
    <row r="125" spans="1:64" s="181" customFormat="1" x14ac:dyDescent="0.25"/>
    <row r="126" spans="1:64" s="181" customFormat="1" x14ac:dyDescent="0.25"/>
    <row r="127" spans="1:64" s="181" customFormat="1" x14ac:dyDescent="0.25"/>
    <row r="128" spans="1:64" s="181" customFormat="1" x14ac:dyDescent="0.25"/>
    <row r="129" s="181" customFormat="1" x14ac:dyDescent="0.25"/>
    <row r="130" s="181" customFormat="1" x14ac:dyDescent="0.25"/>
    <row r="131" s="181" customFormat="1" x14ac:dyDescent="0.25"/>
    <row r="132" s="181" customFormat="1" x14ac:dyDescent="0.25"/>
    <row r="133" s="181" customFormat="1" x14ac:dyDescent="0.25"/>
    <row r="134" s="181" customFormat="1" x14ac:dyDescent="0.25"/>
    <row r="135" s="181" customFormat="1" x14ac:dyDescent="0.25"/>
    <row r="136" s="181" customFormat="1" x14ac:dyDescent="0.25"/>
    <row r="137" s="181" customFormat="1" x14ac:dyDescent="0.25"/>
    <row r="138" s="181" customFormat="1" x14ac:dyDescent="0.25"/>
    <row r="139" s="181" customFormat="1" x14ac:dyDescent="0.25"/>
    <row r="140" s="181" customFormat="1" x14ac:dyDescent="0.25"/>
    <row r="141" s="181" customFormat="1" x14ac:dyDescent="0.25"/>
    <row r="142" s="181" customFormat="1" x14ac:dyDescent="0.25"/>
    <row r="143" s="181" customFormat="1" x14ac:dyDescent="0.25"/>
    <row r="144" s="181" customFormat="1" x14ac:dyDescent="0.25"/>
    <row r="145" spans="20:28" s="181" customFormat="1" x14ac:dyDescent="0.25"/>
    <row r="146" spans="20:28" s="181" customFormat="1" x14ac:dyDescent="0.25"/>
    <row r="147" spans="20:28" s="181" customFormat="1" x14ac:dyDescent="0.25"/>
    <row r="148" spans="20:28" s="181" customFormat="1" x14ac:dyDescent="0.25"/>
    <row r="149" spans="20:28" s="181" customFormat="1" x14ac:dyDescent="0.25"/>
    <row r="150" spans="20:28" s="181" customFormat="1" x14ac:dyDescent="0.25"/>
    <row r="151" spans="20:28" s="181" customFormat="1" x14ac:dyDescent="0.25"/>
    <row r="152" spans="20:28" s="181" customFormat="1" x14ac:dyDescent="0.25"/>
    <row r="153" spans="20:28" x14ac:dyDescent="0.25">
      <c r="T153" s="234"/>
      <c r="U153" s="234"/>
      <c r="V153" s="234"/>
      <c r="W153" s="234"/>
      <c r="X153" s="234"/>
      <c r="Y153" s="234"/>
      <c r="Z153" s="234"/>
      <c r="AA153" s="234"/>
      <c r="AB153" s="234"/>
    </row>
    <row r="154" spans="20:28" x14ac:dyDescent="0.25">
      <c r="T154" s="234"/>
      <c r="U154" s="234"/>
      <c r="V154" s="234"/>
      <c r="W154" s="234"/>
      <c r="X154" s="234"/>
      <c r="Y154" s="234"/>
      <c r="Z154" s="234"/>
      <c r="AA154" s="234"/>
      <c r="AB154" s="234"/>
    </row>
  </sheetData>
  <sheetProtection password="C799" sheet="1" objects="1" scenarios="1"/>
  <protectedRanges>
    <protectedRange password="C7D9" sqref="C90" name="Range13"/>
    <protectedRange password="C7D9" sqref="C32:C33" name="Range3"/>
    <protectedRange password="C7D9" sqref="C27 H7 C7" name="Range2"/>
    <protectedRange password="C7D9" sqref="C14:C18" name="Range1"/>
    <protectedRange password="C7D9" sqref="C35" name="Range4"/>
    <protectedRange password="C7D9" sqref="C37:C38" name="Range5"/>
    <protectedRange password="C7D9" sqref="C40" name="Range6"/>
    <protectedRange password="C7D9" sqref="C45:C49" name="Range7"/>
    <protectedRange password="C7D9" sqref="C55" name="Range8"/>
    <protectedRange password="C7D9" sqref="C61" name="Range9"/>
    <protectedRange password="C7D9" sqref="C65:C67" name="Range10"/>
    <protectedRange password="C7D9" sqref="C71" name="Range11"/>
    <protectedRange password="C7D9" sqref="C81 C77" name="Range12"/>
    <protectedRange password="C7D9" sqref="C75:C85" name="Range14"/>
  </protectedRanges>
  <phoneticPr fontId="40" type="noConversion"/>
  <conditionalFormatting sqref="C36">
    <cfRule type="expression" dxfId="0" priority="19">
      <formula>#REF!="Vout too large"</formula>
    </cfRule>
  </conditionalFormatting>
  <dataValidations count="5">
    <dataValidation type="decimal" allowBlank="1" showInputMessage="1" showErrorMessage="1" promptTitle="Vsense" sqref="C22">
      <formula1>0.048</formula1>
      <formula2>0.073</formula2>
    </dataValidation>
    <dataValidation type="decimal" showInputMessage="1" showErrorMessage="1" error="VOUT minimum is 1.5V, Vout maximum is 15V." sqref="C17">
      <formula1>1.5</formula1>
      <formula2>15</formula2>
    </dataValidation>
    <dataValidation type="decimal" allowBlank="1" showInputMessage="1" showErrorMessage="1" error="Vout must be between 1.5V and 15V" sqref="C60">
      <formula1>1.5</formula1>
      <formula2>15</formula2>
    </dataValidation>
    <dataValidation type="decimal" allowBlank="1" showInputMessage="1" showErrorMessage="1" error="Frequency must be between 1.8MHz and 2.53MHz" sqref="C23">
      <formula1>1.8</formula1>
      <formula2>2.53</formula2>
    </dataValidation>
    <dataValidation type="decimal" allowBlank="1" showInputMessage="1" showErrorMessage="1" error="Oscillator must be between 300kHz and 500kHz" sqref="C25">
      <formula1>300</formula1>
      <formula2>500</formula2>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81"/>
  <sheetViews>
    <sheetView topLeftCell="A32" zoomScale="70" zoomScaleNormal="70" workbookViewId="0">
      <selection activeCell="G84" sqref="G84"/>
    </sheetView>
  </sheetViews>
  <sheetFormatPr defaultRowHeight="15.75" x14ac:dyDescent="0.25"/>
  <cols>
    <col min="1" max="1" width="10.28515625" style="110" bestFit="1" customWidth="1"/>
    <col min="2" max="2" width="14.85546875" style="110" customWidth="1"/>
    <col min="3" max="3" width="37.140625" style="110" bestFit="1" customWidth="1"/>
    <col min="4" max="4" width="20.140625" style="110" customWidth="1"/>
    <col min="5" max="5" width="17.28515625" style="110" customWidth="1"/>
    <col min="6" max="6" width="20.5703125" style="110" bestFit="1" customWidth="1"/>
    <col min="7" max="7" width="9.7109375" style="110" customWidth="1"/>
    <col min="8" max="8" width="16.140625" style="110" customWidth="1"/>
    <col min="9" max="9" width="18.140625" style="110" customWidth="1"/>
    <col min="10" max="10" width="17.28515625" style="110" customWidth="1"/>
    <col min="11" max="11" width="10" style="19" customWidth="1"/>
    <col min="12" max="39" width="8.85546875" style="19"/>
  </cols>
  <sheetData>
    <row r="1" spans="1:10" x14ac:dyDescent="0.25">
      <c r="A1" s="106"/>
      <c r="B1" s="106"/>
      <c r="C1" s="106"/>
      <c r="D1" s="106"/>
      <c r="E1" s="106"/>
      <c r="F1" s="106"/>
      <c r="G1" s="106"/>
      <c r="H1" s="106"/>
      <c r="I1" s="106"/>
      <c r="J1" s="106"/>
    </row>
    <row r="2" spans="1:10" x14ac:dyDescent="0.25">
      <c r="A2" s="106"/>
      <c r="B2" s="106"/>
      <c r="C2" s="106"/>
      <c r="D2" s="106"/>
      <c r="E2" s="106"/>
      <c r="F2" s="106"/>
      <c r="G2" s="106"/>
      <c r="H2" s="106"/>
      <c r="I2" s="106"/>
      <c r="J2" s="106"/>
    </row>
    <row r="3" spans="1:10" x14ac:dyDescent="0.25">
      <c r="A3" s="106"/>
      <c r="B3" s="106"/>
      <c r="C3" s="106"/>
      <c r="D3" s="106"/>
      <c r="E3" s="106"/>
      <c r="F3" s="106"/>
      <c r="G3" s="106"/>
      <c r="H3" s="106"/>
      <c r="I3" s="106"/>
      <c r="J3" s="106"/>
    </row>
    <row r="4" spans="1:10" x14ac:dyDescent="0.25">
      <c r="A4" s="106"/>
      <c r="B4" s="106"/>
      <c r="C4" s="106"/>
      <c r="D4" s="106"/>
      <c r="E4" s="106"/>
      <c r="F4" s="106"/>
      <c r="G4" s="106"/>
      <c r="H4" s="106"/>
      <c r="I4" s="106"/>
      <c r="J4" s="106"/>
    </row>
    <row r="5" spans="1:10" x14ac:dyDescent="0.25">
      <c r="A5" s="106"/>
      <c r="B5" s="106"/>
      <c r="C5" s="106"/>
      <c r="D5" s="106"/>
      <c r="E5" s="106"/>
      <c r="F5" s="106"/>
      <c r="G5" s="106"/>
      <c r="H5" s="106"/>
      <c r="I5" s="106"/>
      <c r="J5" s="106"/>
    </row>
    <row r="6" spans="1:10" x14ac:dyDescent="0.25">
      <c r="A6" s="106"/>
      <c r="B6" s="106"/>
      <c r="C6" s="106"/>
      <c r="D6" s="106"/>
      <c r="E6" s="106"/>
      <c r="F6" s="106"/>
      <c r="G6" s="106"/>
      <c r="H6" s="106"/>
      <c r="I6" s="106"/>
      <c r="J6" s="106"/>
    </row>
    <row r="7" spans="1:10" x14ac:dyDescent="0.25">
      <c r="A7" s="106"/>
      <c r="B7" s="106"/>
      <c r="C7" s="106"/>
      <c r="D7" s="106"/>
      <c r="E7" s="106"/>
      <c r="F7" s="106"/>
      <c r="G7" s="106"/>
      <c r="H7" s="106"/>
      <c r="I7" s="106"/>
      <c r="J7" s="106"/>
    </row>
    <row r="8" spans="1:10" x14ac:dyDescent="0.25">
      <c r="A8" s="106"/>
      <c r="B8" s="106"/>
      <c r="C8" s="106"/>
      <c r="D8" s="106"/>
      <c r="E8" s="106"/>
      <c r="F8" s="106"/>
      <c r="G8" s="106"/>
      <c r="H8" s="106"/>
      <c r="I8" s="106"/>
      <c r="J8" s="106"/>
    </row>
    <row r="9" spans="1:10" x14ac:dyDescent="0.25">
      <c r="A9" s="106"/>
      <c r="B9" s="106"/>
      <c r="C9" s="106"/>
      <c r="D9" s="106"/>
      <c r="E9" s="106"/>
      <c r="F9" s="106"/>
      <c r="G9" s="106"/>
      <c r="H9" s="106"/>
      <c r="I9" s="106"/>
      <c r="J9" s="106"/>
    </row>
    <row r="10" spans="1:10" x14ac:dyDescent="0.25">
      <c r="A10" s="106"/>
      <c r="B10" s="106"/>
      <c r="C10" s="106"/>
      <c r="D10" s="106"/>
      <c r="E10" s="106"/>
      <c r="F10" s="106"/>
      <c r="G10" s="106"/>
      <c r="H10" s="106"/>
      <c r="I10" s="106"/>
      <c r="J10" s="106"/>
    </row>
    <row r="11" spans="1:10" x14ac:dyDescent="0.25">
      <c r="A11" s="106"/>
      <c r="B11" s="106"/>
      <c r="C11" s="106"/>
      <c r="D11" s="106"/>
      <c r="E11" s="106"/>
      <c r="F11" s="106"/>
      <c r="G11" s="106"/>
      <c r="H11" s="106"/>
      <c r="I11" s="106"/>
      <c r="J11" s="106"/>
    </row>
    <row r="12" spans="1:10" x14ac:dyDescent="0.25">
      <c r="A12" s="106"/>
      <c r="B12" s="106"/>
      <c r="C12" s="106"/>
      <c r="D12" s="106"/>
      <c r="E12" s="106"/>
      <c r="F12" s="106"/>
      <c r="G12" s="106"/>
      <c r="H12" s="106"/>
      <c r="I12" s="106"/>
      <c r="J12" s="106"/>
    </row>
    <row r="13" spans="1:10" x14ac:dyDescent="0.25">
      <c r="A13" s="106"/>
      <c r="B13" s="106"/>
      <c r="C13" s="106"/>
      <c r="D13" s="106"/>
      <c r="E13" s="106"/>
      <c r="F13" s="106"/>
      <c r="G13" s="106"/>
      <c r="H13" s="106"/>
      <c r="I13" s="106"/>
      <c r="J13" s="106"/>
    </row>
    <row r="14" spans="1:10" x14ac:dyDescent="0.25">
      <c r="A14" s="106"/>
      <c r="B14" s="106"/>
      <c r="C14" s="106"/>
      <c r="D14" s="106"/>
      <c r="E14" s="106"/>
      <c r="F14" s="106"/>
      <c r="G14" s="106"/>
      <c r="H14" s="106"/>
      <c r="I14" s="106"/>
      <c r="J14" s="106"/>
    </row>
    <row r="15" spans="1:10" x14ac:dyDescent="0.25">
      <c r="A15" s="106"/>
      <c r="B15" s="106"/>
      <c r="C15" s="106"/>
      <c r="D15" s="106"/>
      <c r="E15" s="106"/>
      <c r="F15" s="106"/>
      <c r="G15" s="106"/>
      <c r="H15" s="106"/>
      <c r="I15" s="106"/>
      <c r="J15" s="106"/>
    </row>
    <row r="16" spans="1:10" x14ac:dyDescent="0.25">
      <c r="A16" s="106"/>
      <c r="B16" s="106"/>
      <c r="C16" s="106"/>
      <c r="D16" s="106"/>
      <c r="E16" s="106"/>
      <c r="F16" s="106"/>
      <c r="G16" s="106"/>
      <c r="H16" s="106"/>
      <c r="I16" s="106"/>
      <c r="J16" s="106"/>
    </row>
    <row r="17" spans="1:10" x14ac:dyDescent="0.25">
      <c r="A17" s="106"/>
      <c r="B17" s="106"/>
      <c r="C17" s="106">
        <v>5</v>
      </c>
      <c r="D17" s="106"/>
      <c r="E17" s="106"/>
      <c r="F17" s="106"/>
      <c r="G17" s="106"/>
      <c r="H17" s="106"/>
      <c r="I17" s="106"/>
      <c r="J17" s="106"/>
    </row>
    <row r="18" spans="1:10" x14ac:dyDescent="0.25">
      <c r="A18" s="106"/>
      <c r="B18" s="106"/>
      <c r="C18" s="106"/>
      <c r="D18" s="106"/>
      <c r="E18" s="106"/>
      <c r="F18" s="106"/>
      <c r="G18" s="106"/>
      <c r="H18" s="106"/>
      <c r="I18" s="106"/>
      <c r="J18" s="106"/>
    </row>
    <row r="19" spans="1:10" x14ac:dyDescent="0.25">
      <c r="A19" s="106"/>
      <c r="B19" s="106"/>
      <c r="C19" s="106"/>
      <c r="D19" s="106"/>
      <c r="E19" s="106"/>
      <c r="F19" s="106"/>
      <c r="G19" s="106"/>
      <c r="H19" s="106"/>
      <c r="I19" s="106"/>
      <c r="J19" s="106"/>
    </row>
    <row r="20" spans="1:10" x14ac:dyDescent="0.25">
      <c r="A20" s="106"/>
      <c r="B20" s="106"/>
      <c r="C20" s="106"/>
      <c r="D20" s="106"/>
      <c r="E20" s="106"/>
      <c r="F20" s="106"/>
      <c r="G20" s="106"/>
      <c r="H20" s="106"/>
      <c r="I20" s="106"/>
      <c r="J20" s="106"/>
    </row>
    <row r="21" spans="1:10" x14ac:dyDescent="0.25">
      <c r="A21" s="106"/>
      <c r="B21" s="106"/>
      <c r="C21" s="106"/>
      <c r="D21" s="106"/>
      <c r="E21" s="106"/>
      <c r="F21" s="106"/>
      <c r="G21" s="106"/>
      <c r="H21" s="106"/>
      <c r="I21" s="106"/>
      <c r="J21" s="106"/>
    </row>
    <row r="22" spans="1:10" x14ac:dyDescent="0.25">
      <c r="A22" s="106"/>
      <c r="B22" s="106"/>
      <c r="C22" s="106"/>
      <c r="D22" s="106"/>
      <c r="E22" s="106"/>
      <c r="F22" s="106"/>
      <c r="G22" s="106"/>
      <c r="H22" s="106"/>
      <c r="I22" s="106"/>
      <c r="J22" s="106"/>
    </row>
    <row r="23" spans="1:10" x14ac:dyDescent="0.25">
      <c r="A23" s="106"/>
      <c r="B23" s="106"/>
      <c r="C23" s="106"/>
      <c r="D23" s="106"/>
      <c r="E23" s="106"/>
      <c r="F23" s="106"/>
      <c r="G23" s="106"/>
      <c r="H23" s="106"/>
      <c r="I23" s="106"/>
      <c r="J23" s="106"/>
    </row>
    <row r="24" spans="1:10" x14ac:dyDescent="0.25">
      <c r="A24" s="106"/>
      <c r="B24" s="106"/>
      <c r="C24" s="106"/>
      <c r="D24" s="106"/>
      <c r="E24" s="106"/>
      <c r="F24" s="106"/>
      <c r="G24" s="106"/>
      <c r="H24" s="106"/>
      <c r="I24" s="106"/>
      <c r="J24" s="106"/>
    </row>
    <row r="25" spans="1:10" x14ac:dyDescent="0.25">
      <c r="A25" s="106"/>
      <c r="B25" s="106"/>
      <c r="C25" s="106"/>
      <c r="D25" s="106"/>
      <c r="E25" s="106"/>
      <c r="F25" s="106"/>
      <c r="G25" s="106"/>
      <c r="H25" s="106"/>
      <c r="I25" s="106"/>
      <c r="J25" s="106"/>
    </row>
    <row r="26" spans="1:10" x14ac:dyDescent="0.25">
      <c r="A26" s="106"/>
      <c r="B26" s="106"/>
      <c r="C26" s="106"/>
      <c r="D26" s="106"/>
      <c r="E26" s="106"/>
      <c r="F26" s="106"/>
      <c r="G26" s="106"/>
      <c r="H26" s="106"/>
      <c r="I26" s="106"/>
      <c r="J26" s="106"/>
    </row>
    <row r="27" spans="1:10" x14ac:dyDescent="0.25">
      <c r="A27" s="106"/>
      <c r="B27" s="106"/>
      <c r="C27" s="106"/>
      <c r="D27" s="106"/>
      <c r="E27" s="106"/>
      <c r="F27" s="106"/>
      <c r="G27" s="106"/>
      <c r="H27" s="106"/>
      <c r="I27" s="106"/>
      <c r="J27" s="106"/>
    </row>
    <row r="28" spans="1:10" x14ac:dyDescent="0.25">
      <c r="A28" s="106"/>
      <c r="B28" s="106"/>
      <c r="C28" s="106"/>
      <c r="D28" s="106"/>
      <c r="E28" s="106"/>
      <c r="F28" s="106"/>
      <c r="G28" s="106"/>
      <c r="H28" s="106"/>
      <c r="I28" s="106"/>
      <c r="J28" s="106"/>
    </row>
    <row r="29" spans="1:10" x14ac:dyDescent="0.25">
      <c r="A29" s="106"/>
      <c r="B29" s="106"/>
      <c r="C29" s="106"/>
      <c r="D29" s="106"/>
      <c r="E29" s="106"/>
      <c r="F29" s="106"/>
      <c r="G29" s="106"/>
      <c r="H29" s="106"/>
      <c r="I29" s="106"/>
      <c r="J29" s="106"/>
    </row>
    <row r="30" spans="1:10" x14ac:dyDescent="0.25">
      <c r="A30" s="106"/>
      <c r="B30" s="106"/>
      <c r="C30" s="106"/>
      <c r="D30" s="106"/>
      <c r="E30" s="106"/>
      <c r="F30" s="106"/>
      <c r="G30" s="106"/>
      <c r="H30" s="106"/>
      <c r="I30" s="106"/>
      <c r="J30" s="106"/>
    </row>
    <row r="31" spans="1:10" x14ac:dyDescent="0.25">
      <c r="A31" s="106"/>
      <c r="B31" s="106"/>
      <c r="C31" s="106"/>
      <c r="D31" s="106"/>
      <c r="E31" s="106"/>
      <c r="F31" s="106"/>
      <c r="G31" s="106"/>
      <c r="H31" s="106"/>
      <c r="I31" s="106"/>
      <c r="J31" s="106"/>
    </row>
    <row r="32" spans="1:10" x14ac:dyDescent="0.25">
      <c r="A32" s="106"/>
      <c r="B32" s="106"/>
      <c r="C32" s="106"/>
      <c r="D32" s="106"/>
      <c r="E32" s="106"/>
      <c r="F32" s="106"/>
      <c r="G32" s="106"/>
      <c r="H32" s="106"/>
      <c r="I32" s="106"/>
      <c r="J32" s="106"/>
    </row>
    <row r="33" spans="1:10" x14ac:dyDescent="0.25">
      <c r="A33" s="106"/>
      <c r="B33" s="106"/>
      <c r="C33" s="106"/>
      <c r="D33" s="106"/>
      <c r="E33" s="106"/>
      <c r="F33" s="106"/>
      <c r="G33" s="106"/>
      <c r="H33" s="106"/>
      <c r="I33" s="106"/>
      <c r="J33" s="106"/>
    </row>
    <row r="34" spans="1:10" x14ac:dyDescent="0.25">
      <c r="A34" s="106"/>
      <c r="B34" s="106"/>
      <c r="C34" s="106"/>
      <c r="D34" s="106"/>
      <c r="E34" s="106"/>
      <c r="F34" s="106"/>
      <c r="G34" s="106"/>
      <c r="H34" s="106"/>
      <c r="I34" s="106"/>
      <c r="J34" s="106"/>
    </row>
    <row r="35" spans="1:10" x14ac:dyDescent="0.25">
      <c r="A35" s="106"/>
      <c r="B35" s="106"/>
      <c r="C35" s="106"/>
      <c r="D35" s="106"/>
      <c r="E35" s="106"/>
      <c r="F35" s="106"/>
      <c r="G35" s="106"/>
      <c r="H35" s="106"/>
      <c r="I35" s="106"/>
      <c r="J35" s="106"/>
    </row>
    <row r="36" spans="1:10" x14ac:dyDescent="0.25">
      <c r="A36" s="106"/>
      <c r="B36" s="106"/>
      <c r="C36" s="106"/>
      <c r="D36" s="106"/>
      <c r="E36" s="106"/>
      <c r="F36" s="106"/>
      <c r="G36" s="106"/>
      <c r="H36" s="106"/>
      <c r="I36" s="106"/>
      <c r="J36" s="106"/>
    </row>
    <row r="37" spans="1:10" x14ac:dyDescent="0.25">
      <c r="A37" s="106"/>
      <c r="B37" s="106"/>
      <c r="C37" s="106"/>
      <c r="D37" s="106"/>
      <c r="E37" s="106"/>
      <c r="F37" s="106"/>
      <c r="G37" s="106"/>
      <c r="H37" s="106"/>
      <c r="I37" s="106"/>
      <c r="J37" s="106"/>
    </row>
    <row r="38" spans="1:10" x14ac:dyDescent="0.25">
      <c r="A38" s="106"/>
      <c r="B38" s="106"/>
      <c r="C38" s="106"/>
      <c r="D38" s="106"/>
      <c r="E38" s="106"/>
      <c r="F38" s="106"/>
      <c r="G38" s="106"/>
      <c r="H38" s="106"/>
      <c r="I38" s="106"/>
      <c r="J38" s="106"/>
    </row>
    <row r="39" spans="1:10" x14ac:dyDescent="0.25">
      <c r="A39" s="106"/>
      <c r="B39" s="106"/>
      <c r="C39" s="106"/>
      <c r="D39" s="106"/>
      <c r="E39" s="106"/>
      <c r="F39" s="106"/>
      <c r="G39" s="106"/>
      <c r="H39" s="106"/>
      <c r="I39" s="106"/>
      <c r="J39" s="106"/>
    </row>
    <row r="40" spans="1:10" x14ac:dyDescent="0.25">
      <c r="A40" s="106"/>
      <c r="B40" s="106"/>
      <c r="C40" s="106"/>
      <c r="D40" s="106"/>
      <c r="E40" s="106"/>
      <c r="F40" s="106"/>
      <c r="G40" s="106"/>
      <c r="H40" s="106"/>
      <c r="I40" s="106"/>
      <c r="J40" s="106"/>
    </row>
    <row r="41" spans="1:10" x14ac:dyDescent="0.25">
      <c r="A41" s="106"/>
      <c r="B41" s="106"/>
      <c r="C41" s="106"/>
      <c r="D41" s="106"/>
      <c r="E41" s="106"/>
      <c r="F41" s="106"/>
      <c r="G41" s="106"/>
      <c r="H41" s="106"/>
      <c r="I41" s="106"/>
      <c r="J41" s="106"/>
    </row>
    <row r="42" spans="1:10" x14ac:dyDescent="0.25">
      <c r="A42" s="106"/>
      <c r="B42" s="106"/>
      <c r="C42" s="106"/>
      <c r="D42" s="106"/>
      <c r="E42" s="106"/>
      <c r="F42" s="106"/>
      <c r="G42" s="106"/>
      <c r="H42" s="106"/>
      <c r="I42" s="106"/>
      <c r="J42" s="106"/>
    </row>
    <row r="43" spans="1:10" x14ac:dyDescent="0.25">
      <c r="A43" s="106"/>
      <c r="B43" s="106"/>
      <c r="C43" s="106"/>
      <c r="D43" s="106"/>
      <c r="E43" s="106"/>
      <c r="F43" s="106"/>
      <c r="G43" s="106"/>
      <c r="H43" s="106"/>
      <c r="I43" s="106"/>
      <c r="J43" s="106"/>
    </row>
    <row r="44" spans="1:10" x14ac:dyDescent="0.25">
      <c r="A44" s="106"/>
      <c r="B44" s="106"/>
      <c r="C44" s="106"/>
      <c r="D44" s="106"/>
      <c r="E44" s="106"/>
      <c r="F44" s="106"/>
      <c r="G44" s="106"/>
      <c r="H44" s="106"/>
      <c r="I44" s="106"/>
      <c r="J44" s="106"/>
    </row>
    <row r="45" spans="1:10" x14ac:dyDescent="0.25">
      <c r="A45" s="106"/>
      <c r="B45" s="106"/>
      <c r="C45" s="106"/>
      <c r="D45" s="106"/>
      <c r="E45" s="106"/>
      <c r="F45" s="106"/>
      <c r="G45" s="106"/>
      <c r="H45" s="106"/>
      <c r="I45" s="106"/>
      <c r="J45" s="106"/>
    </row>
    <row r="46" spans="1:10" x14ac:dyDescent="0.25">
      <c r="A46" s="106"/>
      <c r="B46" s="106"/>
      <c r="C46" s="106"/>
      <c r="D46" s="106"/>
      <c r="E46" s="106"/>
      <c r="F46" s="106"/>
      <c r="G46" s="106"/>
      <c r="H46" s="106"/>
      <c r="I46" s="106"/>
      <c r="J46" s="106"/>
    </row>
    <row r="47" spans="1:10" x14ac:dyDescent="0.25">
      <c r="A47" s="106"/>
      <c r="B47" s="106"/>
      <c r="C47" s="106"/>
      <c r="D47" s="106"/>
      <c r="E47" s="106"/>
      <c r="F47" s="106"/>
      <c r="G47" s="106"/>
      <c r="H47" s="106"/>
      <c r="I47" s="106"/>
      <c r="J47" s="106"/>
    </row>
    <row r="48" spans="1:10" x14ac:dyDescent="0.25">
      <c r="A48" s="106"/>
      <c r="B48" s="106"/>
      <c r="C48" s="106"/>
      <c r="D48" s="106"/>
      <c r="E48" s="106"/>
      <c r="F48" s="106"/>
      <c r="G48" s="106"/>
      <c r="H48" s="106"/>
      <c r="I48" s="106"/>
      <c r="J48" s="106"/>
    </row>
    <row r="49" spans="1:10" x14ac:dyDescent="0.25">
      <c r="A49" s="106"/>
      <c r="B49" s="106"/>
      <c r="C49" s="106"/>
      <c r="D49" s="106"/>
      <c r="E49" s="106"/>
      <c r="F49" s="106"/>
      <c r="G49" s="106"/>
      <c r="H49" s="106"/>
      <c r="I49" s="106"/>
      <c r="J49" s="106"/>
    </row>
    <row r="50" spans="1:10" x14ac:dyDescent="0.25">
      <c r="A50" s="106"/>
      <c r="B50" s="106"/>
      <c r="C50" s="106"/>
      <c r="D50" s="106"/>
      <c r="E50" s="106"/>
      <c r="F50" s="106"/>
      <c r="G50" s="106"/>
      <c r="H50" s="106"/>
      <c r="I50" s="106"/>
      <c r="J50" s="106"/>
    </row>
    <row r="51" spans="1:10" x14ac:dyDescent="0.25">
      <c r="A51" s="106"/>
      <c r="B51" s="106"/>
      <c r="C51" s="106"/>
      <c r="D51" s="106"/>
      <c r="E51" s="106"/>
      <c r="F51" s="106"/>
      <c r="G51" s="106"/>
      <c r="H51" s="106"/>
      <c r="I51" s="106"/>
      <c r="J51" s="106"/>
    </row>
    <row r="52" spans="1:10" x14ac:dyDescent="0.25">
      <c r="A52" s="106"/>
      <c r="B52" s="106"/>
      <c r="C52" s="106"/>
      <c r="D52" s="106"/>
      <c r="E52" s="106"/>
      <c r="F52" s="106"/>
      <c r="G52" s="106"/>
      <c r="H52" s="106"/>
      <c r="I52" s="106"/>
      <c r="J52" s="106"/>
    </row>
    <row r="53" spans="1:10" x14ac:dyDescent="0.25">
      <c r="A53" s="106"/>
      <c r="B53" s="107" t="s">
        <v>198</v>
      </c>
      <c r="C53" s="106"/>
      <c r="D53" s="106"/>
      <c r="E53" s="106"/>
      <c r="F53" s="106"/>
      <c r="G53" s="106"/>
      <c r="H53" s="106"/>
      <c r="I53" s="106"/>
      <c r="J53" s="106"/>
    </row>
    <row r="54" spans="1:10" x14ac:dyDescent="0.25">
      <c r="A54" s="108"/>
      <c r="B54" s="106"/>
      <c r="C54" s="106"/>
      <c r="D54" s="106"/>
      <c r="E54" s="106"/>
      <c r="F54" s="106"/>
      <c r="G54" s="106"/>
      <c r="H54" s="106"/>
      <c r="I54" s="106"/>
      <c r="J54" s="106"/>
    </row>
    <row r="55" spans="1:10" ht="21" thickBot="1" x14ac:dyDescent="0.3">
      <c r="A55" s="109" t="s">
        <v>199</v>
      </c>
    </row>
    <row r="56" spans="1:10" x14ac:dyDescent="0.25">
      <c r="A56" s="111" t="s">
        <v>200</v>
      </c>
      <c r="B56" s="112" t="s">
        <v>201</v>
      </c>
      <c r="C56" s="112" t="s">
        <v>70</v>
      </c>
      <c r="D56" s="300" t="s">
        <v>202</v>
      </c>
      <c r="E56" s="301"/>
      <c r="F56" s="301"/>
      <c r="G56" s="302"/>
      <c r="H56" s="113" t="s">
        <v>203</v>
      </c>
      <c r="I56" s="113" t="s">
        <v>204</v>
      </c>
      <c r="J56" s="113" t="s">
        <v>205</v>
      </c>
    </row>
    <row r="57" spans="1:10" x14ac:dyDescent="0.25">
      <c r="A57" s="114">
        <v>2</v>
      </c>
      <c r="B57" s="115" t="s">
        <v>242</v>
      </c>
      <c r="C57" s="116">
        <v>0.1</v>
      </c>
      <c r="D57" s="303">
        <f t="shared" ref="D57:D67" si="0">C57</f>
        <v>0.1</v>
      </c>
      <c r="E57" s="304"/>
      <c r="F57" s="304"/>
      <c r="G57" s="117"/>
      <c r="H57" s="118" t="s">
        <v>206</v>
      </c>
      <c r="I57" s="119" t="s">
        <v>207</v>
      </c>
      <c r="J57" s="119" t="s">
        <v>207</v>
      </c>
    </row>
    <row r="58" spans="1:10" x14ac:dyDescent="0.25">
      <c r="A58" s="120">
        <f>'Variable Management'!D44</f>
        <v>1</v>
      </c>
      <c r="B58" s="121" t="s">
        <v>252</v>
      </c>
      <c r="C58" s="130">
        <f>'Variable Management'!E44</f>
        <v>82</v>
      </c>
      <c r="D58" s="296">
        <f t="shared" si="0"/>
        <v>82</v>
      </c>
      <c r="E58" s="297"/>
      <c r="F58" s="297"/>
      <c r="G58" s="122"/>
      <c r="H58" s="123" t="s">
        <v>206</v>
      </c>
      <c r="I58" s="124" t="s">
        <v>207</v>
      </c>
      <c r="J58" s="124" t="s">
        <v>207</v>
      </c>
    </row>
    <row r="59" spans="1:10" x14ac:dyDescent="0.25">
      <c r="A59" s="120">
        <f>'Variable Management'!D46</f>
        <v>1</v>
      </c>
      <c r="B59" s="121" t="s">
        <v>253</v>
      </c>
      <c r="C59" s="133">
        <f>'Variable Management'!E46</f>
        <v>47</v>
      </c>
      <c r="D59" s="296">
        <f t="shared" si="0"/>
        <v>47</v>
      </c>
      <c r="E59" s="297"/>
      <c r="F59" s="297"/>
      <c r="G59" s="122"/>
      <c r="H59" s="123" t="s">
        <v>206</v>
      </c>
      <c r="I59" s="124" t="s">
        <v>207</v>
      </c>
      <c r="J59" s="124" t="s">
        <v>207</v>
      </c>
    </row>
    <row r="60" spans="1:10" x14ac:dyDescent="0.25">
      <c r="A60" s="157">
        <f>'Variable Management'!D58</f>
        <v>37.272727272727266</v>
      </c>
      <c r="B60" s="121" t="s">
        <v>208</v>
      </c>
      <c r="C60" s="130">
        <f>'Variable Management'!C58</f>
        <v>2.2000000000000002</v>
      </c>
      <c r="D60" s="305">
        <f t="shared" si="0"/>
        <v>2.2000000000000002</v>
      </c>
      <c r="E60" s="306"/>
      <c r="F60" s="306"/>
      <c r="G60" s="122"/>
      <c r="H60" s="123" t="s">
        <v>206</v>
      </c>
      <c r="I60" s="124" t="s">
        <v>207</v>
      </c>
      <c r="J60" s="124" t="s">
        <v>207</v>
      </c>
    </row>
    <row r="61" spans="1:10" x14ac:dyDescent="0.25">
      <c r="A61" s="125">
        <v>1</v>
      </c>
      <c r="B61" s="126" t="s">
        <v>312</v>
      </c>
      <c r="C61" s="131">
        <v>2.2000000000000002</v>
      </c>
      <c r="D61" s="307">
        <f t="shared" si="0"/>
        <v>2.2000000000000002</v>
      </c>
      <c r="E61" s="308"/>
      <c r="F61" s="308"/>
      <c r="G61" s="127"/>
      <c r="H61" s="128" t="s">
        <v>206</v>
      </c>
      <c r="I61" s="129" t="s">
        <v>207</v>
      </c>
      <c r="J61" s="129" t="s">
        <v>207</v>
      </c>
    </row>
    <row r="62" spans="1:10" x14ac:dyDescent="0.25">
      <c r="A62" s="125">
        <v>1</v>
      </c>
      <c r="B62" s="126" t="s">
        <v>209</v>
      </c>
      <c r="C62" s="150">
        <v>0.1</v>
      </c>
      <c r="D62" s="309">
        <f t="shared" si="0"/>
        <v>0.1</v>
      </c>
      <c r="E62" s="310"/>
      <c r="F62" s="310"/>
      <c r="G62" s="127"/>
      <c r="H62" s="128" t="s">
        <v>206</v>
      </c>
      <c r="I62" s="129" t="s">
        <v>207</v>
      </c>
      <c r="J62" s="129" t="s">
        <v>207</v>
      </c>
    </row>
    <row r="63" spans="1:10" x14ac:dyDescent="0.25">
      <c r="A63" s="120">
        <v>1</v>
      </c>
      <c r="B63" s="121" t="s">
        <v>241</v>
      </c>
      <c r="C63" s="130">
        <f>'Variable Management'!C67</f>
        <v>6.8000000000000005E-2</v>
      </c>
      <c r="D63" s="311">
        <f t="shared" si="0"/>
        <v>6.8000000000000005E-2</v>
      </c>
      <c r="E63" s="312"/>
      <c r="F63" s="312"/>
      <c r="G63" s="122"/>
      <c r="H63" s="123">
        <v>1210</v>
      </c>
      <c r="I63" s="124" t="s">
        <v>207</v>
      </c>
      <c r="J63" s="124" t="s">
        <v>207</v>
      </c>
    </row>
    <row r="64" spans="1:10" x14ac:dyDescent="0.25">
      <c r="A64" s="125">
        <v>1</v>
      </c>
      <c r="B64" s="126" t="s">
        <v>243</v>
      </c>
      <c r="C64" s="150">
        <f>'Variable Management'!C74</f>
        <v>10</v>
      </c>
      <c r="D64" s="307">
        <f t="shared" ref="D64" si="1">C64</f>
        <v>10</v>
      </c>
      <c r="E64" s="308"/>
      <c r="F64" s="308"/>
      <c r="G64" s="127"/>
      <c r="H64" s="128" t="s">
        <v>206</v>
      </c>
      <c r="I64" s="129" t="s">
        <v>207</v>
      </c>
      <c r="J64" s="129" t="s">
        <v>207</v>
      </c>
    </row>
    <row r="65" spans="1:10" x14ac:dyDescent="0.25">
      <c r="A65" s="125">
        <v>1</v>
      </c>
      <c r="B65" s="126" t="s">
        <v>244</v>
      </c>
      <c r="C65" s="150">
        <f>'Variable Management'!C76</f>
        <v>0.1</v>
      </c>
      <c r="D65" s="298">
        <f t="shared" si="0"/>
        <v>0.1</v>
      </c>
      <c r="E65" s="299"/>
      <c r="F65" s="299"/>
      <c r="G65" s="127"/>
      <c r="H65" s="128" t="s">
        <v>206</v>
      </c>
      <c r="I65" s="129" t="s">
        <v>207</v>
      </c>
      <c r="J65" s="129" t="s">
        <v>207</v>
      </c>
    </row>
    <row r="66" spans="1:10" x14ac:dyDescent="0.25">
      <c r="A66" s="125">
        <v>1</v>
      </c>
      <c r="B66" s="126" t="s">
        <v>343</v>
      </c>
      <c r="C66" s="130">
        <f>'Variable Management'!C15</f>
        <v>8.2000000000000007E-3</v>
      </c>
      <c r="D66" s="296">
        <f t="shared" ref="D66" si="2">C66</f>
        <v>8.2000000000000007E-3</v>
      </c>
      <c r="E66" s="297"/>
      <c r="F66" s="297"/>
      <c r="G66" s="122"/>
      <c r="H66" s="123">
        <v>1210</v>
      </c>
      <c r="I66" s="124" t="s">
        <v>207</v>
      </c>
      <c r="J66" s="124" t="s">
        <v>207</v>
      </c>
    </row>
    <row r="67" spans="1:10" x14ac:dyDescent="0.25">
      <c r="A67" s="125">
        <v>1</v>
      </c>
      <c r="B67" s="126" t="s">
        <v>245</v>
      </c>
      <c r="C67" s="153" t="str">
        <f>'Variable Management'!C26</f>
        <v>10mΩ</v>
      </c>
      <c r="D67" s="322" t="str">
        <f t="shared" si="0"/>
        <v>10mΩ</v>
      </c>
      <c r="E67" s="323"/>
      <c r="F67" s="323"/>
      <c r="G67" s="127"/>
      <c r="H67" s="128" t="s">
        <v>206</v>
      </c>
      <c r="I67" s="129" t="s">
        <v>207</v>
      </c>
      <c r="J67" s="129" t="s">
        <v>207</v>
      </c>
    </row>
    <row r="68" spans="1:10" x14ac:dyDescent="0.25">
      <c r="A68" s="120">
        <v>1</v>
      </c>
      <c r="B68" s="121" t="s">
        <v>247</v>
      </c>
      <c r="C68" s="150" t="str">
        <f>'Variable Management'!B24</f>
        <v>6.8µH</v>
      </c>
      <c r="D68" s="324" t="str">
        <f>C68</f>
        <v>6.8µH</v>
      </c>
      <c r="E68" s="325"/>
      <c r="F68" s="325"/>
      <c r="G68" s="326"/>
      <c r="H68" s="124" t="s">
        <v>211</v>
      </c>
      <c r="I68" s="124" t="s">
        <v>211</v>
      </c>
      <c r="J68" s="124"/>
    </row>
    <row r="69" spans="1:10" x14ac:dyDescent="0.25">
      <c r="A69" s="125">
        <v>4</v>
      </c>
      <c r="B69" s="126" t="s">
        <v>250</v>
      </c>
      <c r="C69" s="132" t="s">
        <v>210</v>
      </c>
      <c r="D69" s="327" t="s">
        <v>255</v>
      </c>
      <c r="E69" s="328"/>
      <c r="F69" s="328"/>
      <c r="G69" s="329"/>
      <c r="H69" s="129" t="s">
        <v>254</v>
      </c>
      <c r="I69" s="129" t="s">
        <v>256</v>
      </c>
      <c r="J69" s="129"/>
    </row>
    <row r="70" spans="1:10" x14ac:dyDescent="0.25">
      <c r="A70" s="134">
        <v>2</v>
      </c>
      <c r="B70" s="135" t="s">
        <v>246</v>
      </c>
      <c r="C70" s="139">
        <f>'Variable Management'!C72</f>
        <v>6.6</v>
      </c>
      <c r="D70" s="319">
        <f t="shared" ref="D70:D73" si="3">C70</f>
        <v>6.6</v>
      </c>
      <c r="E70" s="320"/>
      <c r="F70" s="320"/>
      <c r="G70" s="321"/>
      <c r="H70" s="137" t="s">
        <v>206</v>
      </c>
      <c r="I70" s="138" t="s">
        <v>207</v>
      </c>
      <c r="J70" s="138" t="s">
        <v>207</v>
      </c>
    </row>
    <row r="71" spans="1:10" x14ac:dyDescent="0.25">
      <c r="A71" s="134">
        <v>1</v>
      </c>
      <c r="B71" s="135" t="s">
        <v>213</v>
      </c>
      <c r="C71" s="136">
        <f>'Variable Management'!C79</f>
        <v>12</v>
      </c>
      <c r="D71" s="319">
        <f t="shared" si="3"/>
        <v>12</v>
      </c>
      <c r="E71" s="320"/>
      <c r="F71" s="320"/>
      <c r="G71" s="321"/>
      <c r="H71" s="137" t="s">
        <v>206</v>
      </c>
      <c r="I71" s="138" t="s">
        <v>207</v>
      </c>
      <c r="J71" s="138" t="s">
        <v>207</v>
      </c>
    </row>
    <row r="72" spans="1:10" x14ac:dyDescent="0.25">
      <c r="A72" s="134">
        <v>1</v>
      </c>
      <c r="B72" s="135" t="s">
        <v>214</v>
      </c>
      <c r="C72" s="136">
        <f>Calculator!C63</f>
        <v>65</v>
      </c>
      <c r="D72" s="319">
        <f t="shared" si="3"/>
        <v>65</v>
      </c>
      <c r="E72" s="320"/>
      <c r="F72" s="320"/>
      <c r="G72" s="321"/>
      <c r="H72" s="137" t="s">
        <v>206</v>
      </c>
      <c r="I72" s="138" t="s">
        <v>207</v>
      </c>
      <c r="J72" s="138" t="s">
        <v>207</v>
      </c>
    </row>
    <row r="73" spans="1:10" x14ac:dyDescent="0.25">
      <c r="A73" s="125">
        <v>1</v>
      </c>
      <c r="B73" s="126" t="s">
        <v>215</v>
      </c>
      <c r="C73" s="139">
        <v>10</v>
      </c>
      <c r="D73" s="316">
        <f t="shared" si="3"/>
        <v>10</v>
      </c>
      <c r="E73" s="317"/>
      <c r="F73" s="317"/>
      <c r="G73" s="318"/>
      <c r="H73" s="128" t="s">
        <v>206</v>
      </c>
      <c r="I73" s="129" t="s">
        <v>207</v>
      </c>
      <c r="J73" s="129" t="s">
        <v>207</v>
      </c>
    </row>
    <row r="74" spans="1:10" x14ac:dyDescent="0.25">
      <c r="A74" s="134">
        <v>1</v>
      </c>
      <c r="B74" s="135" t="s">
        <v>248</v>
      </c>
      <c r="C74" s="170" t="s">
        <v>251</v>
      </c>
      <c r="D74" s="319" t="s">
        <v>249</v>
      </c>
      <c r="E74" s="320"/>
      <c r="F74" s="320"/>
      <c r="G74" s="321"/>
      <c r="H74" s="137" t="s">
        <v>206</v>
      </c>
      <c r="I74" s="138" t="s">
        <v>207</v>
      </c>
      <c r="J74" s="138" t="s">
        <v>207</v>
      </c>
    </row>
    <row r="75" spans="1:10" x14ac:dyDescent="0.25">
      <c r="A75" s="140">
        <v>1</v>
      </c>
      <c r="B75" s="141" t="s">
        <v>216</v>
      </c>
      <c r="C75" s="142" t="s">
        <v>313</v>
      </c>
      <c r="D75" s="313" t="s">
        <v>314</v>
      </c>
      <c r="E75" s="314"/>
      <c r="F75" s="314"/>
      <c r="G75" s="315"/>
      <c r="H75" s="143" t="s">
        <v>315</v>
      </c>
      <c r="I75" s="143" t="s">
        <v>316</v>
      </c>
      <c r="J75" s="143" t="s">
        <v>212</v>
      </c>
    </row>
    <row r="78" spans="1:10" x14ac:dyDescent="0.25">
      <c r="A78" s="144" t="s">
        <v>217</v>
      </c>
    </row>
    <row r="79" spans="1:10" x14ac:dyDescent="0.25">
      <c r="A79" s="145"/>
    </row>
    <row r="80" spans="1:10" x14ac:dyDescent="0.25">
      <c r="A80" s="110" t="s">
        <v>218</v>
      </c>
    </row>
    <row r="81" spans="1:1" x14ac:dyDescent="0.25">
      <c r="A81" s="110" t="s">
        <v>219</v>
      </c>
    </row>
  </sheetData>
  <mergeCells count="20">
    <mergeCell ref="D75:G75"/>
    <mergeCell ref="D73:G73"/>
    <mergeCell ref="D74:G74"/>
    <mergeCell ref="D72:G72"/>
    <mergeCell ref="D67:F67"/>
    <mergeCell ref="D68:G68"/>
    <mergeCell ref="D69:G69"/>
    <mergeCell ref="D70:G70"/>
    <mergeCell ref="D71:G71"/>
    <mergeCell ref="D66:F66"/>
    <mergeCell ref="D65:F65"/>
    <mergeCell ref="D56:G56"/>
    <mergeCell ref="D57:F57"/>
    <mergeCell ref="D58:F58"/>
    <mergeCell ref="D59:F59"/>
    <mergeCell ref="D60:F60"/>
    <mergeCell ref="D61:F61"/>
    <mergeCell ref="D62:F62"/>
    <mergeCell ref="D63:F63"/>
    <mergeCell ref="D64:F64"/>
  </mergeCells>
  <phoneticPr fontId="4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honeticPr fontId="4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74</vt:i4>
      </vt:variant>
    </vt:vector>
  </HeadingPairs>
  <TitlesOfParts>
    <vt:vector size="79" baseType="lpstr">
      <vt:lpstr>Bode_Plot VOUT1</vt:lpstr>
      <vt:lpstr>Variable Management</vt:lpstr>
      <vt:lpstr>Calculator</vt:lpstr>
      <vt:lpstr>BOM and Schematic</vt:lpstr>
      <vt:lpstr>Sheet1</vt:lpstr>
      <vt:lpstr>_Don1</vt:lpstr>
      <vt:lpstr>_Don2</vt:lpstr>
      <vt:lpstr>_RFB1</vt:lpstr>
      <vt:lpstr>Aea</vt:lpstr>
      <vt:lpstr>Aol</vt:lpstr>
      <vt:lpstr>Cc1ea</vt:lpstr>
      <vt:lpstr>Cc1ea_u</vt:lpstr>
      <vt:lpstr>Cc2ea_u</vt:lpstr>
      <vt:lpstr>Cc3ea_u</vt:lpstr>
      <vt:lpstr>Ccomp</vt:lpstr>
      <vt:lpstr>Cin</vt:lpstr>
      <vt:lpstr>Cout</vt:lpstr>
      <vt:lpstr>Cout_Total</vt:lpstr>
      <vt:lpstr>Cout1</vt:lpstr>
      <vt:lpstr>Cout2</vt:lpstr>
      <vt:lpstr>CoutEsr</vt:lpstr>
      <vt:lpstr>DC_Gain_Mod</vt:lpstr>
      <vt:lpstr>Doff2</vt:lpstr>
      <vt:lpstr>ESR</vt:lpstr>
      <vt:lpstr>Fcross</vt:lpstr>
      <vt:lpstr>Fo</vt:lpstr>
      <vt:lpstr>Fsw</vt:lpstr>
      <vt:lpstr>I_load_ripple</vt:lpstr>
      <vt:lpstr>Ics</vt:lpstr>
      <vt:lpstr>ILimit</vt:lpstr>
      <vt:lpstr>Iload_margin</vt:lpstr>
      <vt:lpstr>IOUT</vt:lpstr>
      <vt:lpstr>Iripple1</vt:lpstr>
      <vt:lpstr>Iuvlo1</vt:lpstr>
      <vt:lpstr>Iuvlo2</vt:lpstr>
      <vt:lpstr>kfb</vt:lpstr>
      <vt:lpstr>Kmidband</vt:lpstr>
      <vt:lpstr>L</vt:lpstr>
      <vt:lpstr>Lout2</vt:lpstr>
      <vt:lpstr>Max_Ave_Load</vt:lpstr>
      <vt:lpstr>Pi</vt:lpstr>
      <vt:lpstr>Qg</vt:lpstr>
      <vt:lpstr>Rcea1</vt:lpstr>
      <vt:lpstr>Rcea1_u</vt:lpstr>
      <vt:lpstr>Rcea2</vt:lpstr>
      <vt:lpstr>Rcea2_u</vt:lpstr>
      <vt:lpstr>RCinEsr</vt:lpstr>
      <vt:lpstr>Rcomp</vt:lpstr>
      <vt:lpstr>Rdcr</vt:lpstr>
      <vt:lpstr>Rfb2_u</vt:lpstr>
      <vt:lpstr>Rfets</vt:lpstr>
      <vt:lpstr>Rload</vt:lpstr>
      <vt:lpstr>Ro</vt:lpstr>
      <vt:lpstr>Rramp</vt:lpstr>
      <vt:lpstr>Rss</vt:lpstr>
      <vt:lpstr>Ruvlo1</vt:lpstr>
      <vt:lpstr>TL</vt:lpstr>
      <vt:lpstr>Totp</vt:lpstr>
      <vt:lpstr>tss</vt:lpstr>
      <vt:lpstr>Vin</vt:lpstr>
      <vt:lpstr>Vin_max</vt:lpstr>
      <vt:lpstr>Vin_min</vt:lpstr>
      <vt:lpstr>Vin_UV</vt:lpstr>
      <vt:lpstr>Vinripple1</vt:lpstr>
      <vt:lpstr>VINuvlo_off</vt:lpstr>
      <vt:lpstr>VINuvlo_on</vt:lpstr>
      <vt:lpstr>Vout</vt:lpstr>
      <vt:lpstr>VOUT1</vt:lpstr>
      <vt:lpstr>VOUT2</vt:lpstr>
      <vt:lpstr>Vref</vt:lpstr>
      <vt:lpstr>Vripple1</vt:lpstr>
      <vt:lpstr>Vsense</vt:lpstr>
      <vt:lpstr>Vuvlo_off</vt:lpstr>
      <vt:lpstr>Vuvlo_on</vt:lpstr>
      <vt:lpstr>w</vt:lpstr>
      <vt:lpstr>wn</vt:lpstr>
      <vt:lpstr>wp</vt:lpstr>
      <vt:lpstr>wz</vt:lpstr>
      <vt:lpstr>zea</vt:lpstr>
    </vt:vector>
  </TitlesOfParts>
  <Company>Texas Instruments Incorporated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Allinder, Terry</dc:creator>
  <cp:lastModifiedBy>user1</cp:lastModifiedBy>
  <cp:lastPrinted>2015-12-08T22:32:20Z</cp:lastPrinted>
  <dcterms:created xsi:type="dcterms:W3CDTF">2014-07-23T14:59:43Z</dcterms:created>
  <dcterms:modified xsi:type="dcterms:W3CDTF">2019-01-08T09:04:20Z</dcterms:modified>
</cp:coreProperties>
</file>